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GOBERNACION QUINDIO 2019\PAGINA WEB\SGTO III TRIMESTRE 2019\SGTO INSTRUMENTOS SEP 2019\"/>
    </mc:Choice>
  </mc:AlternateContent>
  <bookViews>
    <workbookView xWindow="0" yWindow="0" windowWidth="24000" windowHeight="9435"/>
  </bookViews>
  <sheets>
    <sheet name="SGTO PA ADMINIST" sheetId="2" r:id="rId1"/>
    <sheet name="SGTO PA PLANEA" sheetId="13" r:id="rId2"/>
    <sheet name="SGTO PA HACIENDA" sheetId="7" r:id="rId3"/>
    <sheet name="SGTO PA INFRAESTRUCTURA" sheetId="9" r:id="rId4"/>
    <sheet name="SGTO PA INTERIOR" sheetId="19" r:id="rId5"/>
    <sheet name="SGTO PA CULTURA" sheetId="4" r:id="rId6"/>
    <sheet name="SGTO PA TURISMO IC" sheetId="6" r:id="rId7"/>
    <sheet name="SGTO PA AGRICULTURA" sheetId="10" r:id="rId8"/>
    <sheet name="SGTO PA PRIVADA" sheetId="1" r:id="rId9"/>
    <sheet name="SGTO PA EDUCACION" sheetId="15" r:id="rId10"/>
    <sheet name="SGTO PA FAMILIA" sheetId="17" r:id="rId11"/>
    <sheet name="SGTO PA REP JUDICIAL" sheetId="5" r:id="rId12"/>
    <sheet name="SGTO PA SALUD" sheetId="20" r:id="rId13"/>
    <sheet name="SGTO PA TIC" sheetId="3" r:id="rId14"/>
    <sheet name="SGTO PA INDEPORTES" sheetId="11" r:id="rId15"/>
    <sheet name="SGTO PA PROMOTORA" sheetId="18" r:id="rId16"/>
    <sheet name="SGTO PA IDTQ" sheetId="12" r:id="rId17"/>
  </sheets>
  <externalReferences>
    <externalReference r:id="rId18"/>
    <externalReference r:id="rId19"/>
    <externalReference r:id="rId20"/>
  </externalReferences>
  <definedNames>
    <definedName name="_1._Apoyo_con_equipos_para_la_seguridad_vial_Licenciamiento_de_software_para_comunicaciones" localSheetId="0">#REF!</definedName>
    <definedName name="_1._Apoyo_con_equipos_para_la_seguridad_vial_Licenciamiento_de_software_para_comunicaciones" localSheetId="7">#REF!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16">#REF!</definedName>
    <definedName name="_1._Apoyo_con_equipos_para_la_seguridad_vial_Licenciamiento_de_software_para_comunicaciones" localSheetId="14">#REF!</definedName>
    <definedName name="_1._Apoyo_con_equipos_para_la_seguridad_vial_Licenciamiento_de_software_para_comunicaciones" localSheetId="3">#REF!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15">#REF!</definedName>
    <definedName name="_1._Apoyo_con_equipos_para_la_seguridad_vial_Licenciamiento_de_software_para_comunicaciones" localSheetId="11">#REF!</definedName>
    <definedName name="_1._Apoyo_con_equipos_para_la_seguridad_vial_Licenciamiento_de_software_para_comunicaciones" localSheetId="12">#REF!</definedName>
    <definedName name="_1._Apoyo_con_equipos_para_la_seguridad_vial_Licenciamiento_de_software_para_comunicaciones" localSheetId="13">#REF!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_FilterDatabase" localSheetId="10" hidden="1">'SGTO PA FAMILIA'!$A$9:$WXP$135</definedName>
    <definedName name="_xlnm._FilterDatabase" localSheetId="14" hidden="1">'SGTO PA INDEPORTES'!$J$12:$AS$57</definedName>
    <definedName name="_xlnm._FilterDatabase" localSheetId="3" hidden="1">'SGTO PA INFRAESTRUCTURA'!$A$10:$BW$65</definedName>
    <definedName name="_xlnm._FilterDatabase" localSheetId="12" hidden="1">'SGTO PA SALUD'!$J$12:$BR$418</definedName>
    <definedName name="_xlnm.Print_Area" localSheetId="1">'SGTO PA PLANEA'!$A$1:$BR$11</definedName>
    <definedName name="_xlnm.Print_Area" localSheetId="15">'SGTO PA PROMOTORA'!$A$1:$BO$45</definedName>
    <definedName name="CODIGO_DIVIPOLA" localSheetId="0">#REF!</definedName>
    <definedName name="CODIGO_DIVIPOLA" localSheetId="7">#REF!</definedName>
    <definedName name="CODIGO_DIVIPOLA" localSheetId="5">#REF!</definedName>
    <definedName name="CODIGO_DIVIPOLA" localSheetId="9">#REF!</definedName>
    <definedName name="CODIGO_DIVIPOLA" localSheetId="10">#REF!</definedName>
    <definedName name="CODIGO_DIVIPOLA" localSheetId="16">#REF!</definedName>
    <definedName name="CODIGO_DIVIPOLA" localSheetId="14">#REF!</definedName>
    <definedName name="CODIGO_DIVIPOLA" localSheetId="3">#REF!</definedName>
    <definedName name="CODIGO_DIVIPOLA" localSheetId="4">#REF!</definedName>
    <definedName name="CODIGO_DIVIPOLA" localSheetId="1">#REF!</definedName>
    <definedName name="CODIGO_DIVIPOLA" localSheetId="15">#REF!</definedName>
    <definedName name="CODIGO_DIVIPOLA" localSheetId="11">#REF!</definedName>
    <definedName name="CODIGO_DIVIPOLA" localSheetId="12">#REF!</definedName>
    <definedName name="CODIGO_DIVIPOLA" localSheetId="13">#REF!</definedName>
    <definedName name="CODIGO_DIVIPOLA" localSheetId="6">#REF!</definedName>
    <definedName name="CODIGO_DIVIPOLA">#REF!</definedName>
    <definedName name="DboREGISTRO_LEY_617" localSheetId="0">#REF!</definedName>
    <definedName name="DboREGISTRO_LEY_617" localSheetId="7">#REF!</definedName>
    <definedName name="DboREGISTRO_LEY_617" localSheetId="5">#REF!</definedName>
    <definedName name="DboREGISTRO_LEY_617" localSheetId="9">#REF!</definedName>
    <definedName name="DboREGISTRO_LEY_617" localSheetId="10">#REF!</definedName>
    <definedName name="DboREGISTRO_LEY_617" localSheetId="16">#REF!</definedName>
    <definedName name="DboREGISTRO_LEY_617" localSheetId="14">#REF!</definedName>
    <definedName name="DboREGISTRO_LEY_617" localSheetId="3">#REF!</definedName>
    <definedName name="DboREGISTRO_LEY_617" localSheetId="4">#REF!</definedName>
    <definedName name="DboREGISTRO_LEY_617" localSheetId="1">#REF!</definedName>
    <definedName name="DboREGISTRO_LEY_617" localSheetId="15">#REF!</definedName>
    <definedName name="DboREGISTRO_LEY_617" localSheetId="11">#REF!</definedName>
    <definedName name="DboREGISTRO_LEY_617" localSheetId="12">#REF!</definedName>
    <definedName name="DboREGISTRO_LEY_617" localSheetId="13">#REF!</definedName>
    <definedName name="DboREGISTRO_LEY_617" localSheetId="6">#REF!</definedName>
    <definedName name="DboREGISTRO_LEY_617">#REF!</definedName>
    <definedName name="ññ" localSheetId="0">#REF!</definedName>
    <definedName name="ññ" localSheetId="7">#REF!</definedName>
    <definedName name="ññ" localSheetId="5">#REF!</definedName>
    <definedName name="ññ" localSheetId="9">#REF!</definedName>
    <definedName name="ññ" localSheetId="10">#REF!</definedName>
    <definedName name="ññ" localSheetId="16">#REF!</definedName>
    <definedName name="ññ" localSheetId="14">#REF!</definedName>
    <definedName name="ññ" localSheetId="3">#REF!</definedName>
    <definedName name="ññ" localSheetId="4">#REF!</definedName>
    <definedName name="ññ" localSheetId="1">#REF!</definedName>
    <definedName name="ññ" localSheetId="15">#REF!</definedName>
    <definedName name="ññ" localSheetId="11">#REF!</definedName>
    <definedName name="ññ" localSheetId="12">#REF!</definedName>
    <definedName name="ññ" localSheetId="13">#REF!</definedName>
    <definedName name="ññ" localSheetId="6">#REF!</definedName>
    <definedName name="ññ">#REF!</definedName>
    <definedName name="_xlnm.Print_Titles" localSheetId="1">'SGTO PA PLANEA'!$1:$7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55" i="20" l="1"/>
  <c r="BJ354" i="20"/>
  <c r="BK354" i="20" s="1"/>
  <c r="BI354" i="20"/>
  <c r="BG354" i="20"/>
  <c r="BE354" i="20"/>
  <c r="BC354" i="20"/>
  <c r="BA354" i="20"/>
  <c r="AU354" i="20"/>
  <c r="AS354" i="20"/>
  <c r="AQ354" i="20"/>
  <c r="AO354" i="20"/>
  <c r="AM354" i="20"/>
  <c r="AI354" i="20"/>
  <c r="AG354" i="20"/>
  <c r="AE354" i="20"/>
  <c r="AC354" i="20"/>
  <c r="S354" i="20"/>
  <c r="BJ347" i="20"/>
  <c r="BK347" i="20" s="1"/>
  <c r="BI347" i="20"/>
  <c r="BG347" i="20"/>
  <c r="BE347" i="20"/>
  <c r="BC347" i="20"/>
  <c r="BA347" i="20"/>
  <c r="AU347" i="20"/>
  <c r="AS347" i="20"/>
  <c r="AQ347" i="20"/>
  <c r="AO347" i="20"/>
  <c r="AM347" i="20"/>
  <c r="AI347" i="20"/>
  <c r="AG347" i="20"/>
  <c r="AE347" i="20"/>
  <c r="AC347" i="20"/>
  <c r="S347" i="20"/>
  <c r="R351" i="20" s="1"/>
  <c r="R347" i="20"/>
  <c r="Y340" i="20"/>
  <c r="X340" i="20"/>
  <c r="BI336" i="20" s="1"/>
  <c r="BK336" i="20" s="1"/>
  <c r="BJ336" i="20"/>
  <c r="BG336" i="20"/>
  <c r="BE336" i="20"/>
  <c r="BC336" i="20"/>
  <c r="BA336" i="20"/>
  <c r="AU336" i="20"/>
  <c r="AS336" i="20"/>
  <c r="AQ336" i="20"/>
  <c r="AO336" i="20"/>
  <c r="AM336" i="20"/>
  <c r="AI336" i="20"/>
  <c r="AG336" i="20"/>
  <c r="AE336" i="20"/>
  <c r="AC336" i="20"/>
  <c r="S336" i="20"/>
  <c r="R345" i="20" s="1"/>
  <c r="BJ327" i="20"/>
  <c r="BK327" i="20" s="1"/>
  <c r="BI327" i="20"/>
  <c r="BG327" i="20"/>
  <c r="BE327" i="20"/>
  <c r="BC327" i="20"/>
  <c r="BA327" i="20"/>
  <c r="AU327" i="20"/>
  <c r="AS327" i="20"/>
  <c r="AQ327" i="20"/>
  <c r="AO327" i="20"/>
  <c r="AM327" i="20"/>
  <c r="AI327" i="20"/>
  <c r="AG327" i="20"/>
  <c r="AE327" i="20"/>
  <c r="AC327" i="20"/>
  <c r="Y327" i="20"/>
  <c r="X327" i="20"/>
  <c r="S327" i="20"/>
  <c r="R327" i="20" s="1"/>
  <c r="BJ322" i="20"/>
  <c r="BK322" i="20" s="1"/>
  <c r="BI322" i="20"/>
  <c r="BG322" i="20"/>
  <c r="BE322" i="20"/>
  <c r="BC322" i="20"/>
  <c r="BA322" i="20"/>
  <c r="AU322" i="20"/>
  <c r="AS322" i="20"/>
  <c r="AQ322" i="20"/>
  <c r="AO322" i="20"/>
  <c r="AM322" i="20"/>
  <c r="AI322" i="20"/>
  <c r="AG322" i="20"/>
  <c r="AE322" i="20"/>
  <c r="AC322" i="20"/>
  <c r="S322" i="20"/>
  <c r="R325" i="20" s="1"/>
  <c r="R322" i="20"/>
  <c r="BJ318" i="20"/>
  <c r="BI318" i="20"/>
  <c r="BK318" i="20" s="1"/>
  <c r="BG318" i="20"/>
  <c r="BE318" i="20"/>
  <c r="BC318" i="20"/>
  <c r="BA318" i="20"/>
  <c r="AU318" i="20"/>
  <c r="AS318" i="20"/>
  <c r="AQ318" i="20"/>
  <c r="AO318" i="20"/>
  <c r="AM318" i="20"/>
  <c r="AI318" i="20"/>
  <c r="AG318" i="20"/>
  <c r="AE318" i="20"/>
  <c r="AC318" i="20"/>
  <c r="S318" i="20"/>
  <c r="W305" i="20"/>
  <c r="W303" i="20"/>
  <c r="W302" i="20"/>
  <c r="BJ301" i="20"/>
  <c r="BK301" i="20" s="1"/>
  <c r="BI301" i="20"/>
  <c r="BG301" i="20"/>
  <c r="BE301" i="20"/>
  <c r="BC301" i="20"/>
  <c r="BA301" i="20"/>
  <c r="AU301" i="20"/>
  <c r="AS301" i="20"/>
  <c r="AQ301" i="20"/>
  <c r="AO301" i="20"/>
  <c r="AI301" i="20"/>
  <c r="AG301" i="20"/>
  <c r="AE301" i="20"/>
  <c r="AC301" i="20"/>
  <c r="S301" i="20"/>
  <c r="W291" i="20"/>
  <c r="BK288" i="20"/>
  <c r="BJ288" i="20"/>
  <c r="BI288" i="20"/>
  <c r="BG288" i="20"/>
  <c r="BE288" i="20"/>
  <c r="BC288" i="20"/>
  <c r="BA288" i="20"/>
  <c r="AU288" i="20"/>
  <c r="AS288" i="20"/>
  <c r="AQ288" i="20"/>
  <c r="AO288" i="20"/>
  <c r="AI288" i="20"/>
  <c r="AG288" i="20"/>
  <c r="AE288" i="20"/>
  <c r="AC288" i="20"/>
  <c r="S288" i="20"/>
  <c r="R291" i="20" s="1"/>
  <c r="R288" i="20"/>
  <c r="Y284" i="20"/>
  <c r="X284" i="20"/>
  <c r="W284" i="20"/>
  <c r="W283" i="20"/>
  <c r="Y282" i="20"/>
  <c r="X282" i="20"/>
  <c r="W282" i="20"/>
  <c r="S274" i="20" s="1"/>
  <c r="Y280" i="20"/>
  <c r="Y277" i="20"/>
  <c r="X277" i="20"/>
  <c r="Y275" i="20"/>
  <c r="BJ274" i="20" s="1"/>
  <c r="BK274" i="20" s="1"/>
  <c r="X275" i="20"/>
  <c r="BI274" i="20"/>
  <c r="BG274" i="20"/>
  <c r="BE274" i="20"/>
  <c r="BC274" i="20"/>
  <c r="BA274" i="20"/>
  <c r="AU274" i="20"/>
  <c r="AS274" i="20"/>
  <c r="AQ274" i="20"/>
  <c r="AO274" i="20"/>
  <c r="AI274" i="20"/>
  <c r="AG274" i="20"/>
  <c r="AE274" i="20"/>
  <c r="AC274" i="20"/>
  <c r="W273" i="20"/>
  <c r="X271" i="20"/>
  <c r="BI259" i="20" s="1"/>
  <c r="W271" i="20"/>
  <c r="X270" i="20"/>
  <c r="Y268" i="20"/>
  <c r="W266" i="20"/>
  <c r="W264" i="20"/>
  <c r="W263" i="20"/>
  <c r="W262" i="20"/>
  <c r="W260" i="20"/>
  <c r="S259" i="20" s="1"/>
  <c r="BG259" i="20"/>
  <c r="BE259" i="20"/>
  <c r="BC259" i="20"/>
  <c r="BA259" i="20"/>
  <c r="AU259" i="20"/>
  <c r="AS259" i="20"/>
  <c r="AQ259" i="20"/>
  <c r="AO259" i="20"/>
  <c r="AM259" i="20"/>
  <c r="AL259" i="20"/>
  <c r="AJ259" i="20"/>
  <c r="AK259" i="20" s="1"/>
  <c r="AI259" i="20"/>
  <c r="AG259" i="20"/>
  <c r="AE259" i="20"/>
  <c r="AC259" i="20"/>
  <c r="Y259" i="20"/>
  <c r="BJ259" i="20" s="1"/>
  <c r="BK259" i="20" s="1"/>
  <c r="X259" i="20"/>
  <c r="W259" i="20"/>
  <c r="R257" i="20"/>
  <c r="Y255" i="20"/>
  <c r="X255" i="20"/>
  <c r="Y254" i="20"/>
  <c r="Y253" i="20"/>
  <c r="Y252" i="20"/>
  <c r="W252" i="20"/>
  <c r="BI250" i="20"/>
  <c r="BG250" i="20"/>
  <c r="BE250" i="20"/>
  <c r="BC250" i="20"/>
  <c r="BA250" i="20"/>
  <c r="AU250" i="20"/>
  <c r="AS250" i="20"/>
  <c r="AQ250" i="20"/>
  <c r="AO250" i="20"/>
  <c r="AM250" i="20"/>
  <c r="AK250" i="20"/>
  <c r="AI250" i="20"/>
  <c r="AG250" i="20"/>
  <c r="AE250" i="20"/>
  <c r="AC250" i="20"/>
  <c r="Y250" i="20"/>
  <c r="BJ250" i="20" s="1"/>
  <c r="BK250" i="20" s="1"/>
  <c r="S250" i="20"/>
  <c r="R250" i="20" s="1"/>
  <c r="X247" i="20"/>
  <c r="X242" i="20"/>
  <c r="Y240" i="20"/>
  <c r="Y239" i="20"/>
  <c r="Y237" i="20"/>
  <c r="Y235" i="20"/>
  <c r="X235" i="20"/>
  <c r="Y234" i="20"/>
  <c r="X234" i="20"/>
  <c r="Y227" i="20"/>
  <c r="X227" i="20"/>
  <c r="BI218" i="20" s="1"/>
  <c r="R225" i="20"/>
  <c r="X223" i="20"/>
  <c r="X220" i="20"/>
  <c r="BJ218" i="20"/>
  <c r="BK218" i="20" s="1"/>
  <c r="S218" i="20"/>
  <c r="R241" i="20" s="1"/>
  <c r="R218" i="20"/>
  <c r="Y210" i="20"/>
  <c r="BJ202" i="20" s="1"/>
  <c r="BK202" i="20" s="1"/>
  <c r="X210" i="20"/>
  <c r="BN202" i="20"/>
  <c r="BI202" i="20"/>
  <c r="BG202" i="20"/>
  <c r="BE202" i="20"/>
  <c r="BC202" i="20"/>
  <c r="BA202" i="20"/>
  <c r="AU202" i="20"/>
  <c r="AS202" i="20"/>
  <c r="AQ202" i="20"/>
  <c r="AO202" i="20"/>
  <c r="AI202" i="20"/>
  <c r="AG202" i="20"/>
  <c r="AE202" i="20"/>
  <c r="AC202" i="20"/>
  <c r="S202" i="20"/>
  <c r="R209" i="20" s="1"/>
  <c r="X198" i="20"/>
  <c r="BK190" i="20"/>
  <c r="BJ190" i="20"/>
  <c r="BI190" i="20"/>
  <c r="BG190" i="20"/>
  <c r="BE190" i="20"/>
  <c r="BC190" i="20"/>
  <c r="BA190" i="20"/>
  <c r="AU190" i="20"/>
  <c r="AS190" i="20"/>
  <c r="AQ190" i="20"/>
  <c r="AO190" i="20"/>
  <c r="AI190" i="20"/>
  <c r="AG190" i="20"/>
  <c r="AE190" i="20"/>
  <c r="AC190" i="20"/>
  <c r="S190" i="20"/>
  <c r="R196" i="20" s="1"/>
  <c r="R190" i="20"/>
  <c r="BJ180" i="20"/>
  <c r="BK180" i="20" s="1"/>
  <c r="BI180" i="20"/>
  <c r="AL180" i="20"/>
  <c r="AJ180" i="20"/>
  <c r="S180" i="20"/>
  <c r="R184" i="20" s="1"/>
  <c r="R180" i="20"/>
  <c r="Y178" i="20"/>
  <c r="X178" i="20"/>
  <c r="Y177" i="20"/>
  <c r="X177" i="20"/>
  <c r="W175" i="20"/>
  <c r="Y174" i="20"/>
  <c r="X174" i="20"/>
  <c r="Y172" i="20"/>
  <c r="BJ155" i="20" s="1"/>
  <c r="Y170" i="20"/>
  <c r="X170" i="20"/>
  <c r="X166" i="20"/>
  <c r="X163" i="20"/>
  <c r="BI155" i="20" s="1"/>
  <c r="X158" i="20"/>
  <c r="X156" i="20"/>
  <c r="W156" i="20"/>
  <c r="BG155" i="20"/>
  <c r="BE155" i="20"/>
  <c r="BC155" i="20"/>
  <c r="BA155" i="20"/>
  <c r="AU155" i="20"/>
  <c r="AS155" i="20"/>
  <c r="AQ155" i="20"/>
  <c r="AO155" i="20"/>
  <c r="AI155" i="20"/>
  <c r="AG155" i="20"/>
  <c r="AE155" i="20"/>
  <c r="AC155" i="20"/>
  <c r="S155" i="20"/>
  <c r="W154" i="20"/>
  <c r="W152" i="20"/>
  <c r="W150" i="20"/>
  <c r="W148" i="20"/>
  <c r="W146" i="20"/>
  <c r="Y145" i="20"/>
  <c r="W144" i="20"/>
  <c r="W142" i="20"/>
  <c r="W140" i="20"/>
  <c r="X139" i="20"/>
  <c r="X136" i="20"/>
  <c r="W136" i="20"/>
  <c r="W133" i="20"/>
  <c r="BJ131" i="20"/>
  <c r="BK131" i="20" s="1"/>
  <c r="BI131" i="20"/>
  <c r="BG131" i="20"/>
  <c r="BE131" i="20"/>
  <c r="BC131" i="20"/>
  <c r="BA131" i="20"/>
  <c r="AU131" i="20"/>
  <c r="AS131" i="20"/>
  <c r="AQ131" i="20"/>
  <c r="AO131" i="20"/>
  <c r="AM131" i="20"/>
  <c r="AK131" i="20"/>
  <c r="AI131" i="20"/>
  <c r="AG131" i="20"/>
  <c r="AE131" i="20"/>
  <c r="AC131" i="20"/>
  <c r="W131" i="20"/>
  <c r="S131" i="20"/>
  <c r="R131" i="20" s="1"/>
  <c r="BJ121" i="20"/>
  <c r="BK121" i="20" s="1"/>
  <c r="BI121" i="20"/>
  <c r="S121" i="20"/>
  <c r="R126" i="20" s="1"/>
  <c r="R121" i="20"/>
  <c r="BJ107" i="20"/>
  <c r="BK107" i="20" s="1"/>
  <c r="BI107" i="20"/>
  <c r="S107" i="20"/>
  <c r="R112" i="20" s="1"/>
  <c r="BK85" i="20"/>
  <c r="BJ85" i="20"/>
  <c r="BI85" i="20"/>
  <c r="BG85" i="20"/>
  <c r="AN85" i="20"/>
  <c r="AN107" i="20" s="1"/>
  <c r="AJ85" i="20"/>
  <c r="AJ107" i="20" s="1"/>
  <c r="S85" i="20"/>
  <c r="R101" i="20" s="1"/>
  <c r="W78" i="20"/>
  <c r="R67" i="20"/>
  <c r="BJ56" i="20"/>
  <c r="BK56" i="20" s="1"/>
  <c r="BI56" i="20"/>
  <c r="AL56" i="20"/>
  <c r="AL85" i="20" s="1"/>
  <c r="AJ56" i="20"/>
  <c r="S56" i="20"/>
  <c r="R79" i="20" s="1"/>
  <c r="R56" i="20"/>
  <c r="X54" i="20"/>
  <c r="BJ49" i="20"/>
  <c r="BK49" i="20" s="1"/>
  <c r="BI49" i="20"/>
  <c r="W49" i="20"/>
  <c r="W361" i="20" s="1"/>
  <c r="S49" i="20"/>
  <c r="R51" i="20" s="1"/>
  <c r="R49" i="20"/>
  <c r="Y44" i="20"/>
  <c r="X39" i="20"/>
  <c r="X361" i="20" s="1"/>
  <c r="BJ13" i="20"/>
  <c r="BI13" i="20"/>
  <c r="S13" i="20"/>
  <c r="S361" i="20" s="1"/>
  <c r="BK155" i="20" l="1"/>
  <c r="R274" i="20"/>
  <c r="R280" i="20"/>
  <c r="BI361" i="20"/>
  <c r="BJ361" i="20"/>
  <c r="AL107" i="20"/>
  <c r="BF85" i="20"/>
  <c r="R23" i="20"/>
  <c r="R116" i="20"/>
  <c r="R147" i="20"/>
  <c r="Y361" i="20"/>
  <c r="R33" i="20"/>
  <c r="R96" i="20"/>
  <c r="R207" i="20"/>
  <c r="R13" i="20"/>
  <c r="BK13" i="20"/>
  <c r="R62" i="20"/>
  <c r="R85" i="20"/>
  <c r="R107" i="20"/>
  <c r="R202" i="20"/>
  <c r="R234" i="20"/>
  <c r="R295" i="20"/>
  <c r="R336" i="20"/>
  <c r="V134" i="17"/>
  <c r="U134" i="17"/>
  <c r="V132" i="17"/>
  <c r="U132" i="17"/>
  <c r="Y188" i="19" l="1"/>
  <c r="W188" i="19"/>
  <c r="Y187" i="19"/>
  <c r="W187" i="19"/>
  <c r="W180" i="19"/>
  <c r="W179" i="19"/>
  <c r="Y178" i="19"/>
  <c r="W178" i="19"/>
  <c r="W177" i="19"/>
  <c r="BK203" i="19" l="1"/>
  <c r="BJ203" i="19"/>
  <c r="BI203" i="19"/>
  <c r="S203" i="19"/>
  <c r="R203" i="19"/>
  <c r="X199" i="19"/>
  <c r="BI196" i="19"/>
  <c r="Y196" i="19"/>
  <c r="BJ196" i="19" s="1"/>
  <c r="BK196" i="19" s="1"/>
  <c r="X196" i="19"/>
  <c r="S196" i="19"/>
  <c r="R196" i="19"/>
  <c r="Y181" i="19"/>
  <c r="BJ167" i="19" s="1"/>
  <c r="X181" i="19"/>
  <c r="S167" i="19"/>
  <c r="BI167" i="19"/>
  <c r="Y162" i="19"/>
  <c r="BJ161" i="19"/>
  <c r="BK161" i="19" s="1"/>
  <c r="BI161" i="19"/>
  <c r="S161" i="19"/>
  <c r="R161" i="19" s="1"/>
  <c r="Y157" i="19"/>
  <c r="Y155" i="19"/>
  <c r="Y153" i="19"/>
  <c r="Y151" i="19"/>
  <c r="Y149" i="19"/>
  <c r="Y145" i="19"/>
  <c r="BJ130" i="19" s="1"/>
  <c r="BK130" i="19" s="1"/>
  <c r="Y143" i="19"/>
  <c r="W143" i="19"/>
  <c r="R134" i="19"/>
  <c r="Y132" i="19"/>
  <c r="BI130" i="19"/>
  <c r="S130" i="19"/>
  <c r="R147" i="19" s="1"/>
  <c r="R130" i="19"/>
  <c r="Y119" i="19"/>
  <c r="BJ110" i="19"/>
  <c r="BK110" i="19" s="1"/>
  <c r="BI110" i="19"/>
  <c r="S110" i="19"/>
  <c r="R116" i="19" s="1"/>
  <c r="R106" i="19"/>
  <c r="Y103" i="19"/>
  <c r="X103" i="19"/>
  <c r="X101" i="19"/>
  <c r="R101" i="19"/>
  <c r="Y100" i="19"/>
  <c r="X100" i="19"/>
  <c r="BJ99" i="19"/>
  <c r="X99" i="19"/>
  <c r="BI99" i="19" s="1"/>
  <c r="S99" i="19"/>
  <c r="R99" i="19"/>
  <c r="Y96" i="19"/>
  <c r="X96" i="19"/>
  <c r="Y95" i="19"/>
  <c r="X95" i="19"/>
  <c r="Y94" i="19"/>
  <c r="X94" i="19"/>
  <c r="Y93" i="19"/>
  <c r="X93" i="19"/>
  <c r="Y91" i="19"/>
  <c r="X91" i="19"/>
  <c r="R91" i="19"/>
  <c r="Y89" i="19"/>
  <c r="X89" i="19"/>
  <c r="Y88" i="19"/>
  <c r="X88" i="19"/>
  <c r="Y87" i="19"/>
  <c r="X87" i="19"/>
  <c r="Y83" i="19"/>
  <c r="R83" i="19"/>
  <c r="Y82" i="19"/>
  <c r="X82" i="19"/>
  <c r="X80" i="19"/>
  <c r="Y78" i="19"/>
  <c r="X78" i="19"/>
  <c r="Y77" i="19"/>
  <c r="X77" i="19"/>
  <c r="Y75" i="19"/>
  <c r="X75" i="19"/>
  <c r="Y74" i="19"/>
  <c r="X74" i="19"/>
  <c r="Y72" i="19"/>
  <c r="Y71" i="19"/>
  <c r="X71" i="19"/>
  <c r="Y70" i="19"/>
  <c r="X70" i="19"/>
  <c r="Y69" i="19"/>
  <c r="X69" i="19"/>
  <c r="Y68" i="19"/>
  <c r="BJ68" i="19" s="1"/>
  <c r="BK68" i="19" s="1"/>
  <c r="X68" i="19"/>
  <c r="BI68" i="19" s="1"/>
  <c r="W68" i="19"/>
  <c r="W208" i="19" s="1"/>
  <c r="S68" i="19"/>
  <c r="R94" i="19" s="1"/>
  <c r="Y65" i="19"/>
  <c r="X65" i="19"/>
  <c r="Y64" i="19"/>
  <c r="Y63" i="19"/>
  <c r="X63" i="19"/>
  <c r="Y62" i="19"/>
  <c r="X62" i="19"/>
  <c r="Y61" i="19"/>
  <c r="Y60" i="19"/>
  <c r="X60" i="19"/>
  <c r="Y59" i="19"/>
  <c r="X59" i="19"/>
  <c r="X58" i="19"/>
  <c r="Y56" i="19"/>
  <c r="X56" i="19"/>
  <c r="Y54" i="19"/>
  <c r="X54" i="19"/>
  <c r="Y53" i="19"/>
  <c r="Y52" i="19"/>
  <c r="BJ51" i="19" s="1"/>
  <c r="BK51" i="19" s="1"/>
  <c r="X52" i="19"/>
  <c r="BI51" i="19"/>
  <c r="Y51" i="19"/>
  <c r="S51" i="19"/>
  <c r="R65" i="19" s="1"/>
  <c r="Y48" i="19"/>
  <c r="Y208" i="19" s="1"/>
  <c r="X48" i="19"/>
  <c r="Y47" i="19"/>
  <c r="X44" i="19"/>
  <c r="Y43" i="19"/>
  <c r="X43" i="19"/>
  <c r="X21" i="19"/>
  <c r="X20" i="19"/>
  <c r="BI13" i="19" s="1"/>
  <c r="S13" i="19"/>
  <c r="R16" i="19" s="1"/>
  <c r="R13" i="19"/>
  <c r="BK167" i="19" l="1"/>
  <c r="BK99" i="19"/>
  <c r="BI208" i="19"/>
  <c r="R187" i="19"/>
  <c r="R181" i="19"/>
  <c r="R186" i="19"/>
  <c r="R167" i="19"/>
  <c r="R190" i="19"/>
  <c r="BJ13" i="19"/>
  <c r="R20" i="19"/>
  <c r="R145" i="19"/>
  <c r="R148" i="19"/>
  <c r="R163" i="19"/>
  <c r="X208" i="19"/>
  <c r="R15" i="19"/>
  <c r="R47" i="19"/>
  <c r="R51" i="19"/>
  <c r="R68" i="19"/>
  <c r="R81" i="19"/>
  <c r="R110" i="19"/>
  <c r="R131" i="19"/>
  <c r="R146" i="19"/>
  <c r="S208" i="19"/>
  <c r="R58" i="19"/>
  <c r="R132" i="19"/>
  <c r="V23" i="18"/>
  <c r="U23" i="18"/>
  <c r="T23" i="18"/>
  <c r="P21" i="18"/>
  <c r="P19" i="18"/>
  <c r="K19" i="18"/>
  <c r="P18" i="18"/>
  <c r="K18" i="18"/>
  <c r="BH16" i="18"/>
  <c r="BG16" i="18"/>
  <c r="BF16" i="18"/>
  <c r="BE16" i="18"/>
  <c r="BE23" i="18" s="1"/>
  <c r="AI16" i="18"/>
  <c r="AJ16" i="18" s="1"/>
  <c r="AH16" i="18"/>
  <c r="AG16" i="18"/>
  <c r="AE16" i="18"/>
  <c r="AF16" i="18" s="1"/>
  <c r="AD16" i="18"/>
  <c r="AC16" i="18"/>
  <c r="BC16" i="18" s="1"/>
  <c r="AA16" i="18"/>
  <c r="AB16" i="18" s="1"/>
  <c r="Z16" i="18"/>
  <c r="Y16" i="18"/>
  <c r="P16" i="18"/>
  <c r="K16" i="18"/>
  <c r="BH13" i="18"/>
  <c r="BG13" i="18"/>
  <c r="BG23" i="18" s="1"/>
  <c r="BF13" i="18"/>
  <c r="BF23" i="18" s="1"/>
  <c r="BC13" i="18"/>
  <c r="P13" i="18"/>
  <c r="P23" i="18" s="1"/>
  <c r="K13" i="18"/>
  <c r="BJ208" i="19" l="1"/>
  <c r="BK13" i="19"/>
  <c r="O21" i="18"/>
  <c r="O13" i="18"/>
  <c r="O16" i="18"/>
  <c r="O19" i="18"/>
  <c r="O18" i="18"/>
  <c r="BH23" i="18"/>
  <c r="T134" i="17"/>
  <c r="T132" i="17"/>
  <c r="T127" i="17"/>
  <c r="T126" i="17"/>
  <c r="BG123" i="17"/>
  <c r="BF123" i="17"/>
  <c r="BD123" i="17"/>
  <c r="BC123" i="17"/>
  <c r="P123" i="17"/>
  <c r="O131" i="17" s="1"/>
  <c r="T117" i="17"/>
  <c r="T115" i="17"/>
  <c r="BH114" i="17"/>
  <c r="BG114" i="17"/>
  <c r="BF114" i="17"/>
  <c r="BD114" i="17"/>
  <c r="BC114" i="17"/>
  <c r="T114" i="17"/>
  <c r="P114" i="17" s="1"/>
  <c r="O114" i="17" s="1"/>
  <c r="BH109" i="17"/>
  <c r="BG109" i="17"/>
  <c r="BF109" i="17"/>
  <c r="BD109" i="17"/>
  <c r="BC109" i="17"/>
  <c r="P109" i="17"/>
  <c r="O109" i="17" s="1"/>
  <c r="V106" i="17"/>
  <c r="BG105" i="17" s="1"/>
  <c r="U106" i="17"/>
  <c r="BF105" i="17" s="1"/>
  <c r="BC105" i="17"/>
  <c r="AN105" i="17"/>
  <c r="P105" i="17"/>
  <c r="O105" i="17"/>
  <c r="BH102" i="17"/>
  <c r="BG102" i="17"/>
  <c r="BF102" i="17"/>
  <c r="BD102" i="17"/>
  <c r="BC102" i="17"/>
  <c r="AL102" i="17"/>
  <c r="P102" i="17"/>
  <c r="O102" i="17"/>
  <c r="BH99" i="17"/>
  <c r="BG99" i="17"/>
  <c r="BF99" i="17"/>
  <c r="BD99" i="17"/>
  <c r="BC99" i="17"/>
  <c r="P99" i="17"/>
  <c r="O99" i="17" s="1"/>
  <c r="BD94" i="17"/>
  <c r="BC94" i="17"/>
  <c r="V94" i="17"/>
  <c r="V135" i="17" s="1"/>
  <c r="U94" i="17"/>
  <c r="U135" i="17" s="1"/>
  <c r="P94" i="17"/>
  <c r="O94" i="17"/>
  <c r="BG77" i="17"/>
  <c r="BF77" i="17"/>
  <c r="BH77" i="17" s="1"/>
  <c r="BD77" i="17"/>
  <c r="BC77" i="17"/>
  <c r="P77" i="17"/>
  <c r="T74" i="17"/>
  <c r="T66" i="17"/>
  <c r="T65" i="17"/>
  <c r="P58" i="17" s="1"/>
  <c r="O58" i="17" s="1"/>
  <c r="T63" i="17"/>
  <c r="T62" i="17"/>
  <c r="T59" i="17"/>
  <c r="BH58" i="17"/>
  <c r="BG58" i="17"/>
  <c r="BF58" i="17"/>
  <c r="BD58" i="17"/>
  <c r="BC58" i="17"/>
  <c r="T52" i="17"/>
  <c r="T46" i="17"/>
  <c r="BG45" i="17"/>
  <c r="BH45" i="17" s="1"/>
  <c r="BF45" i="17"/>
  <c r="BD45" i="17"/>
  <c r="BC45" i="17"/>
  <c r="P45" i="17"/>
  <c r="O54" i="17" s="1"/>
  <c r="T42" i="17"/>
  <c r="T41" i="17"/>
  <c r="T37" i="17"/>
  <c r="T36" i="17"/>
  <c r="T35" i="17"/>
  <c r="T32" i="17"/>
  <c r="BG31" i="17"/>
  <c r="BH31" i="17" s="1"/>
  <c r="BF31" i="17"/>
  <c r="BD31" i="17"/>
  <c r="BC31" i="17"/>
  <c r="AH31" i="17"/>
  <c r="AF31" i="17"/>
  <c r="AD31" i="17"/>
  <c r="T31" i="17"/>
  <c r="P31" i="17" s="1"/>
  <c r="T26" i="17"/>
  <c r="T25" i="17"/>
  <c r="T24" i="17"/>
  <c r="T135" i="17" s="1"/>
  <c r="BH23" i="17"/>
  <c r="BG23" i="17"/>
  <c r="BF23" i="17"/>
  <c r="BC23" i="17"/>
  <c r="AH23" i="17"/>
  <c r="BD23" i="17" s="1"/>
  <c r="P23" i="17"/>
  <c r="O23" i="17" s="1"/>
  <c r="BG13" i="17"/>
  <c r="BF13" i="17"/>
  <c r="BD13" i="17"/>
  <c r="BC13" i="17"/>
  <c r="AH13" i="17"/>
  <c r="AD13" i="17"/>
  <c r="P13" i="17"/>
  <c r="P135" i="17" s="1"/>
  <c r="BH123" i="17" l="1"/>
  <c r="O31" i="17"/>
  <c r="O41" i="17"/>
  <c r="O38" i="17"/>
  <c r="BH105" i="17"/>
  <c r="BG135" i="17"/>
  <c r="O17" i="17"/>
  <c r="BG94" i="17"/>
  <c r="O130" i="17"/>
  <c r="O13" i="17"/>
  <c r="BH13" i="17"/>
  <c r="O45" i="17"/>
  <c r="O51" i="17"/>
  <c r="BF94" i="17"/>
  <c r="BF135" i="17" s="1"/>
  <c r="O123" i="17"/>
  <c r="O133" i="17"/>
  <c r="BH94" i="17" l="1"/>
  <c r="BH128" i="15" l="1"/>
  <c r="W127" i="15"/>
  <c r="BJ126" i="15"/>
  <c r="BK126" i="15" s="1"/>
  <c r="BI126" i="15"/>
  <c r="W126" i="15"/>
  <c r="S126" i="15"/>
  <c r="R126" i="15"/>
  <c r="R123" i="15"/>
  <c r="BJ121" i="15"/>
  <c r="BK121" i="15" s="1"/>
  <c r="BI121" i="15"/>
  <c r="BF121" i="15"/>
  <c r="S121" i="15"/>
  <c r="R121" i="15" s="1"/>
  <c r="BK119" i="15"/>
  <c r="BJ119" i="15"/>
  <c r="BI119" i="15"/>
  <c r="BF119" i="15"/>
  <c r="S119" i="15"/>
  <c r="R119" i="15" s="1"/>
  <c r="BI115" i="15"/>
  <c r="BK115" i="15" s="1"/>
  <c r="W115" i="15"/>
  <c r="S111" i="15"/>
  <c r="R113" i="15" s="1"/>
  <c r="S105" i="15"/>
  <c r="R105" i="15" s="1"/>
  <c r="W104" i="15"/>
  <c r="R103" i="15" s="1"/>
  <c r="W100" i="15"/>
  <c r="BK98" i="15"/>
  <c r="BJ98" i="15"/>
  <c r="BI98" i="15"/>
  <c r="S98" i="15"/>
  <c r="R101" i="15" s="1"/>
  <c r="S92" i="15"/>
  <c r="W89" i="15"/>
  <c r="W85" i="15"/>
  <c r="BJ84" i="15"/>
  <c r="BK84" i="15" s="1"/>
  <c r="BI84" i="15"/>
  <c r="W84" i="15"/>
  <c r="S84" i="15" s="1"/>
  <c r="R84" i="15" s="1"/>
  <c r="W80" i="15"/>
  <c r="S76" i="15" s="1"/>
  <c r="W77" i="15"/>
  <c r="BK76" i="15"/>
  <c r="BJ76" i="15"/>
  <c r="BI76" i="15"/>
  <c r="W74" i="15"/>
  <c r="W73" i="15"/>
  <c r="W71" i="15"/>
  <c r="S54" i="15" s="1"/>
  <c r="W69" i="15"/>
  <c r="W68" i="15"/>
  <c r="W62" i="15"/>
  <c r="Y61" i="15"/>
  <c r="BJ54" i="15" s="1"/>
  <c r="BK54" i="15" s="1"/>
  <c r="X61" i="15"/>
  <c r="W61" i="15"/>
  <c r="Y60" i="15"/>
  <c r="X60" i="15"/>
  <c r="W60" i="15"/>
  <c r="N58" i="15"/>
  <c r="W57" i="15"/>
  <c r="N56" i="15"/>
  <c r="W55" i="15"/>
  <c r="BI54" i="15"/>
  <c r="BI128" i="15" s="1"/>
  <c r="W54" i="15"/>
  <c r="W46" i="15"/>
  <c r="BK44" i="15"/>
  <c r="BJ44" i="15"/>
  <c r="BI44" i="15"/>
  <c r="W41" i="15"/>
  <c r="W38" i="15"/>
  <c r="BK37" i="15"/>
  <c r="Y37" i="15"/>
  <c r="S37" i="15"/>
  <c r="W36" i="15"/>
  <c r="W35" i="15"/>
  <c r="R35" i="15" s="1"/>
  <c r="W28" i="15"/>
  <c r="W128" i="15" s="1"/>
  <c r="BJ27" i="15"/>
  <c r="BK27" i="15" s="1"/>
  <c r="BI27" i="15"/>
  <c r="S27" i="15"/>
  <c r="R30" i="15" s="1"/>
  <c r="W25" i="15"/>
  <c r="W22" i="15"/>
  <c r="W16" i="15"/>
  <c r="W15" i="15"/>
  <c r="Y13" i="15"/>
  <c r="Y128" i="15" s="1"/>
  <c r="X13" i="15"/>
  <c r="X128" i="15" s="1"/>
  <c r="W13" i="15"/>
  <c r="S11" i="15" s="1"/>
  <c r="BJ11" i="15"/>
  <c r="BJ128" i="15" s="1"/>
  <c r="BK128" i="15" s="1"/>
  <c r="BI11" i="15"/>
  <c r="BF11" i="15"/>
  <c r="R16" i="15" l="1"/>
  <c r="R22" i="15"/>
  <c r="R11" i="15"/>
  <c r="R78" i="15"/>
  <c r="R82" i="15"/>
  <c r="R76" i="15"/>
  <c r="R74" i="15"/>
  <c r="R63" i="15"/>
  <c r="R60" i="15"/>
  <c r="R57" i="15"/>
  <c r="R67" i="15"/>
  <c r="R58" i="15"/>
  <c r="R56" i="15"/>
  <c r="R54" i="15"/>
  <c r="R66" i="15"/>
  <c r="R27" i="15"/>
  <c r="R32" i="15"/>
  <c r="R71" i="15"/>
  <c r="R80" i="15"/>
  <c r="R98" i="15"/>
  <c r="R111" i="15"/>
  <c r="S115" i="15"/>
  <c r="R115" i="15" s="1"/>
  <c r="BK11" i="15"/>
  <c r="R29" i="15"/>
  <c r="S44" i="15"/>
  <c r="R33" i="15"/>
  <c r="R99" i="15"/>
  <c r="R48" i="15" l="1"/>
  <c r="R49" i="15"/>
  <c r="R45" i="15"/>
  <c r="S128" i="15"/>
  <c r="BK19" i="12"/>
  <c r="BJ19" i="12"/>
  <c r="BI19" i="12"/>
  <c r="BH19" i="12"/>
  <c r="W149" i="13" l="1"/>
  <c r="W145" i="13"/>
  <c r="X144" i="13"/>
  <c r="W142" i="13"/>
  <c r="X141" i="13"/>
  <c r="BI132" i="13" s="1"/>
  <c r="W135" i="13"/>
  <c r="W133" i="13"/>
  <c r="R132" i="13" s="1"/>
  <c r="BJ132" i="13"/>
  <c r="BG132" i="13"/>
  <c r="BF132" i="13"/>
  <c r="S132" i="13"/>
  <c r="R141" i="13" s="1"/>
  <c r="W130" i="13"/>
  <c r="S120" i="13" s="1"/>
  <c r="W129" i="13"/>
  <c r="BK120" i="13"/>
  <c r="BJ120" i="13"/>
  <c r="BI120" i="13"/>
  <c r="BG120" i="13"/>
  <c r="BF120" i="13"/>
  <c r="BC120" i="13"/>
  <c r="BB120" i="13"/>
  <c r="W119" i="13"/>
  <c r="W118" i="13"/>
  <c r="W117" i="13"/>
  <c r="W116" i="13"/>
  <c r="W115" i="13"/>
  <c r="W114" i="13"/>
  <c r="W113" i="13"/>
  <c r="W112" i="13"/>
  <c r="W111" i="13"/>
  <c r="W110" i="13"/>
  <c r="W109" i="13"/>
  <c r="W108" i="13"/>
  <c r="W106" i="13"/>
  <c r="W105" i="13"/>
  <c r="W104" i="13"/>
  <c r="W103" i="13"/>
  <c r="W102" i="13"/>
  <c r="W101" i="13"/>
  <c r="W100" i="13"/>
  <c r="W99" i="13"/>
  <c r="W98" i="13"/>
  <c r="BJ97" i="13"/>
  <c r="BK97" i="13" s="1"/>
  <c r="BI97" i="13"/>
  <c r="BG97" i="13"/>
  <c r="BF97" i="13"/>
  <c r="W97" i="13"/>
  <c r="S97" i="13" s="1"/>
  <c r="W96" i="13"/>
  <c r="S94" i="13" s="1"/>
  <c r="BF94" i="13"/>
  <c r="W93" i="13"/>
  <c r="W92" i="13"/>
  <c r="W90" i="13"/>
  <c r="W89" i="13"/>
  <c r="W88" i="13"/>
  <c r="W87" i="13"/>
  <c r="W85" i="13"/>
  <c r="S84" i="13" s="1"/>
  <c r="BJ84" i="13"/>
  <c r="BI84" i="13"/>
  <c r="BK84" i="13" s="1"/>
  <c r="BG84" i="13"/>
  <c r="BF84" i="13"/>
  <c r="W83" i="13"/>
  <c r="W81" i="13"/>
  <c r="W76" i="13"/>
  <c r="W75" i="13"/>
  <c r="W74" i="13"/>
  <c r="W73" i="13"/>
  <c r="W72" i="13"/>
  <c r="W71" i="13"/>
  <c r="W70" i="13"/>
  <c r="W69" i="13"/>
  <c r="BJ68" i="13"/>
  <c r="BI68" i="13"/>
  <c r="BF68" i="13"/>
  <c r="AI68" i="13"/>
  <c r="AG68" i="13"/>
  <c r="AE68" i="13"/>
  <c r="AC68" i="13"/>
  <c r="BG68" i="13" s="1"/>
  <c r="W68" i="13"/>
  <c r="S68" i="13"/>
  <c r="R77" i="13" s="1"/>
  <c r="W65" i="13"/>
  <c r="W64" i="13"/>
  <c r="W63" i="13"/>
  <c r="W62" i="13"/>
  <c r="W61" i="13"/>
  <c r="W60" i="13"/>
  <c r="W59" i="13"/>
  <c r="Y58" i="13"/>
  <c r="W58" i="13"/>
  <c r="W153" i="13" s="1"/>
  <c r="W57" i="13"/>
  <c r="Y56" i="13"/>
  <c r="X56" i="13"/>
  <c r="Y54" i="13"/>
  <c r="BJ53" i="13" s="1"/>
  <c r="BK53" i="13" s="1"/>
  <c r="X54" i="13"/>
  <c r="BI53" i="13"/>
  <c r="BG53" i="13"/>
  <c r="BF53" i="13"/>
  <c r="X53" i="13"/>
  <c r="X153" i="13" s="1"/>
  <c r="S53" i="13"/>
  <c r="BJ35" i="13"/>
  <c r="BK35" i="13" s="1"/>
  <c r="BI35" i="13"/>
  <c r="BG35" i="13"/>
  <c r="BF35" i="13"/>
  <c r="S35" i="13"/>
  <c r="BJ12" i="13"/>
  <c r="BK12" i="13" s="1"/>
  <c r="BI12" i="13"/>
  <c r="BI153" i="13" s="1"/>
  <c r="BG12" i="13"/>
  <c r="BF12" i="13"/>
  <c r="S12" i="13"/>
  <c r="BK68" i="13" l="1"/>
  <c r="BK132" i="13"/>
  <c r="S153" i="13"/>
  <c r="R78" i="13"/>
  <c r="R151" i="13"/>
  <c r="Y153" i="13"/>
  <c r="R79" i="13"/>
  <c r="R137" i="13"/>
  <c r="R147" i="13"/>
  <c r="R80" i="13"/>
  <c r="R139" i="13"/>
  <c r="R144" i="13"/>
  <c r="R148" i="13"/>
  <c r="BJ153" i="13"/>
  <c r="BK153" i="13" s="1"/>
  <c r="R68" i="13"/>
  <c r="R134" i="13"/>
  <c r="Y19" i="12" l="1"/>
  <c r="X19" i="12"/>
  <c r="W19" i="12"/>
  <c r="BK13" i="12"/>
  <c r="BJ13" i="12"/>
  <c r="BI13" i="12"/>
  <c r="BF13" i="12"/>
  <c r="BG13" i="12" s="1"/>
  <c r="BC13" i="12"/>
  <c r="AM13" i="12"/>
  <c r="AK13" i="12"/>
  <c r="AI13" i="12"/>
  <c r="AG13" i="12"/>
  <c r="AE13" i="12"/>
  <c r="AC13" i="12"/>
  <c r="S13" i="12"/>
  <c r="R17" i="12" s="1"/>
  <c r="R13" i="12" l="1"/>
  <c r="S19" i="12"/>
  <c r="R15" i="12"/>
  <c r="Y57" i="11"/>
  <c r="X57" i="11"/>
  <c r="W57" i="11"/>
  <c r="R56" i="11"/>
  <c r="BJ55" i="11"/>
  <c r="BI55" i="11"/>
  <c r="BG55" i="11"/>
  <c r="S55" i="11"/>
  <c r="R55" i="11" s="1"/>
  <c r="R51" i="11"/>
  <c r="BJ50" i="11"/>
  <c r="BI50" i="11"/>
  <c r="BG50" i="11"/>
  <c r="BF50" i="11"/>
  <c r="S50" i="11"/>
  <c r="R52" i="11" s="1"/>
  <c r="R48" i="11"/>
  <c r="R44" i="11"/>
  <c r="R43" i="11"/>
  <c r="R40" i="11"/>
  <c r="R39" i="11"/>
  <c r="BJ38" i="11"/>
  <c r="BI38" i="11"/>
  <c r="BK38" i="11" s="1"/>
  <c r="BG38" i="11"/>
  <c r="BF38" i="11"/>
  <c r="S38" i="11"/>
  <c r="R46" i="11" s="1"/>
  <c r="R38" i="11"/>
  <c r="R32" i="11"/>
  <c r="R31" i="11"/>
  <c r="BJ30" i="11"/>
  <c r="BI30" i="11"/>
  <c r="BK30" i="11" s="1"/>
  <c r="BG30" i="11"/>
  <c r="BF30" i="11"/>
  <c r="S30" i="11"/>
  <c r="R34" i="11" s="1"/>
  <c r="R30" i="11"/>
  <c r="R25" i="11"/>
  <c r="BJ24" i="11"/>
  <c r="BI24" i="11"/>
  <c r="BK24" i="11" s="1"/>
  <c r="BG24" i="11"/>
  <c r="BF24" i="11"/>
  <c r="S24" i="11"/>
  <c r="R27" i="11" s="1"/>
  <c r="R22" i="11"/>
  <c r="BP21" i="11"/>
  <c r="BJ21" i="11"/>
  <c r="BI21" i="11"/>
  <c r="BK21" i="11" s="1"/>
  <c r="S21" i="11"/>
  <c r="R21" i="11" s="1"/>
  <c r="R18" i="11"/>
  <c r="R14" i="11"/>
  <c r="BJ13" i="11"/>
  <c r="BI13" i="11"/>
  <c r="BI57" i="11" s="1"/>
  <c r="BG13" i="11"/>
  <c r="BF13" i="11"/>
  <c r="S13" i="11"/>
  <c r="R16" i="11" s="1"/>
  <c r="BJ57" i="11" l="1"/>
  <c r="BK13" i="11"/>
  <c r="R17" i="11"/>
  <c r="R28" i="11"/>
  <c r="R35" i="11"/>
  <c r="R47" i="11"/>
  <c r="BK50" i="11"/>
  <c r="BK55" i="11"/>
  <c r="R13" i="11"/>
  <c r="R15" i="11"/>
  <c r="R19" i="11"/>
  <c r="R24" i="11"/>
  <c r="R26" i="11"/>
  <c r="R33" i="11"/>
  <c r="R41" i="11"/>
  <c r="R45" i="11"/>
  <c r="R50" i="11"/>
  <c r="S57" i="11"/>
  <c r="R42" i="11"/>
  <c r="BG75" i="10"/>
  <c r="BF75" i="10"/>
  <c r="V75" i="10"/>
  <c r="U75" i="10"/>
  <c r="O74" i="10"/>
  <c r="O73" i="10"/>
  <c r="O72" i="10"/>
  <c r="O71" i="10"/>
  <c r="BH70" i="10"/>
  <c r="BD70" i="10"/>
  <c r="BC70" i="10"/>
  <c r="O70" i="10"/>
  <c r="T66" i="10"/>
  <c r="O66" i="10" s="1"/>
  <c r="BH65" i="10"/>
  <c r="BC65" i="10"/>
  <c r="T65" i="10"/>
  <c r="O65" i="10" s="1"/>
  <c r="O63" i="10"/>
  <c r="O62" i="10"/>
  <c r="O61" i="10"/>
  <c r="BH60" i="10"/>
  <c r="BC60" i="10"/>
  <c r="O60" i="10"/>
  <c r="BH57" i="10"/>
  <c r="BC57" i="10"/>
  <c r="O57" i="10"/>
  <c r="BH54" i="10"/>
  <c r="BC54" i="10"/>
  <c r="P54" i="10"/>
  <c r="O54" i="10" s="1"/>
  <c r="J52" i="10"/>
  <c r="T50" i="10"/>
  <c r="T49" i="10"/>
  <c r="T48" i="10"/>
  <c r="T47" i="10"/>
  <c r="T46" i="10"/>
  <c r="BH45" i="10"/>
  <c r="BD45" i="10"/>
  <c r="BC45" i="10"/>
  <c r="AH45" i="10"/>
  <c r="T45" i="10"/>
  <c r="P45" i="10" s="1"/>
  <c r="O43" i="10"/>
  <c r="O40" i="10"/>
  <c r="O38" i="10"/>
  <c r="BH36" i="10"/>
  <c r="BD36" i="10"/>
  <c r="BC36" i="10"/>
  <c r="O36" i="10"/>
  <c r="BH28" i="10"/>
  <c r="BC28" i="10"/>
  <c r="P28" i="10"/>
  <c r="O32" i="10" s="1"/>
  <c r="T24" i="10"/>
  <c r="T75" i="10" s="1"/>
  <c r="BH23" i="10"/>
  <c r="BC23" i="10"/>
  <c r="O23" i="10"/>
  <c r="O21" i="10"/>
  <c r="BH20" i="10"/>
  <c r="BC20" i="10"/>
  <c r="O20" i="10"/>
  <c r="O18" i="10"/>
  <c r="O17" i="10"/>
  <c r="O16" i="10"/>
  <c r="O15" i="10"/>
  <c r="BH13" i="10"/>
  <c r="BC13" i="10"/>
  <c r="O13" i="10"/>
  <c r="O51" i="10" l="1"/>
  <c r="O45" i="10"/>
  <c r="O53" i="10"/>
  <c r="O52" i="10"/>
  <c r="O28" i="10"/>
  <c r="O29" i="10"/>
  <c r="O30" i="10"/>
  <c r="O31" i="10"/>
  <c r="P75" i="10"/>
  <c r="BJ64" i="9"/>
  <c r="BC64" i="9" s="1"/>
  <c r="BI64" i="9"/>
  <c r="BH64" i="9"/>
  <c r="BF64" i="9"/>
  <c r="BE64" i="9"/>
  <c r="AW64" i="9"/>
  <c r="AO64" i="9"/>
  <c r="AG64" i="9"/>
  <c r="S64" i="9"/>
  <c r="R64" i="9"/>
  <c r="W62" i="9"/>
  <c r="W61" i="9"/>
  <c r="W60" i="9"/>
  <c r="W59" i="9"/>
  <c r="W58" i="9"/>
  <c r="W57" i="9"/>
  <c r="R57" i="9" s="1"/>
  <c r="W55" i="9"/>
  <c r="Y52" i="9"/>
  <c r="X52" i="9"/>
  <c r="Y45" i="9"/>
  <c r="BI44" i="9" s="1"/>
  <c r="BJ44" i="9" s="1"/>
  <c r="X45" i="9"/>
  <c r="X65" i="9" s="1"/>
  <c r="BH44" i="9"/>
  <c r="S44" i="9"/>
  <c r="R63" i="9" s="1"/>
  <c r="W41" i="9"/>
  <c r="W35" i="9"/>
  <c r="BI31" i="9"/>
  <c r="BJ31" i="9" s="1"/>
  <c r="BH31" i="9"/>
  <c r="S31" i="9"/>
  <c r="R31" i="9" s="1"/>
  <c r="BI26" i="9"/>
  <c r="BJ26" i="9" s="1"/>
  <c r="BH26" i="9"/>
  <c r="S26" i="9"/>
  <c r="R26" i="9"/>
  <c r="BI25" i="9"/>
  <c r="BJ25" i="9" s="1"/>
  <c r="BH25" i="9"/>
  <c r="S25" i="9"/>
  <c r="R25" i="9"/>
  <c r="BJ23" i="9"/>
  <c r="BI23" i="9"/>
  <c r="BH23" i="9"/>
  <c r="S23" i="9"/>
  <c r="R23" i="9"/>
  <c r="W22" i="9"/>
  <c r="BI21" i="9"/>
  <c r="BJ21" i="9" s="1"/>
  <c r="BH21" i="9"/>
  <c r="BH65" i="9" s="1"/>
  <c r="BH67" i="9" s="1"/>
  <c r="S21" i="9"/>
  <c r="R21" i="9"/>
  <c r="BI13" i="9"/>
  <c r="BI65" i="9" s="1"/>
  <c r="BH13" i="9"/>
  <c r="W13" i="9"/>
  <c r="W65" i="9" s="1"/>
  <c r="S13" i="9"/>
  <c r="S65" i="9" s="1"/>
  <c r="R13" i="9"/>
  <c r="BE44" i="9" l="1"/>
  <c r="AW44" i="9"/>
  <c r="AO44" i="9"/>
  <c r="AG44" i="9"/>
  <c r="BA44" i="9"/>
  <c r="AK44" i="9"/>
  <c r="AY44" i="9"/>
  <c r="AQ44" i="9"/>
  <c r="AI44" i="9"/>
  <c r="BC44" i="9"/>
  <c r="AU44" i="9"/>
  <c r="AM44" i="9"/>
  <c r="AE44" i="9"/>
  <c r="AS44" i="9"/>
  <c r="AC44" i="9"/>
  <c r="BE31" i="9"/>
  <c r="AW31" i="9"/>
  <c r="AO31" i="9"/>
  <c r="AG31" i="9"/>
  <c r="BA31" i="9"/>
  <c r="AS31" i="9"/>
  <c r="AK31" i="9"/>
  <c r="AC31" i="9"/>
  <c r="BF31" i="9" s="1"/>
  <c r="AQ31" i="9"/>
  <c r="BC31" i="9"/>
  <c r="AU31" i="9"/>
  <c r="AM31" i="9"/>
  <c r="AE31" i="9"/>
  <c r="AY31" i="9"/>
  <c r="AI31" i="9"/>
  <c r="BJ13" i="9"/>
  <c r="R49" i="9"/>
  <c r="R62" i="9"/>
  <c r="AQ64" i="9"/>
  <c r="R51" i="9"/>
  <c r="R60" i="9"/>
  <c r="AC64" i="9"/>
  <c r="AK64" i="9"/>
  <c r="AS64" i="9"/>
  <c r="BA64" i="9"/>
  <c r="Y65" i="9"/>
  <c r="R37" i="9"/>
  <c r="AI64" i="9"/>
  <c r="AY64" i="9"/>
  <c r="R44" i="9"/>
  <c r="AE64" i="9"/>
  <c r="AM64" i="9"/>
  <c r="AU64" i="9"/>
  <c r="BJ23" i="7"/>
  <c r="BI23" i="7"/>
  <c r="Y23" i="7"/>
  <c r="X23" i="7"/>
  <c r="W22" i="7"/>
  <c r="W21" i="7"/>
  <c r="BK20" i="7"/>
  <c r="BG20" i="7"/>
  <c r="BE20" i="7"/>
  <c r="BC20" i="7"/>
  <c r="BA20" i="7"/>
  <c r="AU20" i="7"/>
  <c r="W20" i="7"/>
  <c r="S20" i="7" s="1"/>
  <c r="R21" i="7" s="1"/>
  <c r="W16" i="7"/>
  <c r="S13" i="7" s="1"/>
  <c r="W15" i="7"/>
  <c r="W14" i="7"/>
  <c r="BK13" i="7"/>
  <c r="BG13" i="7"/>
  <c r="BE13" i="7"/>
  <c r="BC13" i="7"/>
  <c r="BA13" i="7"/>
  <c r="AU13" i="7"/>
  <c r="W13" i="7"/>
  <c r="W23" i="7" s="1"/>
  <c r="R17" i="7" l="1"/>
  <c r="S23" i="7"/>
  <c r="R15" i="7"/>
  <c r="R13" i="7"/>
  <c r="R20" i="7"/>
  <c r="Y83" i="6"/>
  <c r="X83" i="6"/>
  <c r="W82" i="6"/>
  <c r="W81" i="6"/>
  <c r="Y80" i="6"/>
  <c r="BJ79" i="6" s="1"/>
  <c r="BK79" i="6" s="1"/>
  <c r="W80" i="6"/>
  <c r="BI79" i="6"/>
  <c r="BG79" i="6"/>
  <c r="BF79" i="6"/>
  <c r="AK79" i="6"/>
  <c r="S79" i="6"/>
  <c r="X72" i="6"/>
  <c r="Y68" i="6"/>
  <c r="X68" i="6"/>
  <c r="BI66" i="6" s="1"/>
  <c r="BJ66" i="6"/>
  <c r="BK66" i="6" s="1"/>
  <c r="BG66" i="6"/>
  <c r="BF66" i="6"/>
  <c r="AK66" i="6"/>
  <c r="S66" i="6"/>
  <c r="R66" i="6"/>
  <c r="R63" i="6"/>
  <c r="BI60" i="6"/>
  <c r="BF60" i="6"/>
  <c r="AE60" i="6"/>
  <c r="AC60" i="6"/>
  <c r="AK60" i="6" s="1"/>
  <c r="Y60" i="6"/>
  <c r="BJ60" i="6" s="1"/>
  <c r="BK60" i="6" s="1"/>
  <c r="S60" i="6"/>
  <c r="R60" i="6"/>
  <c r="W55" i="6"/>
  <c r="R55" i="6" s="1"/>
  <c r="W52" i="6"/>
  <c r="R52" i="6" s="1"/>
  <c r="W50" i="6"/>
  <c r="R49" i="6" s="1"/>
  <c r="BI49" i="6"/>
  <c r="BG49" i="6"/>
  <c r="BF49" i="6"/>
  <c r="S49" i="6"/>
  <c r="W45" i="6"/>
  <c r="W33" i="6"/>
  <c r="S32" i="6" s="1"/>
  <c r="BJ32" i="6"/>
  <c r="BK32" i="6" s="1"/>
  <c r="BI32" i="6"/>
  <c r="BG32" i="6"/>
  <c r="BF32" i="6"/>
  <c r="W23" i="6"/>
  <c r="R22" i="6" s="1"/>
  <c r="BJ22" i="6"/>
  <c r="BK22" i="6" s="1"/>
  <c r="BI22" i="6"/>
  <c r="BG22" i="6"/>
  <c r="BF22" i="6"/>
  <c r="S22" i="6"/>
  <c r="R25" i="6" s="1"/>
  <c r="M22" i="6"/>
  <c r="W14" i="6"/>
  <c r="S13" i="6" s="1"/>
  <c r="BJ13" i="6"/>
  <c r="BK13" i="6" s="1"/>
  <c r="BI13" i="6"/>
  <c r="BI85" i="6" s="1"/>
  <c r="BG13" i="6"/>
  <c r="BF13" i="6"/>
  <c r="R17" i="6" l="1"/>
  <c r="R13" i="6"/>
  <c r="R44" i="6"/>
  <c r="R40" i="6"/>
  <c r="R38" i="6"/>
  <c r="R32" i="6"/>
  <c r="S85" i="6"/>
  <c r="R28" i="6"/>
  <c r="W85" i="6"/>
  <c r="Y55" i="6"/>
  <c r="BG60" i="6"/>
  <c r="R79" i="6"/>
  <c r="X85" i="6"/>
  <c r="BJ21" i="5"/>
  <c r="BI21" i="5"/>
  <c r="Y21" i="5"/>
  <c r="X21" i="5"/>
  <c r="W19" i="5"/>
  <c r="W17" i="5"/>
  <c r="BK13" i="5"/>
  <c r="BG13" i="5"/>
  <c r="BF13" i="5"/>
  <c r="W13" i="5"/>
  <c r="W21" i="5" s="1"/>
  <c r="Y85" i="6" l="1"/>
  <c r="BJ49" i="6"/>
  <c r="S13" i="5"/>
  <c r="X56" i="4"/>
  <c r="W55" i="4"/>
  <c r="Y54" i="4"/>
  <c r="BJ50" i="4" s="1"/>
  <c r="W54" i="4"/>
  <c r="W53" i="4"/>
  <c r="W52" i="4"/>
  <c r="S50" i="4" s="1"/>
  <c r="BI50" i="4"/>
  <c r="BI56" i="4" s="1"/>
  <c r="BH50" i="4"/>
  <c r="BH56" i="4" s="1"/>
  <c r="BF50" i="4"/>
  <c r="W50" i="4"/>
  <c r="W47" i="4"/>
  <c r="Y46" i="4"/>
  <c r="W46" i="4"/>
  <c r="Y44" i="4"/>
  <c r="W44" i="4"/>
  <c r="Y43" i="4"/>
  <c r="BJ42" i="4"/>
  <c r="BK42" i="4" s="1"/>
  <c r="BI42" i="4"/>
  <c r="BH42" i="4"/>
  <c r="Y42" i="4"/>
  <c r="W42" i="4"/>
  <c r="S42" i="4" s="1"/>
  <c r="R42" i="4" s="1"/>
  <c r="Y39" i="4"/>
  <c r="W39" i="4"/>
  <c r="W38" i="4"/>
  <c r="W37" i="4"/>
  <c r="W36" i="4"/>
  <c r="W35" i="4"/>
  <c r="W34" i="4"/>
  <c r="W33" i="4"/>
  <c r="BJ32" i="4"/>
  <c r="BK32" i="4" s="1"/>
  <c r="BI32" i="4"/>
  <c r="BF32" i="4"/>
  <c r="BC32" i="4"/>
  <c r="AK32" i="4"/>
  <c r="AG32" i="4"/>
  <c r="BG32" i="4" s="1"/>
  <c r="Y32" i="4"/>
  <c r="W32" i="4"/>
  <c r="S32" i="4" s="1"/>
  <c r="R32" i="4" s="1"/>
  <c r="Y30" i="4"/>
  <c r="W30" i="4"/>
  <c r="BI28" i="4"/>
  <c r="BH28" i="4"/>
  <c r="BF28" i="4"/>
  <c r="Y28" i="4"/>
  <c r="BJ28" i="4" s="1"/>
  <c r="BK28" i="4" s="1"/>
  <c r="W28" i="4"/>
  <c r="R28" i="4" s="1"/>
  <c r="S28" i="4"/>
  <c r="Y26" i="4"/>
  <c r="W26" i="4"/>
  <c r="Y25" i="4"/>
  <c r="W25" i="4"/>
  <c r="W24" i="4"/>
  <c r="Y23" i="4"/>
  <c r="W23" i="4"/>
  <c r="Y22" i="4"/>
  <c r="W22" i="4"/>
  <c r="Y21" i="4"/>
  <c r="W21" i="4"/>
  <c r="Y20" i="4"/>
  <c r="W20" i="4"/>
  <c r="Y19" i="4"/>
  <c r="W19" i="4"/>
  <c r="Y18" i="4"/>
  <c r="W18" i="4"/>
  <c r="Y17" i="4"/>
  <c r="Y16" i="4"/>
  <c r="W16" i="4"/>
  <c r="BI15" i="4"/>
  <c r="BH15" i="4"/>
  <c r="BG15" i="4"/>
  <c r="BF15" i="4"/>
  <c r="BC15" i="4"/>
  <c r="BA15" i="4"/>
  <c r="AQ15" i="4"/>
  <c r="AO15" i="4"/>
  <c r="AG15" i="4"/>
  <c r="Y15" i="4"/>
  <c r="BJ15" i="4" s="1"/>
  <c r="BK15" i="4" s="1"/>
  <c r="W15" i="4"/>
  <c r="S15" i="4" s="1"/>
  <c r="W14" i="4"/>
  <c r="W56" i="4" s="1"/>
  <c r="BF12" i="4"/>
  <c r="BK49" i="6" l="1"/>
  <c r="BJ85" i="6"/>
  <c r="S21" i="5"/>
  <c r="R13" i="5"/>
  <c r="R23" i="4"/>
  <c r="R19" i="4"/>
  <c r="R15" i="4"/>
  <c r="BK50" i="4"/>
  <c r="BJ56" i="4"/>
  <c r="R50" i="4"/>
  <c r="R53" i="4"/>
  <c r="Y56" i="4"/>
  <c r="S12" i="4"/>
  <c r="BJ25" i="3"/>
  <c r="BK25" i="3" s="1"/>
  <c r="BI25" i="3"/>
  <c r="Y25" i="3"/>
  <c r="BK23" i="3"/>
  <c r="X23" i="3"/>
  <c r="W23" i="3"/>
  <c r="S23" i="3" s="1"/>
  <c r="R23" i="3" s="1"/>
  <c r="X22" i="3"/>
  <c r="X25" i="3" s="1"/>
  <c r="W22" i="3"/>
  <c r="W25" i="3" s="1"/>
  <c r="W21" i="3"/>
  <c r="W20" i="3"/>
  <c r="W19" i="3"/>
  <c r="S18" i="3" s="1"/>
  <c r="R18" i="3" s="1"/>
  <c r="BK18" i="3"/>
  <c r="W18" i="3"/>
  <c r="BK16" i="3"/>
  <c r="S16" i="3"/>
  <c r="S25" i="3" s="1"/>
  <c r="R16" i="3"/>
  <c r="R12" i="4" l="1"/>
  <c r="S56" i="4"/>
  <c r="BJ27" i="2"/>
  <c r="BI27" i="2"/>
  <c r="Y27" i="2"/>
  <c r="X27" i="2"/>
  <c r="W25" i="2"/>
  <c r="S22" i="2" s="1"/>
  <c r="W24" i="2"/>
  <c r="W23" i="2"/>
  <c r="BK22" i="2"/>
  <c r="W22" i="2"/>
  <c r="BK21" i="2"/>
  <c r="W21" i="2"/>
  <c r="S21" i="2"/>
  <c r="R21" i="2"/>
  <c r="W20" i="2"/>
  <c r="W27" i="2" s="1"/>
  <c r="W19" i="2"/>
  <c r="BK18" i="2"/>
  <c r="W18" i="2"/>
  <c r="R18" i="2" s="1"/>
  <c r="S18" i="2"/>
  <c r="BK17" i="2"/>
  <c r="W17" i="2"/>
  <c r="R17" i="2" s="1"/>
  <c r="S17" i="2"/>
  <c r="S27" i="2" s="1"/>
  <c r="R23" i="2" l="1"/>
  <c r="R25" i="2"/>
  <c r="R26" i="2"/>
  <c r="R22" i="2"/>
  <c r="W26" i="1"/>
  <c r="U25" i="1"/>
  <c r="U23" i="1"/>
  <c r="V21" i="1"/>
  <c r="U21" i="1"/>
  <c r="Q20" i="1" s="1"/>
  <c r="P20" i="1" s="1"/>
  <c r="BH20" i="1"/>
  <c r="BG20" i="1"/>
  <c r="BI20" i="1" s="1"/>
  <c r="BE20" i="1"/>
  <c r="BD20" i="1"/>
  <c r="BI17" i="1"/>
  <c r="BG17" i="1"/>
  <c r="BE17" i="1"/>
  <c r="BD17" i="1"/>
  <c r="Q17" i="1"/>
  <c r="P17" i="1" s="1"/>
  <c r="U16" i="1"/>
  <c r="V14" i="1"/>
  <c r="V26" i="1" s="1"/>
  <c r="U14" i="1"/>
  <c r="Q13" i="1" s="1"/>
  <c r="BH13" i="1"/>
  <c r="BG13" i="1"/>
  <c r="BI13" i="1" s="1"/>
  <c r="BE13" i="1"/>
  <c r="BD13" i="1"/>
  <c r="P13" i="1" l="1"/>
  <c r="Q26" i="1"/>
  <c r="U26" i="1"/>
</calcChain>
</file>

<file path=xl/comments1.xml><?xml version="1.0" encoding="utf-8"?>
<comments xmlns="http://schemas.openxmlformats.org/spreadsheetml/2006/main">
  <authors>
    <author>AUXINFRA72</author>
  </authors>
  <commentList>
    <comment ref="X45" authorId="0" shapeId="0">
      <text>
        <r>
          <rPr>
            <sz val="9"/>
            <color indexed="81"/>
            <rFont val="Tahoma"/>
            <family val="2"/>
          </rPr>
          <t xml:space="preserve">AUXINFRA72:
corresponde al valor de registros presupuestales que pertenecen a la meta 57; pero que a comienzoa del año fueron expedidos con cargo al rubro 0308-5-3124151521-04 que es de la meta 59; en tal sentido se reportan en la meta 57 como mayor valor; sin embargo en la meta 59 no se reportará este valor
</t>
        </r>
      </text>
    </comment>
    <comment ref="X52" authorId="0" shapeId="0">
      <text>
        <r>
          <rPr>
            <b/>
            <sz val="9"/>
            <color indexed="81"/>
            <rFont val="Tahoma"/>
            <family val="2"/>
          </rPr>
          <t>AUXINFRA72:</t>
        </r>
        <r>
          <rPr>
            <sz val="9"/>
            <color indexed="81"/>
            <rFont val="Tahoma"/>
            <family val="2"/>
          </rPr>
          <t xml:space="preserve">
corresponde al valor de registros presupuestales que pertenecen a la meta 57; pero que a comienzoa del año fueron expedidos con cargo al rubro 0308-5-3124151521-04 que es de la meta 59; en tal sentido se reportan en la meta 57 como mayor valor; sin embargo en la meta 59 no se reportará este valor
</t>
        </r>
      </text>
    </comment>
  </commentList>
</comments>
</file>

<file path=xl/sharedStrings.xml><?xml version="1.0" encoding="utf-8"?>
<sst xmlns="http://schemas.openxmlformats.org/spreadsheetml/2006/main" count="5620" uniqueCount="2697">
  <si>
    <t>CODIGO</t>
  </si>
  <si>
    <t>F-PLA-07</t>
  </si>
  <si>
    <t xml:space="preserve">VERSIÓN: </t>
  </si>
  <si>
    <t xml:space="preserve">FECHA: </t>
  </si>
  <si>
    <t>Nov. 22 de 2017</t>
  </si>
  <si>
    <t>PÁGINA:</t>
  </si>
  <si>
    <t>01 de 1</t>
  </si>
  <si>
    <t xml:space="preserve">PLAN DE DESARROLLO DEPARTAMENTAL </t>
  </si>
  <si>
    <t xml:space="preserve">PROYECTO </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</si>
  <si>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</si>
  <si>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</si>
  <si>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</si>
  <si>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</si>
  <si>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</si>
  <si>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</si>
  <si>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</si>
  <si>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No.</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</si>
  <si>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</si>
  <si>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</si>
  <si>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</si>
  <si>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</si>
  <si>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</si>
  <si>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</si>
  <si>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</si>
  <si>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</si>
  <si>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</si>
  <si>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</si>
  <si>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TOTAL</t>
  </si>
  <si>
    <t>CONTRATOS</t>
  </si>
  <si>
    <t xml:space="preserve">FECHA DE INICIO </t>
  </si>
  <si>
    <t xml:space="preserve">FECHA DE TERMINACIÓN </t>
  </si>
  <si>
    <t xml:space="preserve">RESPONSABLE </t>
  </si>
  <si>
    <t>P</t>
  </si>
  <si>
    <t>E</t>
  </si>
  <si>
    <t>PRESUPUESTADO</t>
  </si>
  <si>
    <t>E (COMPROMISOS)</t>
  </si>
  <si>
    <t>E (OBLIGACIONES)</t>
  </si>
  <si>
    <t>MUJER</t>
  </si>
  <si>
    <t>HOMBRE</t>
  </si>
  <si>
    <t>Edad Escolar 
(0 - 14 años)</t>
  </si>
  <si>
    <t>Adolescencia
 (15 - 19 años)</t>
  </si>
  <si>
    <t>Edad Económicamente 
Activa(20-59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</si>
  <si>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</si>
  <si>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</si>
  <si>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</si>
  <si>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</si>
  <si>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</si>
  <si>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</si>
  <si>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</si>
  <si>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</si>
  <si>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</si>
  <si>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</si>
  <si>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NUMERO DE CONTRATOS </t>
  </si>
  <si>
    <t>VALOR COMPROMISOS</t>
  </si>
  <si>
    <t>VALOR DE LAS OBLIGACIONES</t>
  </si>
  <si>
    <t>% DE EJECUCION</t>
  </si>
  <si>
    <t>FUENTE DE LOS RECURSOS</t>
  </si>
  <si>
    <t>SUPERVISOR RESPONSABLE</t>
  </si>
  <si>
    <t>BUEN GOBIERNO</t>
  </si>
  <si>
    <t>Quindío Transparente y Legal</t>
  </si>
  <si>
    <t>QUINDIO EJEMPLAR Y LEGAL</t>
  </si>
  <si>
    <t xml:space="preserve">Realizar 40 eventos  de sensibilización en transparencia , participación, buen gobierno y valores éticos y morales  </t>
  </si>
  <si>
    <t>No de Eventos  de sensibilización   realizados</t>
  </si>
  <si>
    <t xml:space="preserve">0313 - 5 - 3 1 5 26 83 17 82 - 20
0313 - 5 - 3 1 5 26 83 17 82 - 88
</t>
  </si>
  <si>
    <t>201663000-0082</t>
  </si>
  <si>
    <t>Desarrollar y fortalecer la cultura de la transparencia, participación, buen gobierno  y valores éticos y morales en el Departamento del Quindio</t>
  </si>
  <si>
    <t>Elevar el índice de transparencia en la administración departamental , mediante un proceso de formación incluyente con énfasis en valores éticos, morales y ciudadanos, para aumentar la confianza en la administración gubernamental del Quindío.</t>
  </si>
  <si>
    <t xml:space="preserve">Ciudadanos altamente  informados   en temas relacionados con ética, transparencia y buen gobierno
</t>
  </si>
  <si>
    <t xml:space="preserve">Desarrollo de la estrategia de transparencia </t>
  </si>
  <si>
    <t xml:space="preserve">Recurso Ordinario
</t>
  </si>
  <si>
    <t>26</t>
  </si>
  <si>
    <t>37</t>
  </si>
  <si>
    <t>0</t>
  </si>
  <si>
    <t>Recurso Ordinario Superavit Ordinario</t>
  </si>
  <si>
    <t xml:space="preserve">
Diana Marcela Martinez, Directora Protocolo. 
Mario Jimenez, Director de Gestión Estratégica.
Ana María Cardona, Directora de Análisis Financiero y Administrativo.              Paola Valentina Angel, Directora de Gestión Estratégica.                   Jose Joaquin Rincón, Director Oficina Privada.                                 </t>
  </si>
  <si>
    <t>José Joaquin Rincon Pastrana
Director Oficina Privada</t>
  </si>
  <si>
    <t>Superavit Ordinario</t>
  </si>
  <si>
    <t>Mejorar la cultura del civismo y participación de los ciudadanos  en los  procesos institucionales del gobierno.</t>
  </si>
  <si>
    <t>Desarrollo del sistema departamental del servicio al ciudadano</t>
  </si>
  <si>
    <t>Implementar una (1) sala de transparencia "Urna de Cristal" en el Departamento</t>
  </si>
  <si>
    <t>Sala de transparencia implementada</t>
  </si>
  <si>
    <t>0313 - 5 - 3 1 5 26 83 17 83 - 20  </t>
  </si>
  <si>
    <t>201663000-0083</t>
  </si>
  <si>
    <t>Implementacion de una (1) sala de transparencia "Urna de Cristal" en el Departamento del Quindio</t>
  </si>
  <si>
    <t>Aumentar el nivel de credibilidad en la transparencia  de la contratación  pública en el Departamento.</t>
  </si>
  <si>
    <t xml:space="preserve">Aumentar el conocimiento de la ciudadanía de los procesos precontractuales de la administración departamental    Mejorar el promedio de participación de la ciudadania en los procesos de elección  popular en el cuatrenio 
</t>
  </si>
  <si>
    <t>Promociòn  de la Sala  de transparencia</t>
  </si>
  <si>
    <t xml:space="preserve">Recurso Ordinario </t>
  </si>
  <si>
    <t xml:space="preserve">Miguel Angel Rojas, Director Comunicaciones.
Mario Jimenez, Director de Gestión Estratégica.
Paola Valentina Angel, Directora de Gestión Estratégica.        
Secretaría Administrativa.                 </t>
  </si>
  <si>
    <t>Gestión Territorial</t>
  </si>
  <si>
    <t xml:space="preserve">MODERNIZACIÓN TECNOLOGICA Y ADMINISTRATIVA </t>
  </si>
  <si>
    <t xml:space="preserve">Desarrollar e implementar una (1) estrategía de comunicaciones  </t>
  </si>
  <si>
    <t>Estrategía de comunicaciones desarrollada e implementada</t>
  </si>
  <si>
    <t>0313 - 5 - 3 1 5 28 89 17 81 - 20
0313 - 5 - 3 1 5 28 89 17 81 - 88
           </t>
  </si>
  <si>
    <t>201663000-0081</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</si>
  <si>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</si>
  <si>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</si>
  <si>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Incremento en el número de campañas institucionales para dar a conocer los programas y proyectos de la gobernación</t>
  </si>
  <si>
    <t>Ejecución de Plan de Medios (prensa, radio y televisión)</t>
  </si>
  <si>
    <t>52505</t>
  </si>
  <si>
    <t xml:space="preserve">Miguel Angel Rojas, Director Comunicaciones.        Jose Joaquin Rincón, Director Oficina Privada.    </t>
  </si>
  <si>
    <t>Desarrollo de la estrategia de comunicaciones</t>
  </si>
  <si>
    <t>Planificación institucional en la divulgación de los programas y proyectos</t>
  </si>
  <si>
    <t xml:space="preserve">Operatividad de la estrategica de comunicaciones </t>
  </si>
  <si>
    <t>TOTALES</t>
  </si>
  <si>
    <t>JOSE JOAQUIN RINCON PASTRANA</t>
  </si>
  <si>
    <t>SECRETARIO DE DESPACHO</t>
  </si>
  <si>
    <t>POBLACIÓN</t>
  </si>
  <si>
    <t xml:space="preserve">No </t>
  </si>
  <si>
    <t>Adolescencia
(15 - 19 años)</t>
  </si>
  <si>
    <t>Edad Económicamente Activa 
(20-59 años)</t>
  </si>
  <si>
    <t>Adultos Mayores
(Mayores a 60 años)</t>
  </si>
  <si>
    <t xml:space="preserve">No. DE 
CONTRATOS </t>
  </si>
  <si>
    <t>GESTIÓN TERRITORIAL</t>
  </si>
  <si>
    <t>MODERNIZACIÓN TECNOLOGICA Y ADMINISTRATIVA</t>
  </si>
  <si>
    <t>Virtualizar ocho (8) trámites de la administración departamental a través de Gobierno en Línea</t>
  </si>
  <si>
    <t>Número de trámites virtualizados</t>
  </si>
  <si>
    <t>0304 - 5 - 3 1 5 28 89 17 1 - 20</t>
  </si>
  <si>
    <t>201663000-0001</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</si>
  <si>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</si>
  <si>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</si>
  <si>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Mejorar los sistemas de información y equipos tecnológicos mediante la actualizacion y mantenimiento para aumentar los tiempos de respuesta de atención al usuario</t>
  </si>
  <si>
    <t>Sostenibilidad de la estrategia de gobierno en linea</t>
  </si>
  <si>
    <t xml:space="preserve">20
</t>
  </si>
  <si>
    <t>Recurso Ordinario</t>
  </si>
  <si>
    <t>Recursos Ordinarios</t>
  </si>
  <si>
    <t>Jaime Alberto Llano Chaparro</t>
  </si>
  <si>
    <t>SECRETARÍA TIC</t>
  </si>
  <si>
    <t>Formular e  implementar un (1) programa de seguridad y salud en el trabajo, capacitación y bienestar social en  el departamento</t>
  </si>
  <si>
    <t>Programa de seguridad y salud formulado e implementado</t>
  </si>
  <si>
    <t>0304 - 5 - 3 1 5 28 89 17 2 - 20</t>
  </si>
  <si>
    <t>201663000-0002</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</si>
  <si>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</si>
  <si>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formulados para la vigencia 2018.
</t>
  </si>
  <si>
    <t>Formular e implementar 1 programa de seguridad y salud en el trabajo para la Gobernación del Departamento del Quindío, para la vigencia 2018</t>
  </si>
  <si>
    <t>Desarrollo y Ejecución de actividades de Seguridad y Salud en el Trabajo, de conformidad con el Plan anual de trabajo de seguridad y salud en el trabajo aprobado</t>
  </si>
  <si>
    <t>Mario Alberto Leal Mejia</t>
  </si>
  <si>
    <t>Secretaría Administrativa
Dirección Talento Humano</t>
  </si>
  <si>
    <t>Formular e implementar 1 programa de bienestar social e incentivos para los funcionarios de la entidad en la vigencia 2018.</t>
  </si>
  <si>
    <t>Desarrollo y ejecución de Actividades de Bienestar Social e incentivos,  de conformidad con los programas de bienestar social e incentivos aprobados</t>
  </si>
  <si>
    <t>Formular e implementar 1 plan institucional de capacitación para los funcionarios de la entidad en  la vigencia 2018</t>
  </si>
  <si>
    <t>Desarrollo y ejecución de capacitaciones de conformidad con el plan institucional de capacitaciones aprobado</t>
  </si>
  <si>
    <t xml:space="preserve">Fortalecer el programa de sostenibilidad de las  Tecnologias de la Información de las Comunicaciones de la Gobernación del Quindio </t>
  </si>
  <si>
    <t>Programa de sostenibilidad de las TIC fortalecido</t>
  </si>
  <si>
    <t>0304 - 5 - 3 1 5 28 89 17 4 - 20</t>
  </si>
  <si>
    <t>201663000-0004</t>
  </si>
  <si>
    <t>Apoyo a la sostenibilidad de las tecnologías de la información y comunicación de la Gobernación del Quindío.</t>
  </si>
  <si>
    <t>Optimizar la infraestructura informática y de comunicaciones disponible a través de actualizacion de equipos y aplicaciones para una mejor atencion al usuario</t>
  </si>
  <si>
    <t>Modernizar la infraestructura tecnológica mediante la actualizacion de herramientas tecnológicas y soporte de primer nivel; para agilizar los procesos</t>
  </si>
  <si>
    <t>Apoyo técnico y/o profesional</t>
  </si>
  <si>
    <t>Adquirir e implementar un (1) software para la sistematización de las historias laborales del Fondo Territorial de Pensiones del departamento</t>
  </si>
  <si>
    <t>Software adquirido e implementado</t>
  </si>
  <si>
    <t>201663000-0005</t>
  </si>
  <si>
    <t>Implementación de un programa  de  modernización de la gestión administrativa en el Departamento del Quindio</t>
  </si>
  <si>
    <t xml:space="preserve">Satisfacer en un 90%, las necesidades de los usuarios y partes interesadas de la entidad. 
</t>
  </si>
  <si>
    <t>Digitalizar y consultar en línea los expedientes de los pensionados, evitando la perdida de documentos</t>
  </si>
  <si>
    <t xml:space="preserve">Actualización y registro en el aplicativo de gestión documental de la información relacionada con las historias laborales del fondo territorial de pensiones </t>
  </si>
  <si>
    <t>Recursos Ordinarios- Recursos del crédito</t>
  </si>
  <si>
    <t>Claudia Marcela Londoño-Juan David Hoyos Montes-Carolina Cardenaz Barahona</t>
  </si>
  <si>
    <t>Secretaría Administrativa
Dirección  FTP 
        Dirección Almacén
        Dirección Recursos Físicos</t>
  </si>
  <si>
    <t>Implementar un programa de actualización y registro de los bienes de propiedad del departamento</t>
  </si>
  <si>
    <t>Programa de actualización y registro implementado</t>
  </si>
  <si>
    <t xml:space="preserve">0304 - 5 - 3 1 5 28 89 17 5 - 20 </t>
  </si>
  <si>
    <t>Administrar, depurar y registrar la totalidad de los bienes  de propiedad de la Gobernación del Departamento del Quindío con información real  y pertinente</t>
  </si>
  <si>
    <t>Implementar procedimientos correspondiente  a las bodegas a cargo de la dirección de almacén</t>
  </si>
  <si>
    <t>Realizar avalúos a los bienes inmuebles a cargo de la entidad</t>
  </si>
  <si>
    <t>Implementar un (1) programa de modernización de la gestión documental en el departamento</t>
  </si>
  <si>
    <t>Programa de modernización implementado</t>
  </si>
  <si>
    <t>Cumplir las directrices definidas por la Ley General de Archivo</t>
  </si>
  <si>
    <t>Ejecutar las actividades establecidas en el Plan Institucional de Archivos PINAR</t>
  </si>
  <si>
    <t>Adquirir  un (1) bien inmueble para adelantar acciones de cara al servicio de la comunidad</t>
  </si>
  <si>
    <t>Bien inmueble adquirido</t>
  </si>
  <si>
    <t>0304 - 5 - 3 1 5 28 89 17 5 - 46</t>
  </si>
  <si>
    <t>Disponer de espacios físicos más amplios y acordes para la atención a los diferentes tipos de población que se acerca a la  entidad y así como para la debida disposición de los documentos que reposan en el archivo central evitando la perdida  y/o deterioro de los mismos.</t>
  </si>
  <si>
    <t>Adelantar acciones en el proceso de adquisición de un bien inmueble</t>
  </si>
  <si>
    <t xml:space="preserve">Recurso del Crédito </t>
  </si>
  <si>
    <t>TOTAL :</t>
  </si>
  <si>
    <t>CATALINA GÓMEZ RESTREPO</t>
  </si>
  <si>
    <t>Secretaria Administrativa</t>
  </si>
  <si>
    <t>0324 - 5 - 3 1 5 28 89 17 1 - 20</t>
  </si>
  <si>
    <t>Recurso ordinario</t>
  </si>
  <si>
    <t>JAIME ALBERTO LLANO CHAPARRO</t>
  </si>
  <si>
    <t>SECRETARIA TECNOLOGIAS DE LA INFORMACIÓN Y LAS COMUNICACIONES</t>
  </si>
  <si>
    <t>Compra o adquisición de Sofware</t>
  </si>
  <si>
    <t>Fortalecer el programa de  infraestructura tecnológica de la  Administración Departamental (hadware, aplicativos, redes, y capacitación)</t>
  </si>
  <si>
    <t>Programa de infraestructura tecnologica de la administracion fortalecido</t>
  </si>
  <si>
    <t xml:space="preserve">0324 - 5 - 3 1 5 28 89 17 3 - 20 
0324 - 5 - 3 1 5 28 89 17 3 - 88   </t>
  </si>
  <si>
    <t>201663000-0003</t>
  </si>
  <si>
    <t>Actualización de la infraestructura tecnológica de la Gobernación del Quindío.</t>
  </si>
  <si>
    <t xml:space="preserve">Apoyar el programa de  infraestructura tecnológica de la  Administración Departamental (hadware, aplicativos, redes, y capacitación)
</t>
  </si>
  <si>
    <t>Compra o adquisicion de hardware</t>
  </si>
  <si>
    <t>Recurso ordinario- superavit ordinario</t>
  </si>
  <si>
    <t>Compra o adquisicion de sotfware</t>
  </si>
  <si>
    <t>Incrementar la  renovación de las herramientas tecnológicas a través de outsourcing para ampliar el numero de equipos de ultima tecnología logrando una mejor atención a los usuarios</t>
  </si>
  <si>
    <t>Soporte aplicativos</t>
  </si>
  <si>
    <t>0324 - 5 - 3 1 5 28 89 17 4 - 20
0324 - 5 - 3 1 2 28 89 17 4 - 88</t>
  </si>
  <si>
    <t>JAIME ALBERTO LLANO CHAPARRO
PATRICIA EUGENIA GOMEZ ESCOBAR
JORGE IVAN DUQUE JIMENEZ
JESUS IGNACIO MONCALEANO CAICEDO</t>
  </si>
  <si>
    <t xml:space="preserve">Secretario de Tecnologías de la Información y las Comunicaciones </t>
  </si>
  <si>
    <t>SEGUIMIENTO PLAN DE ACCIÓN
SECRETARIA DE CULTURA
III TRIMESTRE 2019</t>
  </si>
  <si>
    <t xml:space="preserve">CODIGO:  </t>
  </si>
  <si>
    <t xml:space="preserve">HOMBRE </t>
  </si>
  <si>
    <t>Edad Económicamente Activa
(20-59 años)</t>
  </si>
  <si>
    <t>Mestiza</t>
  </si>
  <si>
    <t>Victimas</t>
  </si>
  <si>
    <t>E(COMPROMISOS)</t>
  </si>
  <si>
    <t>E(OBLIGACIONES)</t>
  </si>
  <si>
    <t>Educacion Para la Paz</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</si>
  <si>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</si>
  <si>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</si>
  <si>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</si>
  <si>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</si>
  <si>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</si>
  <si>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</si>
  <si>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 xml:space="preserve">Reconocimiento de la calidad de artista y gestor cultural por el consejo Departamental de cultura </t>
  </si>
  <si>
    <t>Estampilla Procultura 10% Seguridad Social</t>
  </si>
  <si>
    <t>Secretaria de Cultura, James  Gonzalez Mata</t>
  </si>
  <si>
    <t>Superávit Estampilla Procultura 10% Seguridad Social</t>
  </si>
  <si>
    <t xml:space="preserve">Aportes para la seguridad social de artistas reconocidos por el consejo Departamental de Cultura </t>
  </si>
  <si>
    <t>Apoyar  treinta (30) proyectos y/o actividades de formación, difusión, circulación, creación e investigación, planeación y de espacios para el disfrute de las artes</t>
  </si>
  <si>
    <t>Nro de proyectos o actividades programdas  /  Proyectos o actividades ejecutados</t>
  </si>
  <si>
    <t>0310 - 5 - 3 1 3 9 29 5 46 - 20
0310 - 5 - 3 1 3 9 29 5 46 - 88</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</si>
  <si>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</si>
  <si>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</si>
  <si>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Ampliación de las oportunidades de acceso de la ciudadania al arte y la cultura </t>
  </si>
  <si>
    <t>Escuelas de formación</t>
  </si>
  <si>
    <t xml:space="preserve">20                                              88                                            39                                             83                                             41 </t>
  </si>
  <si>
    <t>Secretario de Cultura
Directora de Cultura Arte y Patrimonio
Asesora de Despacho
Profesional Universitario</t>
  </si>
  <si>
    <t>James Gonzalez Mata
Secretaria de Cultura</t>
  </si>
  <si>
    <t xml:space="preserve"> Difusión y Circulación Artística</t>
  </si>
  <si>
    <t>Apoyo técnico y logístico</t>
  </si>
  <si>
    <t>Apoyar  ciento veinte (120) proyectos del programa de concertación cultural del departamento</t>
  </si>
  <si>
    <t>0310 - 5 - 3 1 3 9 29 5 46 - 39
0310 - 5 - 3 1 3 9 29 5 46 - 83</t>
  </si>
  <si>
    <t>Alta concertación de proyectos con la institucionalidad cultural</t>
  </si>
  <si>
    <t>Convocatoria y apoyo logístico</t>
  </si>
  <si>
    <t>Estampilla Procultura 50% Concertación</t>
  </si>
  <si>
    <t xml:space="preserve">Evaluación y Seguimiento </t>
  </si>
  <si>
    <t>Cofinanciación de proyectos</t>
  </si>
  <si>
    <t>Superavit E.P.C</t>
  </si>
  <si>
    <t>Apoyar treinta y seis (36) proyectos mediante estímulos artísticos y culturales</t>
  </si>
  <si>
    <t>0310 - 5 - 3 1 3 9 29 5 46 - 41</t>
  </si>
  <si>
    <t>Mayor apoyo a la creación investigación y producción artistica</t>
  </si>
  <si>
    <t>Estampilla Procultura 10% Estímulos</t>
  </si>
  <si>
    <t xml:space="preserve"> Evaluación y Seguimiento </t>
  </si>
  <si>
    <t xml:space="preserve">Estampilla Procultura 10% EStímulos
</t>
  </si>
  <si>
    <t xml:space="preserve">Emprendimiento Cultural </t>
  </si>
  <si>
    <t>Fortalecer cinco (5) procesos de emprendimiento cultural y de desarrollo de industrias creativas</t>
  </si>
  <si>
    <t>0310 - 5 - 3 1 3 9 30 5 47 - 20</t>
  </si>
  <si>
    <t xml:space="preserve">Fortalecimiento y promoción del  emprendimiento cultural y las industrias creativas en el Departamento </t>
  </si>
  <si>
    <t xml:space="preserve">Disminución en la tasa de desempleo del departamento </t>
  </si>
  <si>
    <t>Fortalecimiento de los  procesos de emprendimiento cultural y de desarrollo de industrias creativas en el departamento</t>
  </si>
  <si>
    <t>Identificación y apoyo económico a organizaciones con proyectos de emprendimiento cultural</t>
  </si>
  <si>
    <t xml:space="preserve">Recurso Ordinario
</t>
  </si>
  <si>
    <t xml:space="preserve">Asesora de Despacho, Jefe de Patrimonio y Artes                                             Directora de Cultura Arte y Patrimonio </t>
  </si>
  <si>
    <t>Secretaria de Cultura, James Gonzalez Mata</t>
  </si>
  <si>
    <t xml:space="preserve"> Seguimiento y evaluación del proceso de apoyo a emprendedores</t>
  </si>
  <si>
    <t>Lectura, escritura y bibliotecas</t>
  </si>
  <si>
    <t>Apoyar  veinte (20) proyectos y/o actividades en investigación, capacitación y difusión de la lectura y escritura para fortalecer la Red Departamental de Bibliotecas</t>
  </si>
  <si>
    <t xml:space="preserve"> Fortalecimiento al  Plan Departamental  de lectura, escritura y bibliotecas en el Departamento del Quindio .</t>
  </si>
  <si>
    <t xml:space="preserve">Disminuir la proporción de niños que desertan en educación básica secundaria y media   </t>
  </si>
  <si>
    <t>Aprovechamiento de la Red Departamental de Bibliotecas Públicas para la formación en lectura y escritura</t>
  </si>
  <si>
    <t xml:space="preserve"> Realización de procesos formativos para promotores de lectura y escritura</t>
  </si>
  <si>
    <t>Estampilla Procultura 10% Bibliotecas</t>
  </si>
  <si>
    <t>34                                          159                                                                 83</t>
  </si>
  <si>
    <t xml:space="preserve">
Profesional Universitario,    Secretario de Cultura 
Jefe de Patrimonio y Artes</t>
  </si>
  <si>
    <t>Encuentros para el intercambio, formación y retroalimentación de la Red de Bibliotecas</t>
  </si>
  <si>
    <t>Dotación y adecuación bibliotecaria</t>
  </si>
  <si>
    <t xml:space="preserve">Coordinación de actividades para el fortalecimiento de la Red </t>
  </si>
  <si>
    <t>Coordinación de actividades para el fortalecimiento de la red segun aceptación de ayuda economica en el programa iberoamericano de bibliotecas publicas, VI convocatoria de ayudas 2018</t>
  </si>
  <si>
    <t>Superávit Cofinanciación Nacional</t>
  </si>
  <si>
    <t xml:space="preserve">Ampliación de espacios y acciones para la difusión de la lectura y escritura </t>
  </si>
  <si>
    <t>Apoyo al proyecto editorial Biblioteca de Autores Quindianos</t>
  </si>
  <si>
    <t>Superavit Estampilla Procultura</t>
  </si>
  <si>
    <t>Apoyo a actividades de difusión, promoción y circulación literaria</t>
  </si>
  <si>
    <t>Patrimonio, paisaje cultural cafetero, ciudadanía y diversidad cultural</t>
  </si>
  <si>
    <t>Viviendo el patrimonio y el Paisaje Cultural Cafetero</t>
  </si>
  <si>
    <t xml:space="preserve">N </t>
  </si>
  <si>
    <t xml:space="preserve">Apoyar treinta y dos (32) proyectos y/o actividades en gestión, investigación,  protección, divulgación y salvaguardia del patrimonio y diversidad cultural </t>
  </si>
  <si>
    <t>0310 - 5 - 3 1 3 10 32 5 49 - 20
0310 - 5 - 3 1 3 10 32 5 49 - 93
0310 - 5 - 3 1 3 10 32 5 49 - 47</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</si>
  <si>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</si>
  <si>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</si>
  <si>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</si>
  <si>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Difusión y salvaguardia del patrimonio cultural</t>
  </si>
  <si>
    <t>IVA Telefonia movil Cultura</t>
  </si>
  <si>
    <t>47                                             20                                              93</t>
  </si>
  <si>
    <t xml:space="preserve">Jefe de Patrimonio y Arte, Secretario de Cultura </t>
  </si>
  <si>
    <t>Recurso Ordinaro</t>
  </si>
  <si>
    <t>Superavit IVA Telefonia movil Cultura</t>
  </si>
  <si>
    <t>Investigaciones</t>
  </si>
  <si>
    <t>Apoyo a procesos, evaluación y seguimiento</t>
  </si>
  <si>
    <t>Mayor reconocimiento y valoración de la diversidad poblacional presente en el Quindío</t>
  </si>
  <si>
    <t>Apoyo a  proyectos y/o actividades de poblaciones especiales</t>
  </si>
  <si>
    <t xml:space="preserve">IVA Telefonia movil Cultura     
</t>
  </si>
  <si>
    <t xml:space="preserve">Apoyar diez (10) proyectos y/o actividades orientados a fortalecer la articulación comunicación y cultura </t>
  </si>
  <si>
    <t xml:space="preserve">0310 - 5 - 3 1 3 10 33 5 50 - 20
0310 - 5 - 3 1 3 10 33 5 50 - 88
</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</si>
  <si>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</si>
  <si>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</si>
  <si>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</si>
  <si>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Apoyo a medios ciudadanos y comunitarios</t>
  </si>
  <si>
    <t>20                                             88</t>
  </si>
  <si>
    <t>Directora de Cultura arte y Patrimonio</t>
  </si>
  <si>
    <t>Implementación de una emisora de interés público del departamento del Quindío</t>
  </si>
  <si>
    <t>Superavit Recurso Ordinario</t>
  </si>
  <si>
    <t>Apoyar  dieciséis (16) actividades y/o proyectos  para el afianzamiento del Sistema Departamental de Cultura</t>
  </si>
  <si>
    <t>Participación y  apoyo por parte de la Gobernación del Quindío a medios ciudadanos, comunitarios y de interés público</t>
  </si>
  <si>
    <t xml:space="preserve"> Formación para la gestión cultural</t>
  </si>
  <si>
    <t>Fortalecimiento del Sistema de Información Cultural</t>
  </si>
  <si>
    <t>Apoyo a Consejos de las artes y la cultura</t>
  </si>
  <si>
    <t>JAMES GONZALEZ MATA</t>
  </si>
  <si>
    <t>Secretario de Cultura</t>
  </si>
  <si>
    <t xml:space="preserve">
0310 - 5 - 3 1 3 9 29 5 45 - 33  
0310 - 5 - 3 1 3 9 29 5 45 - 83</t>
  </si>
  <si>
    <t>0310 - 5 - 3 1 3 9 31 5 48 - 34
0310 - 5 - 3 1 3 9 31 5 48 - 83
0310 - 5 - 3 1 3 9 31 5 48 - 159</t>
  </si>
  <si>
    <t>SEGUIMIENTO PLAN DE ACCIÓN
SECRETARIA ADMINISTRATIVA
III TRIMESTRE 2019</t>
  </si>
  <si>
    <t>SEGUIMIENTO  PLAN DE ACCIÓN
OFICINA PRIVADA
III TRIMESTRE 2019</t>
  </si>
  <si>
    <t>SEGUIMIENTO PLAN DE ACCIÓN
SECRETARIA DE REPRESENTACION JUDICIAL
III TRIMESTRE 2019</t>
  </si>
  <si>
    <t>Quindío Ejemplar y Legal</t>
  </si>
  <si>
    <t>Establecer y socializar veinte (20)  políticas desde la cultura de la legalidad y  la prevención de daño antijurídico en  el Departamento.</t>
  </si>
  <si>
    <t>Número muncipios con políticas establecidas</t>
  </si>
  <si>
    <t>0317 - 5 - 3 1 5 26 83 17 131 - 20</t>
  </si>
  <si>
    <t>201663000-0131</t>
  </si>
  <si>
    <t xml:space="preserve">Formulación, adopción e implementación de políticas de prevención del daño antijurídico en el Departamento del Quindío. </t>
  </si>
  <si>
    <t>Fortalecer los procesos, procedimienros y actuaciones de la administración para el cumplimiento de su misisón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</si>
  <si>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</si>
  <si>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</si>
  <si>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Ordinario</t>
  </si>
  <si>
    <t xml:space="preserve">Jaime Alberto Gonzalez Mejia </t>
  </si>
  <si>
    <t>Secretario de Representación Judicial y Defensa del Departamento</t>
  </si>
  <si>
    <t>Diseño de las propuestas dirigidas a la adopción de medidas de indole preventivo y correctivo  que permitan reducir la incidencia de daños antijurídicos en el Departamento.</t>
  </si>
  <si>
    <t>Adoptar e implementar políticas de prevención de daños antijurídicos y socializarlas al interior de la administración departamental, propendiendo por la salvaguarda de los bienes e intereses jurídicos de terceros legalmente protegidos.</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</si>
  <si>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</si>
  <si>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</si>
  <si>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JAMER CHAQUIP GIRALDO MOLINA</t>
  </si>
  <si>
    <t>SEGUIMIENTO PLAN DE ACCIÓN
SECRETARIA DE TURISMO, INDUSTRIA Y COMERCIO
III TRIMESTRE 2019</t>
  </si>
  <si>
    <t>META FISICA</t>
  </si>
  <si>
    <t>Edad Económicamente Activa      (20-59 años)</t>
  </si>
  <si>
    <t>PROSPERIDAD CON EQUIDAD</t>
  </si>
  <si>
    <t>Quindío rural, inteligente, competitivo y empresarial</t>
  </si>
  <si>
    <t>Quindío Prospero y productivo</t>
  </si>
  <si>
    <t xml:space="preserve">Crear (1) y fortalecer (3) rutas competitivas </t>
  </si>
  <si>
    <t>Ruta competitiva creada y rutas fortalecidas</t>
  </si>
  <si>
    <t>0311 - 5 - 3 1 2 2 8 13 51 - 20
0311 - 5 - 3 1 2 2 8 13 51 - 88</t>
  </si>
  <si>
    <t>201663000-0051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</si>
  <si>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</si>
  <si>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</si>
  <si>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Incremento de las empresas competitivas en el departamento.</t>
  </si>
  <si>
    <t>Fortalecimiento de la competitividad del Departamento del Quindio y los sectores econòmicos priorizados.</t>
  </si>
  <si>
    <t>Ordinario (20)</t>
  </si>
  <si>
    <t>Jovanny Villegas Castaño / Claudia Lorena Arias Agudelo</t>
  </si>
  <si>
    <t>Secretario de Turismo Industria y Comercio</t>
  </si>
  <si>
    <t xml:space="preserve">Superavit Recurso Ordinario </t>
  </si>
  <si>
    <t>Fortalecimiento de las rutas Kaldia, Tumbaga y Artemis.</t>
  </si>
  <si>
    <t>Conformar e implementar (3) tres clúster priorizados en el Plan de Competitividad</t>
  </si>
  <si>
    <t>Clúster conformados e implementados</t>
  </si>
  <si>
    <t>Brindar apoyo y seguimiento a los planes de acciòn de los clùsters, y fortalecer sus estrategias de crecimiento y promociòn comercial para la apertura de nuevos mercados</t>
  </si>
  <si>
    <t xml:space="preserve">Diseño, formulación y puesta en marcha del Centro  para el desarrollo y el  fortalecimiento de la investigación, tecnología,  Ciencia e Innovación .   </t>
  </si>
  <si>
    <t>Centro  para el desarrollo y el  fortalecimiento de la investigación, tecnología,  ciencia e innovación diseñado, formulado e implementado</t>
  </si>
  <si>
    <t>201663000-0052</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</si>
  <si>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</si>
  <si>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</si>
  <si>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Suficiente infraestructura y equipamiento para el Centro de gestión de la innovación y la tecnología</t>
  </si>
  <si>
    <t>Fortalecer un Centro de Investigaciòn, Tecnologìa, Ciencia e innovaciòn a travès del apoyo en la investigaciòn aplicada al PCC.</t>
  </si>
  <si>
    <t>Ordinario (20)
Superavit Recurso Ordinario (88</t>
  </si>
  <si>
    <t>Jovanny Villegas Castaño</t>
  </si>
  <si>
    <t>0311 - 5 - 3 1 2 2 8 13 52 - 20</t>
  </si>
  <si>
    <t xml:space="preserve">Apoyar la formulación del proyecto: Red de conocimiento de agro negocios del departamento </t>
  </si>
  <si>
    <t>Proyecto Red de conocimiento agroindustrial apoyado</t>
  </si>
  <si>
    <t>Gestión tecnológica y de capital humano pertinente, para incrementar la competitividad de sectores estratégicos</t>
  </si>
  <si>
    <t xml:space="preserve">Fortalecimiento al Plan de Acciòn la Red de conocimiento de Agronegocios </t>
  </si>
  <si>
    <t>0311 - 5 - 3 1 2 2 8 13 52 - 88</t>
  </si>
  <si>
    <t xml:space="preserve">Diseñar y fortalecer un proyecto de I+D+I </t>
  </si>
  <si>
    <t>Proyecto de I+D+I diseñado y fortalecido</t>
  </si>
  <si>
    <t>Apoyo y acompañamiento tècnico a los procesos para la aprobaciòn de un proyecto en materia de I+D+I</t>
  </si>
  <si>
    <t>Hacia el Emprendimiento, Empresarismo, asociatividad y generación de empleo en el Departamento del Quindío</t>
  </si>
  <si>
    <t xml:space="preserve">Diseñar un ecosistema Regional de Emprendimiento y Asociatividad  </t>
  </si>
  <si>
    <t>Ecosistema regional de emprendimiento y asociatividad diseñado</t>
  </si>
  <si>
    <t>201663000-0053</t>
  </si>
  <si>
    <t>Apoyo al emprendimiento, empresarismo, asociatividad y generación de empleo en el departamento del Quindio</t>
  </si>
  <si>
    <t>Mejoramiento de los niveles de emprendimiento, empresarismo y asociatividad en el departamento del quindio</t>
  </si>
  <si>
    <t>Eficiente interacción y articulación del sector empresarial y demás actores para el fomento del emprendimiento, empresarismo y
asociatividad en el Departamento del Quindio</t>
  </si>
  <si>
    <t xml:space="preserve">Puesta en marcha y seguimiento a la operatividad de un ecosistema Regional de Emprendimiento y Asociatividad.   </t>
  </si>
  <si>
    <t>Ordinario (20)
Superavit Recurso Ordinario (88)</t>
  </si>
  <si>
    <t>Participación en una convocatoria para proyectos de emprenderismo en conjunto con la Red Regional de Emprendimiento.</t>
  </si>
  <si>
    <t>Apoyar a doce (12) unidades de emprendimiento para jóvenes emprendedores.</t>
  </si>
  <si>
    <t>Unidades de emprendimiento apoyadas</t>
  </si>
  <si>
    <t>Eficiente estimulo con recursos financieros para el emprendimiento, empresarismo y asociatividad en el departamento del quindío</t>
  </si>
  <si>
    <t>Apoyar tres unidades de emprendimiento de jovenes emprendedores.</t>
  </si>
  <si>
    <t xml:space="preserve">0311 - 5 - 3 1 2 2 9 13 53 - 20
</t>
  </si>
  <si>
    <t xml:space="preserve">Apoyar estrategias de promoción de productos de emprendedores y empresarios quindianos en la temporada de fin de año </t>
  </si>
  <si>
    <t>Apoyar   doce (12) Unidades de emprendimiento de grupos poblacionales con enfoque diferencial.</t>
  </si>
  <si>
    <t xml:space="preserve">0311 - 5 - 3 1 2 2 9 13 53 - 88
</t>
  </si>
  <si>
    <t>Apoyar tres unidades de emprendimiento de poblaciòn con enfoque diferencial</t>
  </si>
  <si>
    <t>Implementar un programa de gesiton financiera para el desarrollo de emprendimiento, empresarismo y asociatividad</t>
  </si>
  <si>
    <t>Programa de gestión finaciera implementado</t>
  </si>
  <si>
    <t>Puesta en marcha y seguimiento a la operatividad del Programa de Gestión Financiera para el Desarrollo de Emprendimiento, Empresarismo y Asociatividad.</t>
  </si>
  <si>
    <t>Quindío Sin Fronteras</t>
  </si>
  <si>
    <t>Fortalecer  doce (12) empresas en procesos internos y externos para la apertura a mercados regionales, nacionales e internacionales</t>
  </si>
  <si>
    <t>Empresas fortalecidas</t>
  </si>
  <si>
    <t>201663000-0056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</si>
  <si>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</si>
  <si>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</si>
  <si>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</si>
  <si>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Fortalecimiento de empresas en sus procesos de apertura de mercados</t>
  </si>
  <si>
    <t>Constituir e implementar una agencia de inversión empresarial</t>
  </si>
  <si>
    <t>Agencia de inversión constituida e implementada</t>
  </si>
  <si>
    <t>0311 - 5 - 3 1 2 2 10 13 56 - 20</t>
  </si>
  <si>
    <t>Fortalecimiento de mecanismos de inversión y de herramientas tecnológicas de servicios logisticos en el sector empresarial para su
conexión a mercados global</t>
  </si>
  <si>
    <t>Fortalecimiento de la Agencia de Inversión Empresarial y seguimiento  a su Plan de Acción.</t>
  </si>
  <si>
    <t>0311 - 5 - 3 1 2 2 10 13 56 - 88</t>
  </si>
  <si>
    <t>Diseñar la  plataforma de servicios logísticos nacionales e internacionales tendiente a lograr del departamento un centro de articulación de occidente</t>
  </si>
  <si>
    <t>Plataforma de servicios logísticos diseñada</t>
  </si>
  <si>
    <t>Operaciòn y seguimiento de la plataforma de servicios logisticos nacionales e internacionales</t>
  </si>
  <si>
    <t>QUINDIO POTENCIA TURISTICA DE NATURALEZA Y DIVERSION</t>
  </si>
  <si>
    <t xml:space="preserve">Fortalecimiento de la oferta de productos y atractivos turísticos </t>
  </si>
  <si>
    <t>Diseñar, crear y/o fortalecer 15 Productos turísticos para ser ofertados</t>
  </si>
  <si>
    <t>Productos turísticos diseñados, creados y/o fortalecidos</t>
  </si>
  <si>
    <t>0311 - 5 - 3 1 2 3 11 13 59 - 20</t>
  </si>
  <si>
    <t>201663000-0059</t>
  </si>
  <si>
    <t>Fortalecimiento de la oferta de prestadores de servicos, productos y atractivos turísticos en el Departamento del Quindío.</t>
  </si>
  <si>
    <t xml:space="preserve">Mejoramiento del posicionamiento del departamento del Quindío como destino turistico en Colombia. </t>
  </si>
  <si>
    <t>Fortalecimiento de los factores que hacen competitivo el turismo.</t>
  </si>
  <si>
    <t>Diseñar, crear y/o fortalecer 5 Productos turísticos para ser ofertados</t>
  </si>
  <si>
    <t xml:space="preserve">Nora Isabel Bravo Baeza
Carlos Eduardo Montaño Figueroa </t>
  </si>
  <si>
    <t>Elaborar e implementar  un Plan de Calidad Turística del Destino</t>
  </si>
  <si>
    <t>Plan de Calidad elaborado e implementado</t>
  </si>
  <si>
    <t>Ejecución del Plan de Calidad Turistica</t>
  </si>
  <si>
    <t>Mejoramiento de la competitividad del Quindío como destino turístico</t>
  </si>
  <si>
    <t>Gestionar y ejecutar (3) proyectos para mejorar la competitividad del Quindío como destino turístico</t>
  </si>
  <si>
    <t>Proyectos gestionados y ejecutados</t>
  </si>
  <si>
    <t>201663000-0060</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</si>
  <si>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</si>
  <si>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</si>
  <si>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y acciones que mejoren la competitividad del destino turistico</t>
  </si>
  <si>
    <t>Apoyo a la conformación de los cluster de Turismo de Naturaleza, MICE y Salud</t>
  </si>
  <si>
    <t>Nora Isabel Bravo Baeza
Carlos Eduardo Montaño Figueroa
Monica Andrea Rodríguez Gonzales</t>
  </si>
  <si>
    <t>Apoyo al mejoramiento de la infraestructura turística.</t>
  </si>
  <si>
    <t>0311 - 5 - 3 1 2 3 12 13 60 - 20</t>
  </si>
  <si>
    <t>Ejecución del Plan Decenal de Turismo.</t>
  </si>
  <si>
    <t>Fortalecimiento al programa Club de Producto y actualización de actores.</t>
  </si>
  <si>
    <t>Apoyo para la capacitación a prestadores de servicios turísticos.</t>
  </si>
  <si>
    <t>Ejecución del  programa de turismo responsable.</t>
  </si>
  <si>
    <t>Promoción nacional e internacional del departamento como destino turístico</t>
  </si>
  <si>
    <t>Construcción del Plan de Mercadeo Turístico</t>
  </si>
  <si>
    <t>Plan de Mercadeo construido</t>
  </si>
  <si>
    <t>0311 - 5 - 3 1 2 3 13 13 62 - 20
0311 - 5 - 3 1 2 3 13 13 62 - 52
0311 - 5 - 3 1 2 3 13 13 62 - 88
0311 - 5 - 3 1 2 3 13 13 62 - 94</t>
  </si>
  <si>
    <t>201663000-0062</t>
  </si>
  <si>
    <t>Apoyo a la promoción nacional e internacional como destino  turístico del Departamento del Quindío.</t>
  </si>
  <si>
    <t>Mejoramiento del nivel de impacto de las acciones de "Promocion del destino turistico del departamento del Quindio"</t>
  </si>
  <si>
    <t>Eficiente identificacion de los mercados prioritarios para productos turisticos</t>
  </si>
  <si>
    <t>Ejecución del Plan de Mercadeo para la  Promoción del departamento como destino turística nivel nacional.</t>
  </si>
  <si>
    <t>Ordinario (20)
Impuesto al Registro (52)
Superavit Ordinario  (88)
Ir/Turismo (94)</t>
  </si>
  <si>
    <t>Nora Isabel Bravo Baeza
Carlos Eduardo Montaño Figueroa</t>
  </si>
  <si>
    <t>Impuesto al Registro</t>
  </si>
  <si>
    <t xml:space="preserve">Superavit Ordinario </t>
  </si>
  <si>
    <t>Ir/Turismo</t>
  </si>
  <si>
    <t>Ejecución del Plan de Mercadeo para la  Promoción del departamento como destino turística nivel internacional.</t>
  </si>
  <si>
    <t xml:space="preserve">NATALIA ANDREA RODRIGUEZ LONDOÑO </t>
  </si>
  <si>
    <t>SECRETARIA DE TURISMO,INDUSTRIA Y COMERCIO</t>
  </si>
  <si>
    <t>SEGUIMIENTO PLAN DE ACCIÓN
SECRETARIA DE HACIENDA Y FINANZAS PUBLICAS
III TRIMESTRE DE  2019</t>
  </si>
  <si>
    <t xml:space="preserve">                                                               </t>
  </si>
  <si>
    <t>GESTIÓN TERRIITORIAL</t>
  </si>
  <si>
    <t>Implementar 4 procesos de fiscalización de las Rentas Departamentales</t>
  </si>
  <si>
    <t>Procesos de fiscalización implementados</t>
  </si>
  <si>
    <t>0307 - 5 - 3 1 5 28 88 17 16 - 20
0307 - 5 - 3 1 5 28 88 17 16 - 56
0307 - 5 - 3 1 5 28 88 17 16 - 88</t>
  </si>
  <si>
    <t>201663000-0016</t>
  </si>
  <si>
    <t xml:space="preserve"> Mejoramiento de la sostenibilidad de los procesos de fiscalización liquidación control y cobranza de los tributos en el Departamento del Quindío</t>
  </si>
  <si>
    <t xml:space="preserve"> Aumentar los  porcentajes de crecimiento de los ingresos en el Departamento del Quindio, a través de procesos de fiscalización, procedimientos administrativos de cobro coactivo de la cartera morosa y cumplimiento del  Programa Anticontrabando 
</t>
  </si>
  <si>
    <t xml:space="preserve">Realizar procesos de fiscalizaciòn de las rentas Departamentales, a través de la realización de controles en la
liquidación y cobranza  en los tributos con el fin de aumentar los ingresos consolidar la cultura tributaria y
aumentar la inversion. 
</t>
  </si>
  <si>
    <t>Procesos de Fiscalizaciòn sobre  LAS RENTAS DEPARTAMENTALES</t>
  </si>
  <si>
    <t xml:space="preserve">
Recurso Ordinario
</t>
  </si>
  <si>
    <t>Recurso Ordinario- Superavit Ordinario- Convenio Antricontrabando</t>
  </si>
  <si>
    <t>Maria Yaneth Salcedo Solano</t>
  </si>
  <si>
    <t xml:space="preserve"> Secretaría de Hacienda</t>
  </si>
  <si>
    <t>Implementar una estrategia de cobro coactivo sobre la cartera morosa de las Rentas Departamentales.</t>
  </si>
  <si>
    <t>Estrategia de cobro coactivo implementada</t>
  </si>
  <si>
    <t>Llevar a cabo la implementaciòn de los diferentes Procesos Administrativos de Cobro Coactivo sobre aquellos contribuyentes que se encuentran en mora de cancelar sus obligaciones tributarias</t>
  </si>
  <si>
    <t xml:space="preserve">Procedimiento Administrativo de cobro coactivo frente a la cartera de las diferentes Rentas del Departamento del Quindío </t>
  </si>
  <si>
    <t xml:space="preserve">Ejecutar el programa anti contrabando suscrito con la Federación Nacional de Departamentos.                               </t>
  </si>
  <si>
    <t>Programa anticontrabando ejecutado</t>
  </si>
  <si>
    <t>Ejecutar el Programa Anticontrabando en el Departamento del Quindìo con ocasion de la suscripcion del Convenio entre el Departamento del Quindìo y la Federaciòn Nacional de Departamentos</t>
  </si>
  <si>
    <t xml:space="preserve">Programa Anticontrabando de licores, Cerveza y Cigarrillos.
</t>
  </si>
  <si>
    <t>Convenio Anticontrabando</t>
  </si>
  <si>
    <t>Elaborar el diagnóstico del sistema de Información tributario y financiero</t>
  </si>
  <si>
    <t>Diagnostico del sistema de información tributario y financiero elaborado</t>
  </si>
  <si>
    <t xml:space="preserve">0307 - 5 - 3 1 5 28 88 17 17 - 20
0307 - 5 - 3 1 5 28 88 17 17 - 88
</t>
  </si>
  <si>
    <t>201663000-0017</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</si>
  <si>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</si>
  <si>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</si>
  <si>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Elaborar el diagnóstico del sistema de información tributario y financiero, consolidando los sistemas de información y optimizando los procesos en el área de tesoreria, presupuesto y contabilidad en el Departamento del Quindío</t>
  </si>
  <si>
    <t>consolidación de lls sistemas de información</t>
  </si>
  <si>
    <t>Recurso Ordinario- Superavit Ordinario</t>
  </si>
  <si>
    <t>Edwin Leonardo Acevedo Lozano</t>
  </si>
  <si>
    <t xml:space="preserve">  Secretarría de Hacienda</t>
  </si>
  <si>
    <t xml:space="preserve">Implementar un programa para el cumplimiento de las políticas y prácticas contables para la administración departamental         </t>
  </si>
  <si>
    <t>Programa para el cumplimiento de políticas contables implementado</t>
  </si>
  <si>
    <t xml:space="preserve">Adoptar el nuevo modelo de informaciòn Financiera determinado por las Normas Internacionales de Contabilidad de información financiera NIIF, a fin de garantizar la confiabilidad de la información financiera.
</t>
  </si>
  <si>
    <t xml:space="preserve"> Implementaciòn de Normas Internacionales de Informaciòn Financiera (NIIF) y fortalecimiento institucional ara el cumplimiento de de las politicas y practicas contables en el área de tesorería, Presupuesto y Contabilidad</t>
  </si>
  <si>
    <t>                         </t>
  </si>
  <si>
    <t xml:space="preserve">LUZ HELENA MEJIA  CARDONA </t>
  </si>
  <si>
    <t>Secretaria de Hacienda Y Finanzas Públicas</t>
  </si>
  <si>
    <t>SEGUIMIENTO PLAN DE ACCIÓN
SECRETARIA DE AGUAS E INFRAESTRUCTURA
III TRIMESTRE  2019</t>
  </si>
  <si>
    <t>O6</t>
  </si>
  <si>
    <t xml:space="preserve"> 1 de 1</t>
  </si>
  <si>
    <t xml:space="preserve">META FISICA PROGRAMADA </t>
  </si>
  <si>
    <t>DESARROLLO SOSTENIBLE</t>
  </si>
  <si>
    <t>Territorio Vital</t>
  </si>
  <si>
    <t>Manejo Integral del Agua y Saneamiento Basico</t>
  </si>
  <si>
    <t>Formular y ejecutar veinte (20) proyectos de infraestructura de agua potable y saneamiento básico.</t>
  </si>
  <si>
    <t>No de proyectos de infraestructura formulados y/o ejecutados.</t>
  </si>
  <si>
    <t>0308 - 5 - 3 1 1 1 2 3 22 -04
0308 - 5 - 3 1 1 1 2 3 22 - 27
0308 - 5 - 3 1 1 1 2 3 22 - 82
0308 - 5 - 3 1 1 1 2 3 22 - 90</t>
  </si>
  <si>
    <t>201663000-0022</t>
  </si>
  <si>
    <t>Apoyo en atenciones prioritarias en Agua Potable y/o Saneamiento Básico en el Departamento del Quindío.</t>
  </si>
  <si>
    <t>Formular proyectos de infraestructura para la prestacion de servicios de agua potable y saneamiento basico a la poblacion vulnerable del Departamento.</t>
  </si>
  <si>
    <t>Generar intervenciones prioritaria para la adecuacion y optimizacion de sistemas de APSB.</t>
  </si>
  <si>
    <t>Construcción y/o mantenimiento y/o optimizacion de obras de  Agua Potable y/o Saneamiento Básico en el Departamento del Quindío.</t>
  </si>
  <si>
    <t>04</t>
  </si>
  <si>
    <t xml:space="preserve">Estampilla Prodesarrollo </t>
  </si>
  <si>
    <t>6</t>
  </si>
  <si>
    <t>Estampilla Prodesarrollo (04) -Superavit Estampilla Prodesarrollo (82)</t>
  </si>
  <si>
    <t>Angela Maria Agudelo Rodriguez-Directora de Aguas y Saneamiento Básico</t>
  </si>
  <si>
    <t>JUAN ANTONIO OSORIO ALVAREZ
SECRETARIO DE AGUAS E INFRAESTRUCTURA</t>
  </si>
  <si>
    <t>SGP Agua Potable y Saneamineto Básico</t>
  </si>
  <si>
    <t>Formular proyectos para ejecutar diferentes proyectos con el fin de brindar un buen servicio de Agua potable y Saneamiento basico.</t>
  </si>
  <si>
    <t>82</t>
  </si>
  <si>
    <t>Superávit Estampilla Prodesarrollo (82)</t>
  </si>
  <si>
    <t>Superávit SGP Agua Potable y Saneamineto Básico (90)</t>
  </si>
  <si>
    <t>0308 - 5 - 3 1 1 1 2 3 23 - 27
0308 - 5 - 3 1 1 1 2 3 23 - 88</t>
  </si>
  <si>
    <t>201663000-0023</t>
  </si>
  <si>
    <t>Construcción y mejoramiento de la infraestructura de agua potable y saneamiento básico del Departamento del Quindio.</t>
  </si>
  <si>
    <t>Infraestructura eficiente para la prestación del servicio de agua potable y saneamiento basico</t>
  </si>
  <si>
    <t>Realizar estudios y diseños enfocados a las necesidades en cuanto a la construccion y mejoramiento de la infraestructura de agua potable y saneamiento basico</t>
  </si>
  <si>
    <t>Construcción y/o mantenimiento y/o optimizacion de obras de  Agua Potable y/o Saneamiento Básico en el Departamento del Quindío</t>
  </si>
  <si>
    <t>SGP APSB (27) -SUPERAVIT RECURSO ORDINARIO (88)</t>
  </si>
  <si>
    <t>Formular,priorizar, viabilizar y ejecutar proyectos de infraestructura de Agua Potable y Saneamiento Basico</t>
  </si>
  <si>
    <t>Superavit Ordinario (88)</t>
  </si>
  <si>
    <t>Apoyar  veinte (20) proyectos de agua potable y saneamiento básico de acuerdo al plan de acompañamiento social</t>
  </si>
  <si>
    <t xml:space="preserve">No de proyectos acompañados </t>
  </si>
  <si>
    <t>0308 - 5 - 3 1 1 1 2 3 24 - 27</t>
  </si>
  <si>
    <t>201663000-0024</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</si>
  <si>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</si>
  <si>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</si>
  <si>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Seguimiento a la socializacion de proyectos de Agua potable y Saneamiento Basico.</t>
  </si>
  <si>
    <t>Campañas de Socialización de proyectos de agua potable y saneamiento básico</t>
  </si>
  <si>
    <t xml:space="preserve">SGP APSB (27) </t>
  </si>
  <si>
    <t xml:space="preserve"> Diseño de estrategias de participacion de la comunidad en los proyectos de agua potable y saneamiento basico.</t>
  </si>
  <si>
    <t>Actualizar e implementar el plan ambiental para el sector de agua potable y saneamiento básico</t>
  </si>
  <si>
    <t>Plan ambiental actualizado e implementado</t>
  </si>
  <si>
    <t>0308 - 5 - 3 1 1 1 2 3 25 - 27</t>
  </si>
  <si>
    <t>201663000-0025</t>
  </si>
  <si>
    <t>Actualización e implementación del  Plan Ambiental para el sector de agua potable y saneamiento básico en el Departamento del Quindío</t>
  </si>
  <si>
    <t>Ejecutar el Plan Ambiental para el sector agua potable y saneamiento básico deacuerdo al decreto 1077 de 2015 para la vigencia 2016 - 2019</t>
  </si>
  <si>
    <t>Descripción actual de la oferta y la demanda de los recursos naturales asociados a la prestación de los servicios públicos de acueducto, alcantarillado y aseo. 
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Definir el cumplimiento de los mínimos ambientales para los proyectos de acueducto, alcantarillado y aseo en el Plan ambiental para el sector de agua potable y saneamiento básico.
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Concertar obras e inversines entre el departamento, el gestor y la Corporación Autónoma Regional del Quindío on base en el diagnóstico del sector, la priorización de proyectos y las inversiones disponibles.</t>
  </si>
  <si>
    <t>Actualización e implementacion del Plan Ambiental para el Sector de Agua Potable y Saneamiento Básico</t>
  </si>
  <si>
    <t>SGP APSB (27)</t>
  </si>
  <si>
    <t>Ejecutar tres (3) proyectos para el aseguramiento de la prestación de los servicios públicos de agua potable y saneamiento básico urbano y rural</t>
  </si>
  <si>
    <t xml:space="preserve">No de proyectos ejecutados para el aseguramiento de la prestación de servicios </t>
  </si>
  <si>
    <t>0308 - 5 - 3 1 1 1 2 3 26 - 27</t>
  </si>
  <si>
    <t>201663000-0026</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</si>
  <si>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</si>
  <si>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</si>
  <si>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</si>
  <si>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Actualizacion y/o  ejecucion del plan de Aseguramiento de la prestación de servicios</t>
  </si>
  <si>
    <t>SGP APSB 827)</t>
  </si>
  <si>
    <t xml:space="preserve">Contratar el grupo gestor del PAP-PDA Quindío  </t>
  </si>
  <si>
    <t>Estructurar el equipo operativo de apoyo al gestor del PAP PDA</t>
  </si>
  <si>
    <t xml:space="preserve">2. </t>
  </si>
  <si>
    <t xml:space="preserve">PROSPERIDAD CON EQUIDAD </t>
  </si>
  <si>
    <t xml:space="preserve">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</si>
  <si>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</si>
  <si>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</si>
  <si>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</si>
  <si>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</si>
  <si>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</si>
  <si>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Km de vías del departamento mantenidas, mejoradas y/o rehabilitadas</t>
  </si>
  <si>
    <t>0308 - 5 - 3 1 2 4 14 9 19 - 88</t>
  </si>
  <si>
    <t>201663000-0019</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</si>
  <si>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</si>
  <si>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</si>
  <si>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</si>
  <si>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Insumos para operación y mantenimiento preventivo y correctivo de la maquinaria amarilla</t>
  </si>
  <si>
    <t>Sobre Tasa ACPM,
 Superavit Sobre Tasa  ACPM,
 Recurso del Crédito</t>
  </si>
  <si>
    <t>Marco Aurelio Forero Patiño
Director Infraestructura Vial y Social</t>
  </si>
  <si>
    <t>Asistencia profesional y tecnica para el mejoramiento vial del Departamento del Quindio.</t>
  </si>
  <si>
    <t>0308 - 5 - 3 1 2 4 14 9 19 - 23</t>
  </si>
  <si>
    <t>Mantener, mejorar y/o rehabilitar la Infraestructura Vial del Departamento del Quindio</t>
  </si>
  <si>
    <t>Superávit Recursos del Crédito (157)</t>
  </si>
  <si>
    <t>0308 - 5 - 3 1 2 4 14 9 19 - 46</t>
  </si>
  <si>
    <t>Asistencia externa para el control y seguimiento de la correcta ejecucion de los contratos de Infraestructura Vial.</t>
  </si>
  <si>
    <t>Apoyar la atención de emergencias viales en los doce (12) Municipios del Departamento del Quindío.</t>
  </si>
  <si>
    <t>Numero de municipios con emergencias viales apoyados</t>
  </si>
  <si>
    <t>Atención oportuna y eficiente de las emergencias viales en el departamento del Quindìo.</t>
  </si>
  <si>
    <t>Transporte, materiales y equipos.</t>
  </si>
  <si>
    <t>0308 - 5 - 3 1 2 4 14 9 19 - 157</t>
  </si>
  <si>
    <t>Recurso humano necesarios para la atencion de emergencias viales</t>
  </si>
  <si>
    <t>0308 - 5 - 3 1 2 4 14 9 19 - 89</t>
  </si>
  <si>
    <t>Obra Fisica requerida para la atencion de emergencias viales</t>
  </si>
  <si>
    <t xml:space="preserve">15. </t>
  </si>
  <si>
    <t>MEJORA DE LA INFRAESTRUCTURA SOCIAL DEL DEPARTAMENTO DEL QUINDIO</t>
  </si>
  <si>
    <t>Mantener, mejorar y/o rehabilitar la Infraestructura de cuarenta y ocho (48) instituciones educativas en el departamento del Quindío.</t>
  </si>
  <si>
    <t>Numero de instituciones educativas mantenidas, mejoradas y/o rehabilitadas</t>
  </si>
  <si>
    <t>0308 - 5 - 3 1 2 4 15 15 21 - 04
0308 - 5 - 3 1 2 4 15 15 21 - 46
0308 - 5 - 3 1 2 4 15 15 21 - 20
0308 - 5 - 3 1 2 4 15 1 21 - 04
0308 - 5 - 3 1 2 4 15 1 21 - 82
0308 - 5 - 3 1 2 4 15 7 21 - 46
0308 - 5 - 3 1 2 4 15 15 2 - 56
0308 - 5 - 3 1 2 4 15 15 21 - 82</t>
  </si>
  <si>
    <t>201663000-0021</t>
  </si>
  <si>
    <t>Construir, mantener, mejorar y/o rehabilitar la infraestructura social del Departamento del quindio</t>
  </si>
  <si>
    <t>Construir, mantener, mejorar y/o rehabilitar la infraestructura social del departamento del Quindío.</t>
  </si>
  <si>
    <t>Mantener en buen estado la infraestructura y asequible la infraestructura social del departamento del Quindío</t>
  </si>
  <si>
    <t>1.1 Transporte, elementos, materiales, equipos e insumos infraestructura educativa</t>
  </si>
  <si>
    <t>Estampilla Prodesarrollo- Superavit Estampilla Prodesarrollo, Recurso del Credito, Recurso Ordinario</t>
  </si>
  <si>
    <t>Marco Aurelio Forero Patiño Director Infraestructura Vial y Social 
Carlos Andres Baena - Jefe Infraestructura Social</t>
  </si>
  <si>
    <t>1.2 Asistencia profesional- tecnica y mano de obra Infraestructura educativa</t>
  </si>
  <si>
    <t>1.3 Mantener, mejorar y/o rehabilitar la Infraestructura educativa del Departamento del Quindio.</t>
  </si>
  <si>
    <t>1.4 Asistencia externa para el control y seguimiento de la correcta ejecucion de los contratos en Infraestructura educativa</t>
  </si>
  <si>
    <t>Apoyar la construcción, mejoramiento y/o rehabilitación de cuatro (4) obras de infraestructura de salud del departamento del Quindío</t>
  </si>
  <si>
    <t>Numero de instituciones de salud mejoradas y/o apoyadas</t>
  </si>
  <si>
    <t>2.1 Obra Fisica Infraestructura de Salud</t>
  </si>
  <si>
    <t>2.2 Asistencia externa para el control y seguimiento de la correcta ejecucion de los contratos en Infraestructura de Salud</t>
  </si>
  <si>
    <t>Apoyar la construcción, mejoramiento y/o  rehabilitación de la infraestructura de doce (12) escenarios deportivos y/o recreativos en el departamento del Quindío</t>
  </si>
  <si>
    <t>Número de escenarios deportivo o recreativo  apoyado</t>
  </si>
  <si>
    <t>3.1 Transporte, elementos, materiales, equipos e insumos Infraestructura deportiva</t>
  </si>
  <si>
    <t>3.2 Asistencia profesional - tecnica y mano de obra de Infraestructura deportiva</t>
  </si>
  <si>
    <t>3.3 Mantener, mejorar y/o rehabilitar la Infraestructura deportiva del Departamento del Quindio.</t>
  </si>
  <si>
    <t>3.4 Asistencia externa para el control y seguimiento de la correcta ejecucion de los contratos en infraestructura deportiva</t>
  </si>
  <si>
    <t>Apoyar la construcción, el mantenimiento, el mejoramiento y/o la rehabilitación de la infraestructura de doce (12) equipamientos públicos y colectivos del Departamento del Quindío.</t>
  </si>
  <si>
    <t>Número de  equipamientos públcos  y colectivos rehabilitados</t>
  </si>
  <si>
    <t>4.1 Transporte, elementos, materiales, equipos e insumos Infraestructura Equipamientos publicos y colectivos</t>
  </si>
  <si>
    <t>4.2 Construir, mantener, mejorar y/o rehabilitar la infraestructura Social del Departamento del Quindio</t>
  </si>
  <si>
    <t>4.3 Asistencia profesional tecnica y mano de obra infraestructura de equipamientos publicos y colectivos</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</si>
  <si>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</si>
  <si>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</si>
  <si>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5.1 Construir, mantener, mejorar y/o rehabilitar la Infraestructura Institucional o de edificios publicos del Departamento del Quindio.</t>
  </si>
  <si>
    <t>5.2 Asistencia externa para el control y seguimiento de la correcta ejecucion de los contratos en Infraestructura Institucional o de edificios publicos en el departamento del Quindio.</t>
  </si>
  <si>
    <t>Apoyar la construcción y  el mejoramiento de mil (1000) viviendas urbana y rural priorizada en el departamento del Quindío.</t>
  </si>
  <si>
    <t>Número de viviendas apoyadas</t>
  </si>
  <si>
    <t>6.1 Mejoramiento de vivienda</t>
  </si>
  <si>
    <t xml:space="preserve">Desarrollar tres (3) ejercicios de presupuesto participativo con la ciudadanía, para la priorización de recursos de infraestructura física en el Departamento </t>
  </si>
  <si>
    <t xml:space="preserve">Desarrollar tres (3) ejercicios de presupuesto participativo con la ciudadanía, para la priorización de recursos de infraestructura física en el departamento </t>
  </si>
  <si>
    <t xml:space="preserve">7.1 Evento Socializacion ejercicio participativo </t>
  </si>
  <si>
    <t>31/09/2017</t>
  </si>
  <si>
    <t>0308 - 5 - 3 1 2 4 15 15 2 - 56</t>
  </si>
  <si>
    <t>2018003630- 002</t>
  </si>
  <si>
    <t xml:space="preserve">Contrucción Cancha Sintetica y Adecuación del Polideportivo en el Sector el Naranjal, Quimbaya Quindio </t>
  </si>
  <si>
    <t>Incrementar los niveles de práctica deportiva</t>
  </si>
  <si>
    <t>Aumentar los espacios para la prácticas deportivas</t>
  </si>
  <si>
    <t>Construcion Cancha Sintetica y Adecuacion del Polideportivo en el Sector de Naranjal, Quimbaya Quindio</t>
  </si>
  <si>
    <t>Recursos Nacionales</t>
  </si>
  <si>
    <t>TOTAL:</t>
  </si>
  <si>
    <t>Juan Antonio Osorio Alvarez</t>
  </si>
  <si>
    <t xml:space="preserve">Secretario de Aguas e Infraestructura </t>
  </si>
  <si>
    <t>Departamento del Quindio</t>
  </si>
  <si>
    <t xml:space="preserve">Proyecto y elaboro: </t>
  </si>
  <si>
    <t xml:space="preserve"> Carlos Enrique Penagos Mejia, Apoyo Financiero PAP- PDA SAID</t>
  </si>
  <si>
    <t xml:space="preserve">  </t>
  </si>
  <si>
    <t>Dalila Oyola Moreno, Apoyo Financiero PAP-PDA SAID</t>
  </si>
  <si>
    <t>Ana Milena Rincon B, Apoyo Financiero Direccion Vial - Social SAID</t>
  </si>
  <si>
    <t xml:space="preserve">Sobretasa ACPM (23)
</t>
  </si>
  <si>
    <t>Recurso del Crédito (46)</t>
  </si>
  <si>
    <t xml:space="preserve">Superavit Sobretasa ACPM (89)
</t>
  </si>
  <si>
    <t>Estampilla Prodesarrollo (04)</t>
  </si>
  <si>
    <t>Superávit Estampilla Pro Desarrollo (82)</t>
  </si>
  <si>
    <t>Recurso Ordinario (20)</t>
  </si>
  <si>
    <t>SEGUIMIENTO PLAN DE ACCIÓN 
SECRETARIA DE AGRICULTURA,  DESARROLLO RURAL Y MEDIO AMBIENTE
III TRIMESTRE 2019  2019</t>
  </si>
  <si>
    <t>Quindío territorio vital</t>
  </si>
  <si>
    <t>Generación de entornos favorables y sostenibilidad ambiental</t>
  </si>
  <si>
    <t xml:space="preserve">Implementar un (1)  Sistema de Gestión Ambiental Departamental SIGAD </t>
  </si>
  <si>
    <t>Sistema de Gestión Ambiental Departamental SIGAD implementado</t>
  </si>
  <si>
    <t>0312 - 5 - 3 1 1 1 1 10 64 - 20</t>
  </si>
  <si>
    <t>201663000-0064</t>
  </si>
  <si>
    <t xml:space="preserve">GENERACION DE ENTORNOS FAVORABLES Y SOSTENIBILIDAD AMBIENTAL PARA EL DEPARTAMENTO DEL QUINDÍO </t>
  </si>
  <si>
    <t xml:space="preserve">Mantener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</si>
  <si>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</si>
  <si>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t>
  </si>
  <si>
    <t>ORDINARIO</t>
  </si>
  <si>
    <t>JULIANA ACOSTA JARAMILLO</t>
  </si>
  <si>
    <t>SECRETARIO DE DESPACHO Y JULIANA ACOSTA JARAMILLO</t>
  </si>
  <si>
    <t>Promocion y divulgacion del SIGAD.</t>
  </si>
  <si>
    <t xml:space="preserve">Apoyar cuatro (4) planes de manejo de áreas protegidas del Departamento </t>
  </si>
  <si>
    <t>Planes de manejo apoyados</t>
  </si>
  <si>
    <t>Actualización y apoyo en el fortalecimiento de  los planes de manejo de áreas protegidas del Departamento</t>
  </si>
  <si>
    <t xml:space="preserve">Apoyar el Plan Departamental  para la Gestión Integral de la Biodiversidad y sus Servicios Ecosistémicos PDGIB 2013-2024  </t>
  </si>
  <si>
    <t>Plan departamental apoyado</t>
  </si>
  <si>
    <t xml:space="preserve">Adecuadar planificación para la sostenibilidad de los recursos naturales
</t>
  </si>
  <si>
    <t>Apoyo al Plan de gestión de la biodiversidad y sus servicios ecosistemicos PDGIB</t>
  </si>
  <si>
    <t>Diseñay ejecutar una politica Departamental de uso racional de resiudos solidos y uso eficiente de energia</t>
  </si>
  <si>
    <t>Política departamental diseñada y ejecutada</t>
  </si>
  <si>
    <t xml:space="preserve">Realizar actividades de educación en competencias de sostenibilidad  que esten encamidas a la estructuración e implementación de las politicas de residuos y energia. </t>
  </si>
  <si>
    <t xml:space="preserve">Apoyar a los doce (12) municipios en las acciones de control y vigilancia de la explotación minera en coordinación con la autoridad ambiental </t>
  </si>
  <si>
    <t>Número de municipios en acciones de control y vigilancia de la explotación minera apoyados</t>
  </si>
  <si>
    <t xml:space="preserve">Acompañamiento a los municipios en las acciones de control y vigilancia de la explotación minera en coordinación con la autoridad ambiental </t>
  </si>
  <si>
    <t>Manejo integral del agua y saneamiento básico</t>
  </si>
  <si>
    <t xml:space="preserve">Crear e implementar el Fondo del Agua del departamento del Quindío </t>
  </si>
  <si>
    <t>Fondo del Agua creado e implementado</t>
  </si>
  <si>
    <t>0312 - 5 - 3 1 1 1 2 10 67 -20</t>
  </si>
  <si>
    <t>201663000-0067</t>
  </si>
  <si>
    <t>GESTIÓN INTEGRAL DE CUENCAS HIDROGRÁFICAS EN EL DEPARTAMENTO DEL QUINDÍO</t>
  </si>
  <si>
    <t xml:space="preserve">Mantener  de la oferta hídrica promedio anual  de las Unidades de Manejo de Cuenca (UMC) del departamento del Quindío </t>
  </si>
  <si>
    <t>Realizar y coordinar acciones de  recuperación y mantenimiento del recursos hídrico</t>
  </si>
  <si>
    <t xml:space="preserve">Implementar el Fondo del Agua del departamento del Quindío  </t>
  </si>
  <si>
    <t>Caracterizar los servicios ecosistémicos en 6 cuencas de abastecimientode los acueductos municipales con sus correspondientes acciones de mejoramiento</t>
  </si>
  <si>
    <t>Número de cuencas con servicios ecosistémicos caracterizados</t>
  </si>
  <si>
    <t>Elaboracion de inventario de servicios ecosistemicos y diagnostico de los componentes de flora, fauna y recursos hidricos de 2 cuencas hidrograficas</t>
  </si>
  <si>
    <t>Bienes y servicios ambientales para las nuevas generaciones</t>
  </si>
  <si>
    <t>Conservar Y Restaurar Seis (2) Áreas De Importancia Estratégica Para El Recurso Hídrico Del Departamento</t>
  </si>
  <si>
    <t>Áreas conservadas y restauradas</t>
  </si>
  <si>
    <t>0312 - 5 - 3 1 1 1 3 10 68 - 20 0312 - 5 - 3 1 1 1 3 10 68 - 88</t>
  </si>
  <si>
    <t>201663000-0068</t>
  </si>
  <si>
    <t>APLICACIÓN DE MECANISMOS DE PROTECCIÓN AMBIENTAL EN EL DEPARTAMENTO DEL QUINDIO</t>
  </si>
  <si>
    <t xml:space="preserve">Mantener  de la oferta hídrica promedio anual  de las Unidades de Manejo de Cuenca (UMC) del departamento del Quindío 
</t>
  </si>
  <si>
    <t>Vigilancia, control y seguimiento a las áreas de protección</t>
  </si>
  <si>
    <t>Recuperación y mantenimiento de  las  zonas deterioradas en las áreas de protección.</t>
  </si>
  <si>
    <t>Adquirir Doscientos Setenta (270) Ha Para Áreas De Conservación En Predios De Importancia Estratégica Para El Recurso Hídrico Del Departamento Del Quindío</t>
  </si>
  <si>
    <t>Áreas De Conservación En Predios De Importancia Estratégica Adquiridas</t>
  </si>
  <si>
    <t>Adquirir doscientos setenta (270) ha para áreas de conservación en predios de importancia estratégica para el recurso hídrico del departamento del Quindío</t>
  </si>
  <si>
    <t>Conservar Para La Sostenibilidad Ambiental Dos (2) Cuencas De Los Municipios Con Declaratoria De Paisaje Cultural Cafetero Pcc</t>
  </si>
  <si>
    <t>Número de cuencas conservadas</t>
  </si>
  <si>
    <t>0312 - 5 - 3 1 1 1 3 10 69 - 20</t>
  </si>
  <si>
    <t>201663000-0069</t>
  </si>
  <si>
    <t>FORTALECIMIENTO Y POTENCIALIZACIÓN DE LOS SERVICIOS ECOSISTÉMICOS EN EL DEPARTAMENTO DEL QUINDIO</t>
  </si>
  <si>
    <t xml:space="preserve">Disminuir en la presión por cargas contaminantes, medida por el Índice de Alteración Potencial de la Calidad del Agua </t>
  </si>
  <si>
    <t xml:space="preserve">Mejorar en la calidad del agua en los sistemas hídricos  </t>
  </si>
  <si>
    <t>Intervenir en herramientas del PCC las cuencas de los municipios con declaratoria de paisaje cultural cafetero</t>
  </si>
  <si>
    <t>30/12/20019</t>
  </si>
  <si>
    <t>Promover La Creación Y Adopción  En Los Doce (12) Municipios Del Departamento, De Herramientas Para El Estímulo De Incentivos A La Conservación</t>
  </si>
  <si>
    <t>Número de municipios con acciones de incentivos a la conservación promovidas</t>
  </si>
  <si>
    <t xml:space="preserve">Promover los incentivos a la conservación con la normativa vigente  </t>
  </si>
  <si>
    <t>Restaurar Con Obras De Bioingeniería Veinte (20) Ha En Áreas O Zonas Críticas De Riesgo.</t>
  </si>
  <si>
    <t xml:space="preserve">Número de hectáreas restauradas </t>
  </si>
  <si>
    <t>Poner en marcha obras de bioingenieria</t>
  </si>
  <si>
    <t>Desarrollar Treinta Y Un (31) Estrategias De Educación Ambiental  En Los Espacios Participativos, Comunitarios Y Educativos Del Departamento</t>
  </si>
  <si>
    <t>Número de estrategias de educación desarrolladas</t>
  </si>
  <si>
    <t xml:space="preserve">Desarrollar estrategias de educación ambiental para el desarrollo sostenible </t>
  </si>
  <si>
    <t>Capacitar A 250 Jóvenes, Mujeres, Población Vulnerable Y Con Enfoque Diferencial Como Lideres De Educación Ambiental En El Departamento</t>
  </si>
  <si>
    <t>Número de  jóvenes,  mujeres, población vulnerable y con enfoque diferencial capacitados</t>
  </si>
  <si>
    <t>Formar multiplicadores ambientales para el desarrollo sostenible</t>
  </si>
  <si>
    <t>Innovación para una caficultura sostenible en el departamento del Quindío</t>
  </si>
  <si>
    <t>Capacitar a cuatrocientos (400) caficultores del departamento en producción limpia y sostenible con producción de café con taza limpia, catación, tostión y barismo</t>
  </si>
  <si>
    <t>Número de caficultores capacitados</t>
  </si>
  <si>
    <t>0312 - 5 - 3 1 2 2 4 13 72 - 20</t>
  </si>
  <si>
    <t>201663000-0072</t>
  </si>
  <si>
    <t xml:space="preserve">FORTALECIMIENTO E INNOVACIÓN EMPRESARIAL DE LA CAFICULTURA EN EL DEPARTAMENTO DEL QUINDIO </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</si>
  <si>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</si>
  <si>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Cadena productiva del café sin valos agregado</t>
  </si>
  <si>
    <t>Capacitar A Caficultores  En Buenas Prácticas Agrícolas Sostenible Y Aseguramiento De La Calidad De Café</t>
  </si>
  <si>
    <t>MAURICIO RUIZ HAMBRA</t>
  </si>
  <si>
    <t>SECRETARIO DE DESPACHO Y MAURICIO RUIZ HAMBRA</t>
  </si>
  <si>
    <t>Capacitar A Caficultores En Catación, Tostión Y Barísmo</t>
  </si>
  <si>
    <t>Crear (6) seis grupos multiplicadores de conocimiento en emprendimiento y calidad del café  para jóvenes y mujeres rurales, campesinas y cafeteras</t>
  </si>
  <si>
    <t>Número de grupos multiplicadores creados</t>
  </si>
  <si>
    <t>Fortalecimiento A Asociaciones De Café De Jóvenes Y Mujeres Rurales En Buenas Prácticas Agrícolas Y Aseguramiento De La Calidad Del Café A Traves De Asistencia Técnica Y Talleres</t>
  </si>
  <si>
    <t xml:space="preserve">Capacitación  A Jóvenes Y Mujeres Rurales En Asociatividad, Emprendimiento,  En Mejoramiento Y Aseguramiento De La Calidad  </t>
  </si>
  <si>
    <t xml:space="preserve"> Crear (1) portafolio de café origen Quindío a través de la valoración de 6000 predios</t>
  </si>
  <si>
    <t>Portafolio de café origen Quindío creado</t>
  </si>
  <si>
    <t>Bajo  nivel de conocimiento de los productores en producción limpia y sostenible con énfasis en calidad sensorial del café</t>
  </si>
  <si>
    <t>Visitas De Asistencia Técnicas De Caracterización A Predios Productores De Café Del Departamento Del Quindío</t>
  </si>
  <si>
    <t>Toma De Muestras De Café Y Análisis De Catación Y Perfilación A Través De Convenios Interadministrativos Y/O Interinstitucionales</t>
  </si>
  <si>
    <t>Promoción Y Divulgación Del Portafolio De Café Origen Quindío</t>
  </si>
  <si>
    <t>Formalizar (1) un convenio interinstitucional para la inserción de los cafés de origen Quindío en los mercados nacionales e internacionales</t>
  </si>
  <si>
    <t>Convenio interinstitucional formalizado</t>
  </si>
  <si>
    <t>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</si>
  <si>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</si>
  <si>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</si>
  <si>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Núcleos de asistencia creados e implementados</t>
  </si>
  <si>
    <t>1.75</t>
  </si>
  <si>
    <t>0312 - 5 - 3 1 2 2 5 8 176 - 20
0312 - 5 - 3 1 2 2 5 8 176 - 46
0312 - 5 - 3 1 2 5 8 176 - 88</t>
  </si>
  <si>
    <t>201663000-0176</t>
  </si>
  <si>
    <t>CREACIÓN E IMPLEMENTACIÓN DE LOS CENTROS AGROINDUSTRIALES REGIONALES PARA LA PAZ"CARPAZ" EN EL DEPARTAMENTO DEL QUINDIO</t>
  </si>
  <si>
    <t xml:space="preserve">Equiparar el crecimiento del PIB del departamento del Quindío al PIB nacional
</t>
  </si>
  <si>
    <t>Mejorar  la productividad primaria agropecuaria</t>
  </si>
  <si>
    <t>Crear Un Núcleo De Asistencia Agrícola</t>
  </si>
  <si>
    <t>MAURICIO RUIZ HAMBRA Y JORGE IVAN LOAIZA BONILLA</t>
  </si>
  <si>
    <t>SECRETARIO DE DESPACHO, MAURICIO RUIZ HAMBRA Y JORGE IVAN LOAIZA BONiLLA</t>
  </si>
  <si>
    <t>Crear e implementar los nucleos de asistencia agricola.</t>
  </si>
  <si>
    <t>Crear Un Núcleo De Asistencia Pecuaria</t>
  </si>
  <si>
    <t xml:space="preserve">Crear e implmentar los nucleos de asistencia pecuaria </t>
  </si>
  <si>
    <t>Apoyar cinco (5) sectores productivos agropecuarios del departamento en métodos de mercadeo que propicien innovación en los aspectos comerciales de los productos del Quindío</t>
  </si>
  <si>
    <t>Sectores productivos apoyados</t>
  </si>
  <si>
    <t>Realizar Eventos De Educomunicación (Agrícola Y Pecuario)</t>
  </si>
  <si>
    <t>Crear  seis (6) centros logísticos  para la transformación agroindustrial - CARPAZ</t>
  </si>
  <si>
    <t>Centros logísticos creados</t>
  </si>
  <si>
    <t>Articular la demanda existente y la oferta efectiva</t>
  </si>
  <si>
    <t>Crear Centros Logísticos Agroindustriales</t>
  </si>
  <si>
    <t>Capacitar seis (6) unidades agro empresariales de jóvenes y mujeres rurales</t>
  </si>
  <si>
    <t>Unidades agro empresariales capacitadas</t>
  </si>
  <si>
    <t>Brindar un sistema eficiente de prestación de servicios públicos</t>
  </si>
  <si>
    <t>Capacitación En Estrategias De Mercadeo A Diferentes   Grupos Asociativos De Productores Agrícolas Y Agroindustriales</t>
  </si>
  <si>
    <t>Crear E Implementar El Fondo De Financiamiento De Desarrollo Rural Fider</t>
  </si>
  <si>
    <t>Fondo de financiamiento creado e implementado</t>
  </si>
  <si>
    <t>0312 - 5 - 3 1 2 2 5 8 177 - 20</t>
  </si>
  <si>
    <t>201663000-0177</t>
  </si>
  <si>
    <t>CREACION E IMPLEMENTACION DEL FONDO DE FINANCIAMIENTO DE DESARROLLO RURAL - FIDER</t>
  </si>
  <si>
    <t>Mejoramiento de las condiciones de acceso al financiamiento de los productores agropecuarios, mediante la creacion de un fondo financiero para el desarrollo rural en el departamento del Quindío</t>
  </si>
  <si>
    <t>Generación de procesos de  apoyo financiero de facil acceso para desarrolo del sector productivo rural.</t>
  </si>
  <si>
    <t>Asistencia Técnica En La Creación Y Elaboración De Un Fondo De Financiamiento Para El Desarrollo Rural</t>
  </si>
  <si>
    <t>JORGA IVAN LOAIZA BONILLA</t>
  </si>
  <si>
    <t>19/02/20169</t>
  </si>
  <si>
    <t>SECRETARIO DE DESPACHO Y JORGE IVAN LOAIZA BONILLA</t>
  </si>
  <si>
    <t>0312 - 5 - 3 1 2 2 5 8 177 - 88</t>
  </si>
  <si>
    <t>Financiamiento Al Pequeño Productor Rural</t>
  </si>
  <si>
    <t>Reactivar un instrumento de prevención por eventos naturales para productos agrícolas.</t>
  </si>
  <si>
    <t>Instrumento de prevención por eventos naturales para productos agrícolas reactivado</t>
  </si>
  <si>
    <t>0312 - 5 - 3 1 2 2 5 8 175 - 20</t>
  </si>
  <si>
    <t>2016663000-0175</t>
  </si>
  <si>
    <t>IMPLEMENTACIÓN DE UN INSTRUMENTO PARA LA PREVENCIÓN DE EVENTOS NATURALES PRODUCTOS AGRICOLAS EN E DEPARTAMENTO DEL QUINDÍO</t>
  </si>
  <si>
    <t>Mejoramiento En El Rendimiento Productivo, Mediante Estrategias De Mitigación, Para Contrarrestar Eventos Y Riesgos Naturales En El Sector Agropecuario</t>
  </si>
  <si>
    <t xml:space="preserve">Fortalecimiento de los  programas de prevención en el sector rural, para mejorar la capacidad de respuesta ante posibles eventos y riesgos naturales </t>
  </si>
  <si>
    <t>Acompañamiento Técnico Y Promoción De El Plan Integral De Gestión De Cambio Climático Como Instrumento  Prevención  Y Adaptación En Eventos Climáticos</t>
  </si>
  <si>
    <t xml:space="preserve">Generación de espacios de articulación institucional en apoyo de asistencia técnica rural ante eventos y riesgos naturales  </t>
  </si>
  <si>
    <t>Emprendimiento y empleo rural</t>
  </si>
  <si>
    <t>Apoyo En La Formalización De Empresas En (4)  Sectores Productivos Agropecuarios Del Departamento</t>
  </si>
  <si>
    <t>Número de sectores productivos apoyados</t>
  </si>
  <si>
    <t>0312 - 5 - 3 1 2 2 6 13 75 - 20</t>
  </si>
  <si>
    <t>201663000-0075</t>
  </si>
  <si>
    <t xml:space="preserve">FOMENTO AL EMPRENDIMIENTO Y  AL EMPLEO RURAL EN EL DEPARTAMENTO DEL QUINDÍO  </t>
  </si>
  <si>
    <t xml:space="preserve">Aumetar crecimiento del PIB del departamento  del Quindio a frente al PIB Nacional </t>
  </si>
  <si>
    <t xml:space="preserve">Apoyar la formalización de empresas en los sectores productivos  del departamenato, a tarvés de la identificación , analisis y priorización  de los  potenciales empredimientos  rurales, con el fin de contribuir a generar condiciones para  aumentar   producto interno bruto  el departamento   durante la vigencia 2016 </t>
  </si>
  <si>
    <t>Apoyo En La Formalización De Empresas En Los Sectores Productivos</t>
  </si>
  <si>
    <t>Generar Un Apalancamiento A 100 Iniciativas Rurales</t>
  </si>
  <si>
    <t>Número de iniciativas productivas apalancadas</t>
  </si>
  <si>
    <t xml:space="preserve">Realizar apálacamiento a las iniciativas productivas rurales, a través  de  procesos de acompañamiento  a la consolidación de  ideas de negocio e  implementación de garantias complementarias para el facilitar el acceso a la diferentes fuentes financiación con el fin de contribuir a generar condiciones para  aumentar   producto interno bruto  el departamento   durante la vigencia 2016 , 
</t>
  </si>
  <si>
    <t>Identificación Y Caracterización De Las Nuevas Iniciativas Productivas Rurales</t>
  </si>
  <si>
    <t>Capacitar A (1.200) Jóvenes Y Mujeres Rurales En Actividades  Agrícolas Y No Agrícolas</t>
  </si>
  <si>
    <t>Número de jóvenes y mujeres rurales capacitados</t>
  </si>
  <si>
    <t xml:space="preserve">Capacitar a jóvenes y mujeres en actividadeas agricolas y no agricolas con procesois de seguimiento y evaluación  en la generación de ideas y/o consolidación de negocios con el fin de contribuir a generar condiciones para  aumentar   producto interno bruto  el departamento   durante la vigencia 2016 </t>
  </si>
  <si>
    <t>Capacitación A Jóvenes Y Mujeres Rurales En Actividades Agrícolas Y No Agrícolas</t>
  </si>
  <si>
    <t>Beneficiar A 2.400 Mujeres Rurales Campesinas, Personas En Condición De Vulnerabilidad Y Con Enfoque Diferencial En Formación Para El Trabajo Y Desarrollo Humano</t>
  </si>
  <si>
    <t>Número de mujeres rurales campesinas, personas en condición de vulnerabilidad y con enfoque diferencial beneficiados</t>
  </si>
  <si>
    <t>Formación Para El Trabajo Y El Desarrollo Humano</t>
  </si>
  <si>
    <t>Impulso a la competitividad productiva y empresarial del sector Rural</t>
  </si>
  <si>
    <t>Apoyar a 5 Sectores Productivos Del Departamento En Ruedas De Negocio</t>
  </si>
  <si>
    <t>0312 - 5 - 3 1 2 2 7 13 78 - 20</t>
  </si>
  <si>
    <t>201663000-0078</t>
  </si>
  <si>
    <t>FORTALECIMIENTO A LA COMPETITIVIDAD PRODUCTIVA Y EMPRESARIAL DEL SECTOR RURAL EN EL DEPARTAMENTO DEL QUINDIO</t>
  </si>
  <si>
    <t>Crecimiento del PIB del departamento  del Quindio frente al PIB Nacional</t>
  </si>
  <si>
    <t xml:space="preserve">Conocimiento de metodos no tradicionales de comercialización </t>
  </si>
  <si>
    <t>Impulsar la competitivdad productiva y empresarial  mediante ruedas de negocio</t>
  </si>
  <si>
    <t>JORGE IVAN LOAIZA BONILLA</t>
  </si>
  <si>
    <t>Diseñar e implementar (1) un instrumento de planificación e información rural para la comercialización de productos transables</t>
  </si>
  <si>
    <t>Instrumento de planificación e información diseñado e implementado</t>
  </si>
  <si>
    <t xml:space="preserve">Aumentar la  divulgacion de eventos especializados para acceder a mercados internacionales
</t>
  </si>
  <si>
    <t>Puesta en marcha de los instrumentos de planificación e información rural</t>
  </si>
  <si>
    <t>INCLUSION SOCIAL</t>
  </si>
  <si>
    <t>Soberanía, seguridad alimentaria y nutricional</t>
  </si>
  <si>
    <t>Fomento a la Agricultura Familiar Campesina, agricultura urbana y mercados campesinos para la soberanía y  Seguridad alimentaria</t>
  </si>
  <si>
    <t>Diseñar E Implementar El Programa De Agricultura Familiar Y Campesina</t>
  </si>
  <si>
    <t>Programa de agricultura familiar campesina diseñado e implementado</t>
  </si>
  <si>
    <t>0312 - 5 - 3 1 3 11 34 8 79 - 20</t>
  </si>
  <si>
    <t>201663000-0079</t>
  </si>
  <si>
    <t>FOMENTO A LA AGRICULTURA FAMILIAR CAMPESINA, AGRICULTURA URBANA Y MERCADOS CAMPESINOS PARA LA SOBERANÍA Y SEGURIDAD ALIMENTARIA</t>
  </si>
  <si>
    <t xml:space="preserve">Aumentar La Producción De Frutas Y Verduras Para El Autoconsumo Del Departamento Del Quindío A Través De La Implementación De Un Sistema De Parcelas Campesinas Y Comercio De Excedentes </t>
  </si>
  <si>
    <t>Diseñar e implementar un (1) programa de agricultura familiar campesina</t>
  </si>
  <si>
    <t>Asistencia Técnica A Beneficiarios Del Programa Soberanía Y Seguridad Alimentaria Y Nutricional</t>
  </si>
  <si>
    <t xml:space="preserve">MAURICIO RUIZ HAMBRA </t>
  </si>
  <si>
    <t>Apoyar La Conformación De Cuatro Alianzas Para Contratos De Compra Anticipada De Productos De La Agricultura Familiar En El Departamento Del Quindío</t>
  </si>
  <si>
    <t>Numero de alianzas para contratos de compra anticipada apoyados</t>
  </si>
  <si>
    <t>Apoyar la conformación de cuatro (4) alianzas para contratos de compra anticipada de productos de la agricultura familiar en el departamento del Quindío</t>
  </si>
  <si>
    <t>Acompañamiento Y Asistencia Técnica A Productores Agropecuarios En La Productividad Primaria Y Alistamiento De La Oferta, Permitiendo Así El Aseguramiento De La Cadena Agroalimentaria En La Productividad Primaria</t>
  </si>
  <si>
    <t>Sembrar Quinientas (500) Ha De Productos De La Canasta Básica Familiar Para Aumentar La Disponibilidad De Alimentos</t>
  </si>
  <si>
    <t>Número de hectáreas sembradas</t>
  </si>
  <si>
    <t>Sembrar 150 Ha De Productos De La Canasta Básica Familiar</t>
  </si>
  <si>
    <t>Beneficiar A 2.400 Familias Urbanas Y Periurbanas Con Parcelas De Agricultura Familiar Para Autoconsumo Y Comercio De Excedentes</t>
  </si>
  <si>
    <t>Numero de familias beneficiadas</t>
  </si>
  <si>
    <t>Beneficiar a 2400 familias urbanas y periurbanas con parcelas de agricultura familiar para autoconsumo y comercio de excedentes</t>
  </si>
  <si>
    <t>Acompañamiento A Familias Urbanas Y Periurbanas En El Establecimiento De Parcelas De Agricultura Familiar</t>
  </si>
  <si>
    <t>Mejorar El Estado Nutricional De 1795 Niños Menor De 5 Años Y De 1531 Niños De 6 A 18 Años  En Riesgo De Desnutrición En El Departamento</t>
  </si>
  <si>
    <t>Numero de población infantil en riesgo con estado nutricional de 0 a 5 años y de 6 a 18 años mejorado</t>
  </si>
  <si>
    <t>Mejorar el estado nutricional de 1795 niños menor de 5 años y de 1531 niños de 6 a 18 años  en riesgo de desnutrición en el departamento</t>
  </si>
  <si>
    <t>Talleres De Capacitación En El Mejoramiento De La Dieta Alimenticia A Partir De Productos De La Canasta Básica Familiar</t>
  </si>
  <si>
    <t>ALVARO ARIAS YOUNG</t>
  </si>
  <si>
    <t>Secretario de Agricultura, medio Ambiente y Desarrollo Rural</t>
  </si>
  <si>
    <t>Superávit Recurso Ordinario</t>
  </si>
  <si>
    <t>Recurso del Crédito</t>
  </si>
  <si>
    <t>SEGUIMIENTO PLAN DE ACCIÓN
INDEPORTES
III TRIMESTRE 2019</t>
  </si>
  <si>
    <t>Apoyo al deporte asociado</t>
  </si>
  <si>
    <t xml:space="preserve"> Ligas deportivas del departamento del Quindío</t>
  </si>
  <si>
    <t xml:space="preserve">Apoyar  y fortalecer veintitrés (23) ligas deportivas.   </t>
  </si>
  <si>
    <t>Ligas deportivas apoyadas y fortalecidas.</t>
  </si>
  <si>
    <t>2234468202-12</t>
  </si>
  <si>
    <t>201663000-0161</t>
  </si>
  <si>
    <t>Apoyo al deporte asociado en el Departamento del Quindio</t>
  </si>
  <si>
    <t xml:space="preserve">Incrementar los niveles de desarrollo en el deporte formativo y competitivo del departamento del quindio
</t>
  </si>
  <si>
    <t xml:space="preserve">Fortalecer los procesos con deportistas de altos logros 
</t>
  </si>
  <si>
    <t>Apoyo a las ligas en los eventos deportivos de carácter federal  (Adquisición de Bienes y Servicios)</t>
  </si>
  <si>
    <t>MONOPOLIO</t>
  </si>
  <si>
    <t>SANDRA YELITZA CASTELBLANCO CELIS</t>
  </si>
  <si>
    <t>GERENTE GENERAL INDEPORTES</t>
  </si>
  <si>
    <t>2234468202-9</t>
  </si>
  <si>
    <t>RENDIMIENTOS FINANCIEROS</t>
  </si>
  <si>
    <t>2234468202-3</t>
  </si>
  <si>
    <t>IPOCONSUMO</t>
  </si>
  <si>
    <t>2334468202-12</t>
  </si>
  <si>
    <t>2334468202-6</t>
  </si>
  <si>
    <t>CIGARRILLO 70%</t>
  </si>
  <si>
    <t>2234468202_4</t>
  </si>
  <si>
    <t>Realizar acompañamiento y asesorìa a las ligas y clubes del departamento  (Componente tecnico)</t>
  </si>
  <si>
    <t>ICLD</t>
  </si>
  <si>
    <t>Apoyar  a veinte  (20) deportistas en nivel de talento, de proyección y de altos logros con el programa de incentivos económicos a deportistas.</t>
  </si>
  <si>
    <t>Número de deportistas incentivados.</t>
  </si>
  <si>
    <t>2234468203_4</t>
  </si>
  <si>
    <t>Apoyo a deportistas de alto logros y reserva deportiva (Asistencia social)</t>
  </si>
  <si>
    <t xml:space="preserve"> Apoyo a eventos deportivos</t>
  </si>
  <si>
    <t/>
  </si>
  <si>
    <t>Apoyar 13 ligas de los eventos deportivos de carácter federado nacional y departamental</t>
  </si>
  <si>
    <t>Ligas apoyadas en eventos departamental y nacionales.</t>
  </si>
  <si>
    <t>2234469204-4</t>
  </si>
  <si>
    <t>Apoyo  logistico a las 13 ligas estrategicas  (Adquisición de Bienes y Servicios)</t>
  </si>
  <si>
    <t>2234469204_12</t>
  </si>
  <si>
    <t>Juegos intercolegiados</t>
  </si>
  <si>
    <t>Desarrollar cuatro (4) juegos Intercolegiados  en sus diferentes fases.</t>
  </si>
  <si>
    <t>Juegos intercolegiados desarrollados</t>
  </si>
  <si>
    <t>2234470205-12</t>
  </si>
  <si>
    <t>201663000-0162</t>
  </si>
  <si>
    <t>Apoyo a los juegos intercolegiados en el Deparrtamento del Quindìo</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</si>
  <si>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</si>
  <si>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</si>
  <si>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 xml:space="preserve">Acompañamiento a la fase departamental y nacional de los juegos intercolegiados (Adquisición de Bienes y Servicios) </t>
  </si>
  <si>
    <t>GLORIA INES HERRERA FRANCO</t>
  </si>
  <si>
    <t>2234470205-4</t>
  </si>
  <si>
    <t>2234470205-7</t>
  </si>
  <si>
    <t>COLDEPORTES</t>
  </si>
  <si>
    <t>2334470205-13</t>
  </si>
  <si>
    <t xml:space="preserve">SUPERAVIT  </t>
  </si>
  <si>
    <t>2334470205-15</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</si>
  <si>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</si>
  <si>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</si>
  <si>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</si>
  <si>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2234471206_12</t>
  </si>
  <si>
    <t>201663000-0163</t>
  </si>
  <si>
    <t>Apoyo al Deporte formativo, deporte social comunitario y juegos  tradicionales en el Departamento del Quindío</t>
  </si>
  <si>
    <t xml:space="preserve">Generar espacios recreo-deportivos, aumentando el porcentaje de utilización de escenarios deportivos y
disminuyendo los índices de consumo de estupefacientes
</t>
  </si>
  <si>
    <t>Fortalecer los espacios recreodeportivos</t>
  </si>
  <si>
    <t>Brindar asesoria a los doce municipios del departamento (Componente tecnico)</t>
  </si>
  <si>
    <t>2334471206-13</t>
  </si>
  <si>
    <t>SUPERAVIT</t>
  </si>
  <si>
    <t>Desarrollar  1 eventos de deporte social y comunitario.</t>
  </si>
  <si>
    <t>Eventos deportivos social y comunitarios desarrollar.</t>
  </si>
  <si>
    <t>2334471207-13</t>
  </si>
  <si>
    <t>Realizacion de eventos deportivos en el departamento (Adquisición de Bienes y Servicios)</t>
  </si>
  <si>
    <t>2234471207_12</t>
  </si>
  <si>
    <t>Apoyar  técnicamente un 1  evento de  Juegos Comunales en la fase Departamental</t>
  </si>
  <si>
    <t>Juegos comunales apoyados.</t>
  </si>
  <si>
    <t>2234471208_4</t>
  </si>
  <si>
    <t>Realizacion de los juegos comunales en el departamento (Adquisición de Bienes y Servicios)</t>
  </si>
  <si>
    <t>2234471208_12</t>
  </si>
  <si>
    <t>Si Recreación y actividad física para ti</t>
  </si>
  <si>
    <t>Recreación,  para el Bien Común</t>
  </si>
  <si>
    <t>Apoyar de forma articulada el desarrollo del programa (1) "Campamentos Juveniles"</t>
  </si>
  <si>
    <t>Programa de recreación para la juventud diseñado y desarrollado</t>
  </si>
  <si>
    <t>2234572209-3</t>
  </si>
  <si>
    <t>201663000-0164</t>
  </si>
  <si>
    <t xml:space="preserve"> Apoyo a la Recreación,  para el Bien Común en el Departamento del Quindío</t>
  </si>
  <si>
    <t xml:space="preserve">Disminuir los indices de consumo de estupefacientes en los municipios del departamento a través  del desarrollo de espacios recreodeportivos. 
</t>
  </si>
  <si>
    <t>Fortalecer una cultura recreo-deportiva en la poblacion</t>
  </si>
  <si>
    <t>Brindar apoyo tecnico y logistico a campamentos juveniles (Adquisición de Bienes y Servicios)</t>
  </si>
  <si>
    <t>MANUEL ANTONIO RODRIGUEZ QUINTERO</t>
  </si>
  <si>
    <t>2234572209_7</t>
  </si>
  <si>
    <t>2334572209-3</t>
  </si>
  <si>
    <t>SUPERAVIT IPOCONSUMO</t>
  </si>
  <si>
    <t>Apoyar de forma articulada el programa nuevo comienzo "Otro Motivo para Vivir" (1).</t>
  </si>
  <si>
    <t>Programa nuevo comienzo "Otro Motivo para Vivir" articulado y desarrollado.</t>
  </si>
  <si>
    <t>2234572210_4</t>
  </si>
  <si>
    <t>Apoyo logistico y tecnico al adulto mayor (Adquisición de Bienes y Servicios)</t>
  </si>
  <si>
    <t>2234572210_3</t>
  </si>
  <si>
    <t>2234572210_7</t>
  </si>
  <si>
    <t>2334572210-3</t>
  </si>
  <si>
    <t>Crear y desarrollar una estrategia para articular la actividad recreativa social comunitaria desde la primera infancia hasta las personas mayores.</t>
  </si>
  <si>
    <t>Estrategia creada y desarrollada.</t>
  </si>
  <si>
    <t>2234572211_3</t>
  </si>
  <si>
    <t>Apoyo logistico tecnico (Adquisición de Bienes y Servicio)</t>
  </si>
  <si>
    <t>2234572211_7</t>
  </si>
  <si>
    <t>2334572211-6</t>
  </si>
  <si>
    <t>2334572211-13</t>
  </si>
  <si>
    <t xml:space="preserve"> Actividad física, hábitos y estilos de vida saludables</t>
  </si>
  <si>
    <t xml:space="preserve">implementar un (1) programa que permita ejecutar proyectos  de actividad física para la promoción de hábitos y estilos de vida saludables </t>
  </si>
  <si>
    <t xml:space="preserve">Programa implementado </t>
  </si>
  <si>
    <t>2234573212_3</t>
  </si>
  <si>
    <t>201663000-0165</t>
  </si>
  <si>
    <t>Apoyo a la actividad fisica, salud y productiva en el Departamento del Quindio.</t>
  </si>
  <si>
    <t xml:space="preserve">Disminuir los  índices en el consumo de estupefacientes  y sedentarismo en los municipios del departamento a traves de programa de actividad fisica y habitos saludables
</t>
  </si>
  <si>
    <t xml:space="preserve">Fomentar estios de vida saludable y actividad fisica
</t>
  </si>
  <si>
    <t>Actividades en promoción de hábitos y estilos de vida saludables  (Componente tecnico)</t>
  </si>
  <si>
    <t>2234573212_7</t>
  </si>
  <si>
    <t>2334573212-4</t>
  </si>
  <si>
    <t>Deporte, recreación, actividad fisica en los municipios del departamento del Quindío</t>
  </si>
  <si>
    <t>Apoyar doce (12) municipios en proyectos deportivos, recreactivos y de actividad fisica</t>
  </si>
  <si>
    <t>Numero de municipios apoyados</t>
  </si>
  <si>
    <t>22346741_2</t>
  </si>
  <si>
    <t>201663000-0166</t>
  </si>
  <si>
    <t>Apoyo a proyectos deportivos, recreativos y de actividad fisica, en el Departamento del Quindìo</t>
  </si>
  <si>
    <t>Disminuir los índices del consumo de estupefacientes en los municipios del departamento</t>
  </si>
  <si>
    <t xml:space="preserve">Fortalecer la articulacion interinstitucional
</t>
  </si>
  <si>
    <t>Brindar acompañamiento tecnico a los municipios Otros (Realizar convenios con los doce municipios del departamento para la transferencia de recursos de telefonia movil)</t>
  </si>
  <si>
    <t xml:space="preserve">GERENTE GENERAL INDEPORTES
</t>
  </si>
  <si>
    <t>23346741-3</t>
  </si>
  <si>
    <t xml:space="preserve">OLGA LUCIA FERNANDEZ CARDENAS
GERENTE GENERAL INDEPORTES
</t>
  </si>
  <si>
    <t xml:space="preserve">Elaboro: Juan David Gomez Gomez 
</t>
  </si>
  <si>
    <t xml:space="preserve">SEGURIDAD HUMANA </t>
  </si>
  <si>
    <t>Seguridad humana como dinamizador de la vida, dignidad y libertad en el Qundío</t>
  </si>
  <si>
    <t>Fortalecimiento de la seguridad vial en el Departamentol del Quindío</t>
  </si>
  <si>
    <t>Implementar un programa para disminuir la accidentalidad en las vías del departamento</t>
  </si>
  <si>
    <t>Programa para disminuir la accidentalidad implementado</t>
  </si>
  <si>
    <t>201663000-172</t>
  </si>
  <si>
    <t>Fortalecimiento de la seguridad vial  en el Departamento del Quindío</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</si>
  <si>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</si>
  <si>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</si>
  <si>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Implementar el programa orientado a disminución de la accidentalidad en las vias</t>
  </si>
  <si>
    <t>Recurso Ordinario Departamento</t>
  </si>
  <si>
    <t>Gloria Mercedes Buitrago
Raul Augusto Perez</t>
  </si>
  <si>
    <t>Gloria Mercedes Buitrago Salazar, Directora</t>
  </si>
  <si>
    <t>Recurso Propio IDTQ</t>
  </si>
  <si>
    <t xml:space="preserve">Formular e implementar el Plan de Seguridad Vial del Departamento </t>
  </si>
  <si>
    <t>Plan departamental de seguridad vial elaborado e implementado</t>
  </si>
  <si>
    <t>Formulación del Plan de Seguridad Vial</t>
  </si>
  <si>
    <t xml:space="preserve">Apoyar la implementación del programa: Ciclorutas en el departamento del Quindío </t>
  </si>
  <si>
    <t>Programa: Ciclorutas en el departamento del Quindío apoyado</t>
  </si>
  <si>
    <t>Generear oportunidadesinstitucionales a través de procesos de gestion orientados a insentivar programas de movilidad sostenible en la jurisdiccion del I.D.T.Q</t>
  </si>
  <si>
    <t>Campañas de difusión y sensibilización a la población del Programa Nacional de ciclorutas</t>
  </si>
  <si>
    <t>GLORIA MERCEDES BUITRAGO SALAZAR</t>
  </si>
  <si>
    <t>Directora</t>
  </si>
  <si>
    <t>SEGUIMIENTO PLAN DE ACCIÓN
SECRETARIA DE PLANEACION
III TRIMESTRE 2019</t>
  </si>
  <si>
    <t xml:space="preserve">META FISICA </t>
  </si>
  <si>
    <t>PRESUPUESTO</t>
  </si>
  <si>
    <t>Palenqueras</t>
  </si>
  <si>
    <t>Realizar en el Departamento y  los doce (12) municipios  del Quindío  procesos de sensibilización, seguimiento  y evaluación en la aplicabilidad de los componentes   del Índice de Transparencia.</t>
  </si>
  <si>
    <t>Número de procesos de seguimiento y evaluación realizados</t>
  </si>
  <si>
    <t>0305 - 5 - 3 1 5 26 83 17 6 - 20</t>
  </si>
  <si>
    <t>201663000-0006</t>
  </si>
  <si>
    <t>Realización procesos de capacitación,  asistencia técnica, seguimiento  y evaluación en la aplicabilidad de los componentes   del Índice de Transparencia en el Departamento del Quindio</t>
  </si>
  <si>
    <t xml:space="preserve">Aumentar el indice  transparencia en el departamento del Quindio y los entes territoriales municipales del quindio,  a través de procesos de capacitación, asistencia técnica, seguimiento y evaluación de los componentes de:diagnóstico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2019 . </t>
  </si>
  <si>
    <t xml:space="preserve">Realizar  procesos de capacitación, asistencia técnica, seguimiento y evaluación del  Indice de Transparencia a las Secretarias Sectoriales eInstitutos Descentralizados del  Departamento del Quindio,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2019 .   
</t>
  </si>
  <si>
    <t xml:space="preserve">a)  Análisis historico  Indice de Transparencia Departamento del Quindio </t>
  </si>
  <si>
    <t>Recursos Ordinarios.</t>
  </si>
  <si>
    <t>Martha Elena Giraldo
Directora Técnica</t>
  </si>
  <si>
    <t>José Ignacio Rojas Sepúlveda
Secretario Departamental de Planeación</t>
  </si>
  <si>
    <t xml:space="preserve">Realizar  procesos de capacitación, asistencia técnica, seguimiento y evaluación del  indice de transparencia a las entes territoriales municipales del departamento del quindio,  en los diferentes componentes: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2019 .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2019 .   
</t>
  </si>
  <si>
    <t xml:space="preserve">a)  Análisis historico Indices de Gobierno Abierto IGA   e Indice de Transparencia Departamento del Quindio </t>
  </si>
  <si>
    <t xml:space="preserve">b) Socialización análisis historico Indices de Gobierno Abierto IGA   e Indice de Transparencia Departamento del Quindio </t>
  </si>
  <si>
    <t>a) RESPECTO A LA ESTRUCTURA DEL SUJETO OBLIGADO. (Artículo  9° Ley 1712 de 2014 ) : La descripción de su estructura,  Presupuesto general, directorio (Sistema de Gestión del Empleo Público (SIGEP)), normas generales y reglamentarias,Plan de compras anual,Los plazos de cumplimiento de los contratos,Plan Anticorrupción y de Atención al Ciudadano,</t>
  </si>
  <si>
    <t xml:space="preserve">b) PUBLICIDAD DE LA CONTRATACIÓN .(Artículo  10° Ley 1712 de 2014 ) :Las contrataciones (Sistema Electrónico para la Contratación Pública (Secop)-(Artículo 3° de la Ley 1150 de 2007) 
</t>
  </si>
  <si>
    <t>c) SERVICIOS, PROCEDIMIENTOS Y FUNCIONAMIENTO DEL SUJETO OBLIGADO .(Artículo  11° Ley 1712 de 2014 ) : )  Servicios que se presten, trámites, procedimientos -Sistema Único de Información de Trámites y Procedimientos Administrativos (SUIT),El contenido de toda decisión y/o política ,  informes de gestión, evaluación,mecanismo interno y externo de supervisión , procedimientos, lineamientos, políticas en materia de adquisiciones y compras,mecanismo de presentación directa de solicitudes, quejas y reclamos, mecanismo o procedimiento por medio del cual el público pueda participar en la formulación de la política, registro de publicaciones que contenga los documentos publicados , datos abiertos</t>
  </si>
  <si>
    <t>a)  Todas las categorías de información del sujeto obligado</t>
  </si>
  <si>
    <t>b) Todo registro publicado.</t>
  </si>
  <si>
    <t>c)  Todo registro disponible para ser solicitado por el público.</t>
  </si>
  <si>
    <t>a) Inventario de la información pública generada, obtenida, adquirida o controlada por el sujeto obligado</t>
  </si>
  <si>
    <t>a) instrumento del que disponen los sujetos obligados para informar, de forma ordenada, a la ciudadanía, interesados y usuarios, sobre la información publicada y que publicará, conforme  a lo  previsto en el artículo 3° de la Ley 1712 de 2014, y sobre los medios a través de los cuales se puede acceder a la misma</t>
  </si>
  <si>
    <t>a)Política de gestión documental aprobada por el sujeto obligado.</t>
  </si>
  <si>
    <t>b) Tablas de Retención Documental.</t>
  </si>
  <si>
    <t>c) archivo institucional.</t>
  </si>
  <si>
    <t>d)  Políticas para la gestión de sus documentos electrónicos, incluyendo políticas de preservación y custodia digital.</t>
  </si>
  <si>
    <t>e)  Sistema Nacional de Archivos</t>
  </si>
  <si>
    <t>a) Publicación  informe de todas las solicitudes, denuncias y los tiempos de respuesta del sujeto obligado (Número de solicitudes recibidas,Número de solicitudes que fueron trasladadas a otra institución,Tiempo de respuesta a cada solicitud y Número de solicitudes en las que se negó el acceso a la información.</t>
  </si>
  <si>
    <t>a) Publicación  gratuidad y costos de reproducción. En concordancia con lo establecido en los artículos 3o  y 26 de la Ley 1712/14, en la gestión y respuesta a las solicitudes de acceso a la información pública.</t>
  </si>
  <si>
    <t>Asistencia Implementación  LEY 1712 DE 2012 ( Sector Central y Sector Descentralizado (Promotora de Vivienda, INDEPORTES. IDTQ)</t>
  </si>
  <si>
    <t>SEGUIMIENTO Y EVALUACIÓN ENTES ETERRITORIALES MUNICIPALES:  Información mínima que debe esta publicada  (  estructura del sujeto obligado, publicidad de la contratación, servicios, procedimientos y funcionamiento del sujeto obligado), registro de activos de la información, índice de información reservada y clasificada ,esquema de publicación de la información, programa de gestión documental , solicitudes de acceso a la información, reproducción    de la información publicada con su respectiva motivación y costos de reproducción  de la información publicada con su respectiva motivación</t>
  </si>
  <si>
    <t>Socialización Entes Territoriales</t>
  </si>
  <si>
    <t xml:space="preserve">Fotocopias </t>
  </si>
  <si>
    <t>Veedurías y Rendición de Cuentas</t>
  </si>
  <si>
    <t xml:space="preserve">Realizar  doce (12) procesos de Rendición Publica de Cuentas Departamentales en entes territoriales municipales. </t>
  </si>
  <si>
    <t>Número de procesos de Rendición de Cuentas en los municipios realizadas</t>
  </si>
  <si>
    <t>0305 - 5 - 3 1 5 26 84 17 15 - 20
0305 - 5 - 3 1 5 26 84 17 15 - 88</t>
  </si>
  <si>
    <t>201663000-0015</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</si>
  <si>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</si>
  <si>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2017   y la preparación recolección y  consolidación del informe de la vigencia 2017, con el fin de divulgar a la comunidad de los resultados de la ejecutorias generando en la Administraciòn la cultura de la Rendiciòn Pùblica de Cuentas durante la vigencia 2018.
</t>
  </si>
  <si>
    <t xml:space="preserve">Realizar el video de las ejecutorias de la Administración Departamental vigencia 2017 por ejes estratégicos, buscando aumentar el promedio de la participación ciudadana en los procesos de elección popular en el Departamento del Quindío durante la vigencia 2018. 
</t>
  </si>
  <si>
    <t>Estrategia de Desarrollo Sostenible 2018</t>
  </si>
  <si>
    <t>Recurso Ordinario (20)
Superávit Recurso Ordinario (88)</t>
  </si>
  <si>
    <t>Laura Steephanie Medina Hoyos
Asesora Secretaría Administrativa</t>
  </si>
  <si>
    <t>Estrategia de Desarrollo Sostenible 2019</t>
  </si>
  <si>
    <t>Estrategia de Prosperidad con Equidad 2018</t>
  </si>
  <si>
    <t>Estrategia de Prosperidad con Equidad 2019</t>
  </si>
  <si>
    <t>Estrategia de Inclusion Social 2018</t>
  </si>
  <si>
    <t>Estrategia de Inclusion Social 2019</t>
  </si>
  <si>
    <t>Estrategia de Seguridad Humana 2018</t>
  </si>
  <si>
    <t>Estrategia de Seguridad Humana 2019</t>
  </si>
  <si>
    <t>Estrategia de Buen Gobierno 2018</t>
  </si>
  <si>
    <t>Estrategia de Buen Gobierno 2019</t>
  </si>
  <si>
    <t xml:space="preserve">Realizar un periodico informativo de las ejecutorias de la Administración Departamental vigencia 2017 por ejes estratégicos, buscando aumentar el promedio de la participación ciudadana en los procesos de elección popular en el Departamento del Quindío durante la vigencia 2018. 
</t>
  </si>
  <si>
    <t>Diseño y edición periódico ejecutorias Administración  Departamental 2018</t>
  </si>
  <si>
    <t>Diseño y edición periódico ejecutorias Administración  Departamental 2019</t>
  </si>
  <si>
    <t xml:space="preserve">  Realizar  eventos de Rendición Pública de Cuentas en los doce entes Territoriales del Departamento , de las ejecutorias de la Administración Departamental vigencia 2017 por ejes estratégicos, buscando aumentar el promedio de la participación ciudadana en los procesos de elección popular en el Departamento del Quindío durante la vigencia 2018. 
</t>
  </si>
  <si>
    <t>Sonido 2018</t>
  </si>
  <si>
    <t>Sonido 2019</t>
  </si>
  <si>
    <t>Refrigerios 2018</t>
  </si>
  <si>
    <t>Refrigerios 2019</t>
  </si>
  <si>
    <t>Poder Ciudadano</t>
  </si>
  <si>
    <t>Quindío si a la participación</t>
  </si>
  <si>
    <t xml:space="preserve">Fortalecer  técnica y logísticamente al  Consejo Territorial de Planeación  Departamental  </t>
  </si>
  <si>
    <t>Consejo Territorial de Planeación fortalecido</t>
  </si>
  <si>
    <t>0305 - 5 - 3 1 5 27 85 16 7 - 20</t>
  </si>
  <si>
    <t>201663000-0007</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</si>
  <si>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</si>
  <si>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2018.   
</t>
  </si>
  <si>
    <t xml:space="preserve">Apoyar la participación de los integrantes del consejo territorial a congresos y eventos nacionales regionales y departamentales, en el Departamento del Quindio, durante la vigencia 2018 </t>
  </si>
  <si>
    <t>1.1 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</si>
  <si>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t>Carlos Alberto Mendoza Parra
Jefe Oficina de Desarrollo Territorial
Laura Steephanie Medina Hoyos
Asesora Secretaría Administrativa</t>
  </si>
  <si>
    <r>
      <t>1.2. XIII Encuentro CTP, traslados de ida y vuelta desde su lugar de origen Plaza de Bolívar del Municipio de Armenia hasta el Municipio sede "</t>
    </r>
    <r>
      <rPr>
        <b/>
        <sz val="11"/>
        <rFont val="Arial"/>
        <family val="2"/>
      </rPr>
      <t>Quimbaya/Córdoba(/Génova</t>
    </r>
    <r>
      <rPr>
        <sz val="11"/>
        <rFont val="Arial"/>
        <family val="2"/>
      </rPr>
      <t xml:space="preserve">", en los días que sean acordados por el contratante, a realizarse durante el mes de septiembre o Octubre - Suministro de alimentación en el municipio sede, Desayuno, Almuerzo y Cena, durante los días del encuentro - Servicio de alojamiento acomodación en habitaciones dobles en los días que sean acordados por el contratante. Mes de septiembre u octubre para 25 personas. </t>
    </r>
  </si>
  <si>
    <t>1.3.XXIII Congreso del Sistema Nacional de Planeación, traslado de ida y vuelta en transporte aéreo en las rutas nacionales: de Armenia  hacia la ciudad "sede"; adicional traslados internos, en los días que sean acordados por el contratante. cinco (5) días, Octubre o Noviembre de 2019 - suministro de alimentación en la ciudad sede Desayuno, Almuerzo y Cena, sede del XXIII Congreso Nacional de Planeación, cinco (5) días,Octubre O Noviembre /2098 - servicio de alojamiento en la ciudad sede del XXIII Congreso Nal de Planeación, acomodación en habitaciones dobles, cinco (5) días, Octubre y/o Noviembre /2019 para 19 personas.</t>
  </si>
  <si>
    <t>1.4. Asistencia de los Consejeros a foros regionales de participación ciudadana y estratégicos,convocatorias de la RAP Eje Cafetero, del Sistema Departamental y Regional de Planeación, igualmente particpar en las convocatorias a las reuniones de la Comisión Técnica del Sistema Regional y Nacional de Planeación, incluye:  Traslados aereos, terrestres e internos, alojamiento y alimentación.</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</si>
  <si>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2018.  
</t>
  </si>
  <si>
    <t xml:space="preserve">3.1 Comunicaciones externas de interes público, a traves de medios radiales, prensa y televisivos. </t>
  </si>
  <si>
    <t>3.2 Actualización pagina web y redes consejo territorial</t>
  </si>
  <si>
    <t>3.3. Suministro de material litografico, papeleria, impresos y publicaciones, entre otros</t>
  </si>
  <si>
    <t>5.1 Camara fotografica incluido el tripode</t>
  </si>
  <si>
    <t>5.2 Grabadora de mano</t>
  </si>
  <si>
    <t>5.3 Adquisición de equipos</t>
  </si>
  <si>
    <t>6.1 Toner (tinta impresora)</t>
  </si>
  <si>
    <t xml:space="preserve">Aumentar los  espacios para capacitación orientados en planificación del territorio Quindiano a través de diplomado o Escuela de liderazgo en ordenamiento territorial en el Departamento del Quindio, durante la vigencia 2018. 
</t>
  </si>
  <si>
    <t>4.1. Realización cacitaciones/Diplomados/Seminarios/ para los Consejeros Territoriales del Departamento</t>
  </si>
  <si>
    <t>4.2. Diseñar y elaborar el contenido programatico de la  y Planeación participativa</t>
  </si>
  <si>
    <t xml:space="preserve">Los instrumentos  de planificación como  ruta para el cumplimiento de la gestión pública  </t>
  </si>
  <si>
    <t>Diseñar e implementar el Plan de Ordenamiento del Departamento del Quindio.</t>
  </si>
  <si>
    <t>Plan diseñado e implementado</t>
  </si>
  <si>
    <t>0305 - 5 - 3 1 5 28 87 17 9 - 20
0305 - 5 - 3 1 5 28 87 17 9 - 88</t>
  </si>
  <si>
    <t>201663000-0009</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</si>
  <si>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</si>
  <si>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</si>
  <si>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</si>
  <si>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Consolidacion de la Informacion del DNP para la implementacion del POD</t>
  </si>
  <si>
    <t>Carlos Alberto Mendoza Parra
Jefe Oficina Desarrollo Territorial
Laura Steephanie Medina Hoyos
Asesora Secretaría Administrativa</t>
  </si>
  <si>
    <t>Actualizacion de las directrices del MOD para aplicar en el diseño del POD</t>
  </si>
  <si>
    <t>Formulación y consolidación de las directrices y  lineamientos de ordenamiento territorial para el departamento del Quindio, en la implementación del POD.</t>
  </si>
  <si>
    <t>Superavit Recursos Ordinarios</t>
  </si>
  <si>
    <t>socializacion del POD en los Municipios del Departamento</t>
  </si>
  <si>
    <t>Transporte</t>
  </si>
  <si>
    <t>Suministro de refrigerios</t>
  </si>
  <si>
    <t>Adquisicion de elementos tecnologicos (televisor, disco duro, entre otros)</t>
  </si>
  <si>
    <t>Diseñar e implementar Un (1) Sistema de Información geo referenciado para el ordenamiento social  y económico del territorio rural</t>
  </si>
  <si>
    <t>Sistema de información geo referenciado diseñado e implementado</t>
  </si>
  <si>
    <t>Diseñar e implementar un  Sistema de Información geo referenciado para el ordenamiento social  y económico del territorio rural</t>
  </si>
  <si>
    <t>Mantenimiento y Actualizacion permanente de las bases de Datos</t>
  </si>
  <si>
    <t xml:space="preserve">Actualizar y fortalecer  las directrices   del Modelo de Ocupación del Territorio   en el Departamento del Quindío </t>
  </si>
  <si>
    <t>Modelo de Ocupación del Territorio actualizado y fortalecido</t>
  </si>
  <si>
    <t>Actualizar y fortalecer  las directrices   del Modelo de Ocupación del Territorio   en el Departamento del Quindío</t>
  </si>
  <si>
    <t>Actualizar las Directrices MOD.</t>
  </si>
  <si>
    <t xml:space="preserve">Fortalecer el  Sistema de Información Geográfica del Departamento del Quindío  </t>
  </si>
  <si>
    <t>Sistema de información geográfica fortalecida</t>
  </si>
  <si>
    <t xml:space="preserve">Fortalecer el  Sistema de Información Geográfica del Departamento del Quindío </t>
  </si>
  <si>
    <t>fortalecimeinto de la Plataforma SIG Quindio.</t>
  </si>
  <si>
    <t>Adoptar dos (2) mecanismo de integracion regional  y  de asociatividad  entre los municipios.</t>
  </si>
  <si>
    <t>Mecanismo de integración adoptado</t>
  </si>
  <si>
    <t xml:space="preserve">Adoptar dos (2) mecanismos de integracion regional  y  de asociatividad  entre los municipios.
</t>
  </si>
  <si>
    <t>Creacion y fortalecimientos de los procesos de integracion regional y otras integraciones que se presenten</t>
  </si>
  <si>
    <t>Fortalecer Procesos de Integracion entre los Municipios</t>
  </si>
  <si>
    <t>Reorientar el observatorio económico actual, a un enfoque de Desarrollo humano incluyente con variables sociales, económicas y de seguridad humana</t>
  </si>
  <si>
    <t>Observatorio economico reorientado</t>
  </si>
  <si>
    <t>0305 - 5 - 3 1 5 28 87 17 10 - 20
0305 - 5 - 3 1 5 28 87 17 10 - 88</t>
  </si>
  <si>
    <t>201663000-0010</t>
  </si>
  <si>
    <t>Diseño e implementación del Observatorio de Desarrollo Humano en el departamento del Quindío</t>
  </si>
  <si>
    <t xml:space="preserve">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</si>
  <si>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2018
</t>
  </si>
  <si>
    <t>1.1.1 Actualización de los instrumentos (Anuario Estadístico, Carta Estadística, Indicadores) de identificación, validación y cálculo de indicadores del observatorio departamental  contenidos en las dos áreas temáticas abordadas (Social y económica) para los 18 sectores priorizados en la vigencia 2017.</t>
  </si>
  <si>
    <t>Liliana Plaza Ñuste
Profesional Universitario</t>
  </si>
  <si>
    <t>José Iganacio Rojas Sepúlveda
Secretario Departamental de Planeación</t>
  </si>
  <si>
    <t>2.1 Análisis de la información recolectada para la actualización y generación de los  boletines trimestrales (4), el informe anual del departamento (1) y los demás análisis requeridos correspondientes a la vigencia 2017 (1 Informe de Empleo)</t>
  </si>
  <si>
    <t xml:space="preserve">Superavit Recursos Ordinarios
</t>
  </si>
  <si>
    <t>2.2 Fortalecer el seguimiento a los problemas identificados en el departamento con relación a los ODS para la última vigencia de análisis.</t>
  </si>
  <si>
    <t>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2018</t>
  </si>
  <si>
    <t>3.1.1. Apoyo en la implementación del sistema de consulta del Observatorio de Desarrollo Humano y fortalecimiento de su funcionamiento a partir de la compra de equipos de cómputo y de licencias.</t>
  </si>
  <si>
    <t>3.1.2 Apoyo en la recolección y procesamiento de bases y datos estadisticos para la estructuración del sistema de información </t>
  </si>
  <si>
    <t xml:space="preserve">4.1.1 Apoyo en la asistencia y revisión de las fichas Basicas Municipales </t>
  </si>
  <si>
    <t>Diseñar e implementar el tablero de control  para el seguimiento y evaluación del Plan de Desarrollo  y   políticas públicas  Departamentales</t>
  </si>
  <si>
    <t>Tablero de control diseñado e implementado</t>
  </si>
  <si>
    <t>0305 - 5 - 3 1 5 28 87 17 11 - 20</t>
  </si>
  <si>
    <t>201663000-0011</t>
  </si>
  <si>
    <t>Diseño  e implementación del Tablero de Control  para el seguimiento y evalución del Plan de Desarrollo y las Políticas Públicas del  Departamento del Quindio.</t>
  </si>
  <si>
    <t xml:space="preserve"> Aumentar los indices eficacia y eficiencia  de la inversión social en el Departamento del Quindio, a través  de la  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</si>
  <si>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las políticas públicas por periodo administrativo 2016-2019, con el fin de fortalecer los procesos de planificación del departamento y mejorar los indices de eficacia y eficiencia de la inversión social   
</t>
  </si>
  <si>
    <t>1.1. Implementación del procedimiento de cargue de información para el seguimiento y evaluación de las políticas públicas del Departamento del Quindío,  a través del Tablero de Control.</t>
  </si>
  <si>
    <t>1.2. Elaboración ruta de seguimiento del Plan de Acción, a través de la plataforma WEB,  flujos de información y conexiones, definiendo los avances de metas físicas y financieras, para la validación de la información.</t>
  </si>
  <si>
    <t xml:space="preserve">1.3. Adquisición de licencia de uso y funcionamiento </t>
  </si>
  <si>
    <t xml:space="preserve">Diseñar e implementar la  Fábrica de Proyectos de Inversión en el Departamento del Quindío </t>
  </si>
  <si>
    <t>Fábrica de Proyectos de Inversión diseñada e implementada</t>
  </si>
  <si>
    <t xml:space="preserve">0305 - 5 - 3 1 5 28 87 17 12 - 20
0305 - 5 - 3 1 5 28 87 17 12 - 88
</t>
  </si>
  <si>
    <t>201663000-0012</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</si>
  <si>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</si>
  <si>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</si>
  <si>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Fortalecer la gestión de recursos, a través del SGR, departamentales, nacionales  e Internacional para el apoyo de alternativas regionales</t>
  </si>
  <si>
    <t>Capacitación formulación proyectos Sistema General de Regalias  SGR (Matriz  de Marco Lógico ; Metodología General Ajustada  y  requisitos generales para la viabilización  de proyectos)</t>
  </si>
  <si>
    <t>Asistencia Técnica  en  la revisión de proyectos  Metodología General Ajustada MGA,   seguimiento a  trámites de  aprobación  proyectos  de Inversión SGR  y  mesas técnicas (Secretarias Sectoriales,   Instancias de carácter municipal, departamental, regional  y/o nacional ), rendición de cuentas Sistema General de Regalias SGR, reuniones OCAD  Regional y Departamental.</t>
  </si>
  <si>
    <t>Asistencia Técnica  formulación Metodología General Ajustada MGA, gestión de insumos para el cumplimiento de requisitos mínimos,  revisión  de proyectos componente   Económico, Social y Ambiental</t>
  </si>
  <si>
    <t>Apoyo en la formulacion y estructuracion de programas y proyectos de cooperacion internacional, en las metodologias requeridas.</t>
  </si>
  <si>
    <t>Juan José Jaramillo Perez
Jefe Oficina de Proyecctos y Cooperación
Norma Consuelo Mantilla Quintero
Profecional Universitaria
José Orlando Gutierrez Velasco
Profesional Universitario
Carlos Andres Baena García
Director Infraestructura Social</t>
  </si>
  <si>
    <t>Apoyar las acciones para l aidentificacion de la oferta de proyectos de cooperacion internacional</t>
  </si>
  <si>
    <t>Desarrollo de estrategias de promocion de los planes, programas y proyectos del departamento del Quindio</t>
  </si>
  <si>
    <t>Fortalecer el Monitoreo, control y seguimietno de los proyectos de inversión en tiempo real</t>
  </si>
  <si>
    <t xml:space="preserve">Seguimiento y evaluación ejecución  proyectos de inversión Sistema General de Regalias </t>
  </si>
  <si>
    <t>Socialización de Informes a las unidades ejecutoras</t>
  </si>
  <si>
    <t>Realización mesas técnicas con las unidades ejecutoras</t>
  </si>
  <si>
    <t>Brindar apoyo técnico integral o interdisciplinario a las Secretarias de la Gobernación del Quindío y a los entes territoriales en la identificación y formulación  de Proyectos en el marco de la Metodología General Ajustada, Marco Lógico y otras</t>
  </si>
  <si>
    <t>a) Asistencia Técnica en la formulación y estructuración de  proyectos de carácter estrategico (del orden departamental, Regional, Nacional e Internacional), en  la Metodología requeridas. B) Apoyo en la realizacion de mesas de trabajo con las unidades ejecutoras y entidades actoras, para la construccion de los documentos y anexos requeridos en los proyectos. c) Apoyo en el cargue de los proyectos en las plataformas requeridas. d) Apoyo en la verifcacion de requisitos en los proyectos. e) Apoyo en la socializacion de los proyectos formulados .</t>
  </si>
  <si>
    <t>Superavir Ordinario</t>
  </si>
  <si>
    <t>Apoyo a las unidades ejejcutoras en la formulacion y estructuracion d eproyectos del orden departamental, regional y nacional. Apoyo en las mesas de trabajo con las unidades ejecutoras y entidades actoras.</t>
  </si>
  <si>
    <t>a)Apoyo técnico en la socialización a las unidades ejecutoras de la herramienta dispuesta por el Departamento Nacional de Planeación -DNP-, para el seguimiento a los proyectos de inversión del Banco de Proyectos nivel Departamental en el SISTEMA DE SEGUIMIENTO A PROYECTOS DE INVERSIÓN-SPI-, teniendo en cuanta la Ejecución fisica, el seguimiento a actividades, el Seguimiento de gestión y los anexos b) apoyo técnbico en el seguimiento a los proyectos de inversión de la secretaria de planeación departamental, en la herramienta -SPI-</t>
  </si>
  <si>
    <t>a) Apoyo a la formulación, estructuración, ajustes y Actualización  de proyectos de Inversión vigencias  2019 y 2020, en su marco logico y a través de la Herramienta MGA WEB .   b) Apoyo a los procesos de revision y analisis del cumplimiento de requisitos generales de los proyectos por formuladores ciudadanos u oficiales. c) Apoyo a los procesos de control y seguimiento a la inversion.</t>
  </si>
  <si>
    <t>Apoyo en la caracterizaciòn de los proyectos e iniciativas estratègicas del Departamento del Quindio y sus municipios, suceptibles de ser financiados con recursos del orden departamental, regional, nacional e internacional, (generando fichas tècnicas)</t>
  </si>
  <si>
    <t>Apoyo a las unidades ejecutoras en la socializaciòn de la Metodologia General Ajustada- MGA WEB, SUIFP-TERRITORIO, teniendo en cuenta el Decreto 378 de 2017 "por el cual se expide el Manual de Operaciones del Banco de Programas y Proyectos de Inversiòn "Fabrica de Proyectos" del Departamento del Quindio" y las directrices establecidas por el Departamento Nacional de Planeaciòn -DNP.</t>
  </si>
  <si>
    <t xml:space="preserve">Seguimiento, identificación y sistematización de las iniciativas y proyectos susceptiblres de ser financiados con recursos de cooperación internacional, gestionados por los entes territoriales municipales ante las agencias de cooperación y embajadas ext ranjeras en el pais </t>
  </si>
  <si>
    <t xml:space="preserve">Actualizar el Sistema Integrado de Gestión Administrativa SIGA del departamento del Quindío </t>
  </si>
  <si>
    <t>Sistema Integrado de Gestión actualizado</t>
  </si>
  <si>
    <t>0305 - 5 - 3 1 5 28 87 17 13 - 20
0305 - 5 - 3 1 5 28 87 17 13 - 88</t>
  </si>
  <si>
    <t>201663000-0013</t>
  </si>
  <si>
    <t xml:space="preserve">Actualizar y/o  ajustar el Sistema Integrado de Gestión Administrativa SIGA del Departamento del Quindío </t>
  </si>
  <si>
    <t xml:space="preserve"> Aumentar los indices eficacia y eficiencia  de la inversión social en el Departamento del Quindio, a  través la actualización del Sistema Integado de la Gestión Administrativa SIGA ( procesos estratégicos, misionales, de apoyo y evaluación y control) durante la vigencia 2018
 </t>
  </si>
  <si>
    <t xml:space="preserve">Actualizar  y ajustar los procesos  Estrategicos,  Misionales de apoyo y evaluación y control del Sistema Integrado de  Gestión Administrativa del Departamento del Quindio.
</t>
  </si>
  <si>
    <t xml:space="preserve">Hacienda, Administrativa, Cultura, Salud, Educación, Representación Judicial, Privada, Planeación, Turismo, Industria y Comercio, Aguas e Infraestrutura, Interior, Agricultura y Desarrollo Rural,  Control Interno y Gestión, Control Interno Disciplinario, familia , Juridica y Contrataciòn </t>
  </si>
  <si>
    <t xml:space="preserve">Martha Elena Giraldo Ramirez
Directora Técnica </t>
  </si>
  <si>
    <t>Planeación, Gobernación y Modelo Integrado de Planeación y Gestión MIPG</t>
  </si>
  <si>
    <t>Asistencias Técnicas</t>
  </si>
  <si>
    <t>Asistencias Técnicas actualización y ajuste ( Tablero de Control , Sistema General de Regalias,Modelo Integrado  de Planeación y de Gestión MIPG, Rendición Publica de Cuentas,Seguimiento y Evaluación Plan de Desarrollo y Politicas Públicas,Ordenamiento Territorial ,Banco de Programas y Proyectos .</t>
  </si>
  <si>
    <t>Comite Institucional de Gestión y Desempeño MIPG</t>
  </si>
  <si>
    <t>Comité Departamental de Gestión y Desempeño MIPG</t>
  </si>
  <si>
    <t xml:space="preserve">Instancias de Control y Seguimiento </t>
  </si>
  <si>
    <t>Segumiento y evaluación aplicabilidad Manual de  Calidad por  Secretaria Sectorial ( Seguimiento No.1 )</t>
  </si>
  <si>
    <t>Segumiento y evaluación aplicabilidad Manual de  Calidad por  Secretaria Sectorial ( Seguimiento No. 2 )</t>
  </si>
  <si>
    <t>Informe final SIGA ahora MIPG</t>
  </si>
  <si>
    <t xml:space="preserve">Ajustes Paginas (Pagina web e Intranet) </t>
  </si>
  <si>
    <t xml:space="preserve">Capacitar a los funcionarios de la Administración departamental  en la operatividad del Sistema Integrado de la Gestión Administrativa  del Departamento del Quindio, con el fin de aumentar los indices de eficiencia y efiacia </t>
  </si>
  <si>
    <t>Segumiento y evaluación aplicabilidad Manual de  Calidad por  Secretaria Sectorial ( Seguimiento No. 3 )</t>
  </si>
  <si>
    <t xml:space="preserve">Implementar el Comité  de Planificación  Departamental   </t>
  </si>
  <si>
    <t>Comité de Planificación Departamental implementado</t>
  </si>
  <si>
    <t xml:space="preserve">0305 - 5 - 3 1 5 28 87 17 14 - 20
0305 - 5 - 3 1 5 28 87 17 14 - 88
</t>
  </si>
  <si>
    <t>201663000-0014</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</si>
  <si>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</si>
  <si>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2018 . 
</t>
  </si>
  <si>
    <t xml:space="preserve">Implementar el Comite Departamental de Planificación , con el fin de articular  procesos  que coadyuven al desarrollo economco y social del departamento del quindio de manera planificada durante la vigencia 2018 
</t>
  </si>
  <si>
    <t>Activar los comites de Planificación  descentralizados en los municipios del departamento mediante capacitaciones y talleres</t>
  </si>
  <si>
    <t>Martha Elena Giraldo Ramirez
Directora Técnica
Juan José Jaramillo Perez
Jefe Oficina de Proyecctos y Cooperación
Carlos Alberto Mendoza Parra
Jefe de Oficina de Desarrollo Territorial
Laura Steephanie Medina Hoyos
Asesora Secretaría Administrativa</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</si>
  <si>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</si>
  <si>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</si>
  <si>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2018</t>
  </si>
  <si>
    <t xml:space="preserve">Asistencia técnica, seguimiento y/o evaluación Planes Básicos de Ordenamiento Territorial  </t>
  </si>
  <si>
    <t xml:space="preserve">Transporte </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</si>
  <si>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</si>
  <si>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</si>
  <si>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Asistencia técnica, seguimiento y/o evaluación Ranking Integral de Desempeño, Identificación de inconsistencias del FUT, Evaluación de requisitos legales, viabilidad fiscal</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</si>
  <si>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</si>
  <si>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</si>
  <si>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Capacitación, asistencia técnica, seguimiento y/o evaluación instrumentos de planificación a los doce municipios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</si>
  <si>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</si>
  <si>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Asistencia técnica en la operatividad del Sistema de Selección de Beneficiarios SISBEN III en los doce municipios del Departamento del Quindío:  </t>
  </si>
  <si>
    <t xml:space="preserve">Implementar en doce (12) municipios del Departamento del Quindío procesos de  sensibilización, capacitación, asistencia técnica, seguimiento  y evaluación  en la aplicabilidad   de las políticas públicas </t>
  </si>
  <si>
    <t xml:space="preserve">Capacitación , Asistencia técnica, seguimiento y/o evaluación Politicas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</si>
  <si>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</si>
  <si>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</si>
  <si>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Capacitación , Asistencia técnica, seguimiento y/o evaluación Metodologia General Ajustada</t>
  </si>
  <si>
    <t xml:space="preserve">Realizar procesos  de asistencia técnica, seguimiento y evaluacion  en la incorporación  de  las directrices del  Modelo de Ocupación del Territorio de en los doce (12) Municipios </t>
  </si>
  <si>
    <t>Entes territoriales municipales asistidos</t>
  </si>
  <si>
    <t>Capacitación , Asistencia técnica, seguimiento y/o evaluación incorporación Modelo de Ocupación del territorio en los doce municipios</t>
  </si>
  <si>
    <t>JOSE IGNACIO ROJAS SEPULVEDA</t>
  </si>
  <si>
    <t xml:space="preserve">SECRETARIO DE PLANEACION DEPARTAMENTAL </t>
  </si>
  <si>
    <t>SEGUIMIENTO PLAN DE ACCIÓN 
INSTITUTO DEPARTAMNETAL DE TRASITO DEL QUINDIO  IDTQ
III TRIMESTRE 2019</t>
  </si>
  <si>
    <t>SEGUIMIENTO PLAN DE ACCIÓN
SECRETARIA DE EDUCACION
III TRIMESTRE 2019</t>
  </si>
  <si>
    <t>Edad Económicamente Activa (20-59 años)</t>
  </si>
  <si>
    <t>Cobertura Educativa</t>
  </si>
  <si>
    <t>Acceso y Pemanencia</t>
  </si>
  <si>
    <t>Implementar un (1) plan, programa y/o proyecto para el acceso de niños, niñas y jóvenes en las instituciones educativas</t>
  </si>
  <si>
    <t>Número de planes, programas y/o proyectos implementados</t>
  </si>
  <si>
    <t>0314 - 5 - 3 1 3 5 16 1 84 - 20
0314 - 5 - 3 1 3 5 16 1 84 - 35
1404 - 5 - 3 1 3 5 16 1 84 - 81
0314 - 5 - 3 1 3 5 16 1 84 - 91
0314 - 5 - 3 1 3 5 16 1 84 - 88
1404 - 5 - 3 1 3 5 16 1 84 - 137</t>
  </si>
  <si>
    <t>201663000-0084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</si>
  <si>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</si>
  <si>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</si>
  <si>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</si>
  <si>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Servicio de Aseo y  Vigilancia para las Instituciones Educativas Oficiales y sus sedes educativas del Departamento del Quindio</t>
  </si>
  <si>
    <t>Monopolio</t>
  </si>
  <si>
    <t xml:space="preserve"> Educación PAE 
 Rendimientos Financieros -Educación PAE -
Superavit Programa de Alimentación EScolar PAE
Cofinanciación
 Convenios Interadm.-otros
Recurso Ordinario
Superavit Ordinario
Monopolio
Superavit Monopolio</t>
  </si>
  <si>
    <t>Liliana  Giraldo Molina
Ana Luisa Ruiz Tejada
Paula Andrea Camacho
Jaime Andres Delgado de la Pava</t>
  </si>
  <si>
    <t>Secretario de Educación Departamental</t>
  </si>
  <si>
    <t>Superávit Monopolio</t>
  </si>
  <si>
    <t>Implementar el Programa de Alimentación Escolar (PAE) en el departamento del Quindío</t>
  </si>
  <si>
    <t>Programa PAE implementado</t>
  </si>
  <si>
    <t xml:space="preserve">Implementar un programa de alimentacion escolar para las Instituciones educativas del departamento del Quindio, con el fin de  disminuir los indices de deserciòn escolar  durante la vigencia 2017
</t>
  </si>
  <si>
    <t xml:space="preserve">Suministro de alimientación escolar para la jornada regular y unica par los niños, niñas, adolescentes  y jóvenes escolarizados con matricula oficial en las Instituciones Educativas </t>
  </si>
  <si>
    <t xml:space="preserve"> Educación PAE </t>
  </si>
  <si>
    <t> Rendimientos Financieros -Educación PAE -</t>
  </si>
  <si>
    <t>Superavit Programa de Alimentación EScolar PAE</t>
  </si>
  <si>
    <t>Cofinanciación Convenios Interadm.-otors</t>
  </si>
  <si>
    <t>Personal de apoyo , para el acompañamiento, seguimiento y verificación y supervision de la ejecucion del PAE</t>
  </si>
  <si>
    <t>Implementar el programa de transporte escolar en el departamento del Quindio</t>
  </si>
  <si>
    <t>Programa de transporte escolar implementado</t>
  </si>
  <si>
    <t>Garantizar el transporte escolar a los niños, niñas, jóvenes y adolescentes de la zona rural de los 11 municipios no certificados del Departamento del Quindío para disminuir las distancias de desplazamiento y garantizar el acceso al sistema educativo.</t>
  </si>
  <si>
    <t>Transferencia de recursos  a los Municipios, para la cofinanciación del servicio de transporte a los alumnos de básica y media que habiten en los corregimientos y veredas, que granaticen la permanencia en el sistema educativo 
Municipios Transporte</t>
  </si>
  <si>
    <t>Educación inclusiva con acceso y permanencia para poblaciones vulnerables - diferenciales</t>
  </si>
  <si>
    <t>Superavit Intereses  Educación PAE</t>
  </si>
  <si>
    <t>Atender cuatro mil quinientos (4.500)  personas de la población adulta del departamento (jóvenes y adultos, madres cabeza de hogar)</t>
  </si>
  <si>
    <t>número de estudiantes  pertenecientes a la población adulta  (jóvenes y adultos) atendidos  en el sistema educativo</t>
  </si>
  <si>
    <t> 0314 - 5 - 3 1 3 5 17 1 86 - 20
1404 - 5 - 3 1 3 5 17 1 86 - 25
0314 - 5 - 3 1 3 5 17 1 86 - 88</t>
  </si>
  <si>
    <t>201663000-0086</t>
  </si>
  <si>
    <t>Implementación de estrategias de inclusión para garantizar la atención educativa a población vulnerable en el  Departamento del  Quindío.</t>
  </si>
  <si>
    <t>Incrementar la atención de la población vulnerable del departamento del Quindío</t>
  </si>
  <si>
    <t>Implementar un plan integral  gubernamental para la caracterización y atencion de la poblacion vulnerabe en edad escolar en el departamento del quindio</t>
  </si>
  <si>
    <t>Logística (papeleria, afiches, volantes, folletos, pendones, entre otras), para el desarrollo de actividades  educativas de la poblacion adulta del departamento</t>
  </si>
  <si>
    <t>Recurso Ordinario
Superavit Ordinario
SGP Educacion</t>
  </si>
  <si>
    <t>Ana Luisa Ruiz Teejada
James Ospina,
Gladiz Giraldo</t>
  </si>
  <si>
    <t xml:space="preserve">
Secretario de Educación Departamental</t>
  </si>
  <si>
    <t>Diseñar e implementar una estrategia que permita disminuir la tasa de analfabetismo en los municipios del Departamento del Quindío</t>
  </si>
  <si>
    <t xml:space="preserve">Estrategia diseñada e  implementada </t>
  </si>
  <si>
    <t>Promoción desarrollo del programa de alfabetización y  educación  poblacion adulta del departamento</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</si>
  <si>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</si>
  <si>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</si>
  <si>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Personal de apoyo educativo,  para población étnica, afrodescendientes e indigenas,</t>
  </si>
  <si>
    <t>Adquisición implementos artísticos, para el fortalecimeinto de la cultura de la población étnica, afrodescendientes e indigenas, en el Departamento</t>
  </si>
  <si>
    <t xml:space="preserve">Atender dos mil quinientos setenta estudiantes (2570) en condición de población  victima del conflicto, residentes en el departamento del Quindío </t>
  </si>
  <si>
    <t xml:space="preserve">Número de estudiantes  pertenecientes a la población victima del conflicto atendidos </t>
  </si>
  <si>
    <t>Personal de apoyo educativo, para población  víctima del conflicto en el Departamento</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</si>
  <si>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</si>
  <si>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</si>
  <si>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Implementar un programa para brindarles una mejor atencion educativa a los menores y/o adultos con situaciones penales, iletrados, menores trabajadores.</t>
  </si>
  <si>
    <t>SGP</t>
  </si>
  <si>
    <t>Diseñar e implementar un plan para la caracterización y atención de la población en condiciones especiales y excepcionales del departa</t>
  </si>
  <si>
    <t>Personal de apoyo idoneos para la atencion de la poblacion con NNE y talentos Excepcionales.</t>
  </si>
  <si>
    <t>SGP Educacion</t>
  </si>
  <si>
    <t xml:space="preserve">Adquisición de materiales pedagogicos, didacticos, tecnicos y tecnologicos accesibles para promover una educación pertinente y de calidad para estudiantes con discapacidad </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</si>
  <si>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</si>
  <si>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</si>
  <si>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1401 - 5 - 3 1 3 5 18 1 87 - 25
1402 - 5 - 3 1 3 5 18 1 87 - 25</t>
  </si>
  <si>
    <t>201663000-0087</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</si>
  <si>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</si>
  <si>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</si>
  <si>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</si>
  <si>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Gastos de personal,  generales, transferencias de la Planta Docente, Directivos Docentes y  personal administrativo de las Instituciones Educativas Oficiales del Departamento.</t>
  </si>
  <si>
    <t xml:space="preserve">SGP Educacion
SGP Educacion (Aportes patronales)
Superávit SGP Educación 
Superavit Ordinario
 </t>
  </si>
  <si>
    <t>Marcela Delgado</t>
  </si>
  <si>
    <t>1402 - 5 - 3 1 3 5 18 1  87 - 146</t>
  </si>
  <si>
    <t>SGP Educacion (Aportes patronales)</t>
  </si>
  <si>
    <t>1402 - 5 - 3 1 3 5 18 1  87 - 26</t>
  </si>
  <si>
    <t>Superávit SGP Educación </t>
  </si>
  <si>
    <t>1402 - 5 - 3 1 3 5 18 1 87 - 9</t>
  </si>
  <si>
    <t>1403 - 5 - 3 1 3 5 18 1 87 -25
1403 - 5 - 3 1 3 5 18 1 87 - 26
0314 - 5 - 3 1 3 5 18 1 87 - 88</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</si>
  <si>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</si>
  <si>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</si>
  <si>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</si>
  <si>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</si>
  <si>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201663000-0089</t>
  </si>
  <si>
    <t xml:space="preserve">Implementación de  estrategias para el mejoramiento continuo del indice sintetico de calidad educativa en los niveles de básica primaria, básica secundaria y nivel de media en el Departamento del Quindio 
</t>
  </si>
  <si>
    <t xml:space="preserve">iImplementación de estrategias para el mejoramiento del  índice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</si>
  <si>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</si>
  <si>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</si>
  <si>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Recurso Ordinario
Superavit Ordinario</t>
  </si>
  <si>
    <t>Alvaro Betancur</t>
  </si>
  <si>
    <t>Capacitar a mil doscientos (1.200) docentes en estrategias para el mejoramiento del ISCE en el Departamento del Quindío</t>
  </si>
  <si>
    <t>Número de docentes capacitados</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</si>
  <si>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</si>
  <si>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</si>
  <si>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 xml:space="preserve">0314 - 5 - 3 1 3 6 19 1 89 - 20
0314 - 5 - 3 1 3 6 19 1 89 - 88
</t>
  </si>
  <si>
    <t>Beneficiar a ochenta (80) docentes  con becas de posgrado</t>
  </si>
  <si>
    <t xml:space="preserve">Número de docentes beneficiados </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</si>
  <si>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</si>
  <si>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</si>
  <si>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</si>
  <si>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Número de Instituciones Ediucatrivas participando  en el Progrma PTA</t>
  </si>
  <si>
    <t xml:space="preserve">Gestionar con el Ministerio de Educación nacional para la focalización  de nuevas instituciones educativas del departamento del quindío con el programa todos a aprender  </t>
  </si>
  <si>
    <t>Brindar apoyo a las instituciones educativas focalizadas, para la Formación  del Programa Todos a Aprender</t>
  </si>
  <si>
    <t>Brindar acompañamiento a doscientos treinta (230) docentes con  tutores PTA</t>
  </si>
  <si>
    <t>Número de docentes acompañados de tutores PTA</t>
  </si>
  <si>
    <t xml:space="preserve">Brindar acompañamiento a docentes de instituciones educativas del departamento del quindío con tutores del programa todos a  aprender  </t>
  </si>
  <si>
    <t>Brindar acompañamiento a los docentes con tutores,  para la Formación  del Programa Todos a Aprender</t>
  </si>
  <si>
    <t>Beneficiar a 4.700  estudiantes con el  Programas Todos  a Aprender</t>
  </si>
  <si>
    <t>Número de estudiantes beneficiados con el PTA</t>
  </si>
  <si>
    <t>Beneficiar a estudiantes de instituciones Educativas del departamento del quindío con el  Programa Todos  a Aprender</t>
  </si>
  <si>
    <t>Beneficiar a estudiantes de instituciones Educativas del departamento,  con el  Programa Todos  a Aprender</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</si>
  <si>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</si>
  <si>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</si>
  <si>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Capacitación y Lógistica, para el  mejoramiento  del  índice sintético de calidad educativa (ISCE) en el nivel de básica secundaria.</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</si>
  <si>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</si>
  <si>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</si>
  <si>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Capacitación y Lógistica, para el  mejoramiento  del  índice sintético de calidad educativa (ISCE) en el nivel de básica media</t>
  </si>
  <si>
    <t>Educación, Ambientes Escolares y Cultura para la Paz</t>
  </si>
  <si>
    <t xml:space="preserve">Fortalecer cincuenta y cuatro (54) comités de convivencia escolar de las instituciones educativas </t>
  </si>
  <si>
    <t>Numero de comités fortalecidos</t>
  </si>
  <si>
    <t>201663000-0090</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</si>
  <si>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</si>
  <si>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</si>
  <si>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</si>
  <si>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Apoyo para el fortalecimiento de los Comités de Convivencia Escolar</t>
  </si>
  <si>
    <t>Recurso Ordinario
Superavit Ordinarioi</t>
  </si>
  <si>
    <t>Alvaro Betancurt
Olga Lucia Buitrago</t>
  </si>
  <si>
    <t>Diseñar y ejecutar treinta (30)  proyectos educativos institucionales resignificados en el contexto de la paz y la jornada única</t>
  </si>
  <si>
    <t>Proyectos educativos institucionales diseñados y ejecutados</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</si>
  <si>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</si>
  <si>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</si>
  <si>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</si>
  <si>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Numero de instituciones con estrategia de escuela de padres diseñada e implementada</t>
  </si>
  <si>
    <t>Diseñar e implementar la estrategia Escuela de Padres</t>
  </si>
  <si>
    <t xml:space="preserve">Acompañamiento a la instituciones educativas  para la implementación de la escuela de padres </t>
  </si>
  <si>
    <t>Conformar y dotar   grupos culturales y artísticos en treinta (30)  instituciones educativas con  protagonismo en cada uno de los municipios</t>
  </si>
  <si>
    <t>Número de instituciones educativas con grupos conformados y dotados</t>
  </si>
  <si>
    <t>Conformar y dotar grupos culturales artísticos en instituciones educativas</t>
  </si>
  <si>
    <t>Adquisición  de Instrumentos Músicales para el apoyo a los Grupos culturales y  Artísticos de las Instituciones Educativas</t>
  </si>
  <si>
    <t xml:space="preserve">
SGP Prestación de Servicios Educación</t>
  </si>
  <si>
    <t>Implementar el proyecto PRAE en treinta y seis (36)  instituciones educativas del departamento</t>
  </si>
  <si>
    <t>Número de instituciones educativas con PRAE implementado</t>
  </si>
  <si>
    <t>Implementar el proyecto PRAE en instituciones educativas del departamento</t>
  </si>
  <si>
    <t>Apoyo  para la Implementación  del proyecto PRAE en treinta y seis (36)  instituciones educativas del departamento</t>
  </si>
  <si>
    <t>Dotación de implementos de mitigación, prevencion y atención del riesgo para el fortalecimiento del Plan Escolar de Gestión del Riesgo (PEGER)</t>
  </si>
  <si>
    <t>0314 - 5 - 3 1 3 6 20 1 90 - 20</t>
  </si>
  <si>
    <t>Clasificación de residuos peligrosos en instituciones educativas</t>
  </si>
  <si>
    <t>Realizar ocho (8) eventos académicos, investigativos y culturales</t>
  </si>
  <si>
    <t>Número de eventos realizados</t>
  </si>
  <si>
    <t>0314 - 5 - 3 1 3 6 20 1 90 - 88</t>
  </si>
  <si>
    <t>Encuentro Cultural de Étnoeducación</t>
  </si>
  <si>
    <t>1404 - 5 - 3 1 3 6 20 1 90 - 21</t>
  </si>
  <si>
    <t>Feria Concetar TIC</t>
  </si>
  <si>
    <t>1404 - 5 - 3 1 3 6 20 1 90 - 25</t>
  </si>
  <si>
    <t xml:space="preserve">Festival de Literatura y Escritura
</t>
  </si>
  <si>
    <t xml:space="preserve">Implementar el  programa de  jornada única con el acceso y permanencia de veinte mil (20.000) estudiantes </t>
  </si>
  <si>
    <t>Numero de estudiantes en el programa jornada única</t>
  </si>
  <si>
    <t>Implementar el programa de jornada única</t>
  </si>
  <si>
    <t>Coordinación del programa de Jornada Unica con el acompañamiento de los  rectores de las Instituciones Educativas focalizadas</t>
  </si>
  <si>
    <t xml:space="preserve">Mantener, adecuar y/o construir la infraestructura ciento treinta (130) sedes de las instituciones educativas  </t>
  </si>
  <si>
    <t>Numero de sedes mantenidas, adecuadas y/o construidas</t>
  </si>
  <si>
    <t>Mejorar las condiciones de infraestructura y de elementos pedagógicos para la implementación de la jornada única y ambientes escolares para la Paz</t>
  </si>
  <si>
    <t>Tranferencia de Recursos para Pequeñas Intervenciones en las Instituciones Educativas del Departamento.</t>
  </si>
  <si>
    <t>Levantamiento de planos para determinar necesidades en la adecuación y/o construcción de pequeñas intervenciones en infraestructura de las sedes educativas</t>
  </si>
  <si>
    <t xml:space="preserve">Apoyo para formulación de proyectos de infraestructura educativa </t>
  </si>
  <si>
    <t xml:space="preserve">Dotar cincuenta y cuatro (54) instituciones educativas con material didáctico, mobiliario escolar y/o infraestructura tecnológica  </t>
  </si>
  <si>
    <t>Numero de instituciones educativas dotadas</t>
  </si>
  <si>
    <t>Dotar Instituciones Educativas de material didáctico, mobiliario escolar y/o infraestructura tecnológica</t>
  </si>
  <si>
    <t>Dotación  de material didactico, mobiliario escolar y/o infraestructura tecnológica en las instituciones educativas.</t>
  </si>
  <si>
    <t xml:space="preserve">SGP Educacion </t>
  </si>
  <si>
    <t>Implementar la jornada complementaria y/o unica que articule arte,deporte y cultura, en seis (6) municipios declarados en el sistema de alertas tempranas de la defensoría del pueblo</t>
  </si>
  <si>
    <t>Municipios declarados en el sistema de alertas tempranas con jormada complementaria y/o única</t>
  </si>
  <si>
    <t>Implementar jornada complementaria y/o única que articule arte, cultura y deporte.</t>
  </si>
  <si>
    <t>Implementación jornada complementaria y/o única que articule arte, cultura y deporte.</t>
  </si>
  <si>
    <t>Plan Departamental del Lectura y Escritura</t>
  </si>
  <si>
    <t xml:space="preserve">Implementar el programa "pásate a la biblioteca"  en treinta y seis (36)  instituciones educativas </t>
  </si>
  <si>
    <t>Número de instituciones educativas con programa "pásate a la biblioteca" implementado</t>
  </si>
  <si>
    <t>201663000-0091</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</si>
  <si>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</si>
  <si>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</si>
  <si>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</si>
  <si>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Fortalecimiento del programa EN Literatuta y Escritura</t>
  </si>
  <si>
    <t>Alvaro Bewtancurt</t>
  </si>
  <si>
    <t>1/03/219</t>
  </si>
  <si>
    <t xml:space="preserve">Dotar ciento cuarenta (140) sedes educativas con la colección semilla </t>
  </si>
  <si>
    <t>Número de sedes educativas dotadas</t>
  </si>
  <si>
    <t xml:space="preserve"> Dotar sedes educativas del Departamento del Quindío con la colección semilla</t>
  </si>
  <si>
    <t>Adquisiciíon Colección Semilla</t>
  </si>
  <si>
    <t>0314 - 5 - 3 1 3 6 21 1 91 - 20</t>
  </si>
  <si>
    <t>Apoyar los  procesos de capacitación  de quinientos (500) docentes del departamento</t>
  </si>
  <si>
    <t>Número de docentes apoyados</t>
  </si>
  <si>
    <t>0314 - 5 - 3 1 3 6 21 1 91 - 88</t>
  </si>
  <si>
    <t>Apoyar los  procesos de capacitación  de docentes de instituciones educativas del departamento del quindío en estrategias de lectura y escritura</t>
  </si>
  <si>
    <t>Apoyo procesos de capacitación de docentes en   Inglés,  Español y Literatura,  Convivencia Escolar,  PRAES</t>
  </si>
  <si>
    <t>1404 - 5 - 3 1 3 6 21 1 91 - 21</t>
  </si>
  <si>
    <t xml:space="preserve">Realizar seis (6)  festivales o encuentros de literatura y escritura el departamento </t>
  </si>
  <si>
    <t>Número de festivales o encuentros realizados</t>
  </si>
  <si>
    <t>Realizar festivales o encuentros de literatura y escritura dirigidos a estudiantes y docentes de instituciones educativas del  departamento del Quindío</t>
  </si>
  <si>
    <t xml:space="preserve">Realización de festivales de Literatura y Escritura  en las Instituciones Educativas del Departamento
</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</si>
  <si>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</si>
  <si>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</si>
  <si>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Numero de instituciones educativas con mayor eficiencia en los procesos</t>
  </si>
  <si>
    <t>201663000-0093</t>
  </si>
  <si>
    <t>Mejoramiento de estrategias que permitan una mayor eficiencia en la gestion de procesos y proyectos de las instituciones educativas del Departamento del Quindio.</t>
  </si>
  <si>
    <t> asistir tecnicamente a las instituciones educativas del departamento para mejorar los proceos administrativos para el manejo de los fondos educativos.</t>
  </si>
  <si>
    <t>debida ejecucion de los recursos de los fondos educativos</t>
  </si>
  <si>
    <t xml:space="preserve"> Capacitaciones ditigidas a los rectores de las Instituciones Educativas para el manejo de los fondos Educativos.</t>
  </si>
  <si>
    <t>Ordinarios</t>
  </si>
  <si>
    <t>Ordinario
Superavit Ordinario</t>
  </si>
  <si>
    <t>Edna Ensuasty Puerto</t>
  </si>
  <si>
    <t>02/809/2019</t>
  </si>
  <si>
    <t>0314 - 5 - 3 1 3 6 22 1 93 - 20</t>
  </si>
  <si>
    <t>0314 - 5 - 3 1 3 6 22 1 93 - 88</t>
  </si>
  <si>
    <t>Acompañamiento y seguimiento en las acciones de mejora en aspectos contables financieros y presupuestales de las IE del departamento del Quindio</t>
  </si>
  <si>
    <t>Pertinencia e Innovación</t>
  </si>
  <si>
    <t>Quindío Bilingüe</t>
  </si>
  <si>
    <t>Apoyar cincuenta y cinco (55) docentes licenciados en lenguas modernas formados en ingles con  dominio B2</t>
  </si>
  <si>
    <t>Numero de docentes apoyados en formación en ingles con dominio B2</t>
  </si>
  <si>
    <t>201663000-0094</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</si>
  <si>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</si>
  <si>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</si>
  <si>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</si>
  <si>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Capacitar docentes licenciados en lenguas modernas, en competencias linguisticas y medtodologia de la enseñanza del ingles</t>
  </si>
  <si>
    <t>Cualificar la formación de ciento cincuenta (150) docentes de preescolar y básica primaria en inglés con dominio A2 y B1 y metodología para la enseñanza</t>
  </si>
  <si>
    <t>Numero de docentes de preescolar y básica primaria formados</t>
  </si>
  <si>
    <t>Capacitar docentes de  preescolar y básica primaria con dominio A2 y B1 en inglés</t>
  </si>
  <si>
    <t>capacitar docentes de preescolar y básica primaria, en competencias linguisticas y medtodologia de la enseñanza del ingles</t>
  </si>
  <si>
    <t>Iniciar el proceso de bilinguismo  en niños  entre pre-escolar - quinto grado de primaria de colegios públicos en seis (6) municipios</t>
  </si>
  <si>
    <t>Número de Municipio con Bilinguismo</t>
  </si>
  <si>
    <t>Implementar un curriculo de preescolar a grado quinto con docentes en lengua extranjera ingles en isticuiones educativas</t>
  </si>
  <si>
    <t>Dotar cincuenta y cuatro (54) instituciones educativas con herramientas audiovisuales para la enseñanza del ingles</t>
  </si>
  <si>
    <t>Número de instituciones educativas dotadas</t>
  </si>
  <si>
    <t>Dotar insitituciones educativas con herramientas audiovisuales</t>
  </si>
  <si>
    <t>Adquisición herramientas audiovisuales para la enseñanza del Inglés</t>
  </si>
  <si>
    <t>Realizar siete (7)  concursos  para evaluar las competencias comunicativas en ingles de los estudiantes</t>
  </si>
  <si>
    <t>Número de concursos en inglés realizados</t>
  </si>
  <si>
    <t>Realizar actividades de evaluación de competencias comunicativas en inglés a estudiantes</t>
  </si>
  <si>
    <t xml:space="preserve">Concurso de Deletreo Inglés
</t>
  </si>
  <si>
    <t>Fortalecimiento de la Media Técnica</t>
  </si>
  <si>
    <t>Desarrollar doce (12) talleres para docentes en el uso de las TICs</t>
  </si>
  <si>
    <t>Número de talleres desarrollados</t>
  </si>
  <si>
    <t>201663000-0095</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</si>
  <si>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</si>
  <si>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</si>
  <si>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</si>
  <si>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Apoyo  a docentes de las Instituciones Educativas,  en el  Uso y Apropiacion de TICs  y Redes LAN</t>
  </si>
  <si>
    <t>Alvaaro Betancurt
Horacio Echeverry
Arles Lopez Espinosa
Francisco Javier Lopez Sepulveda</t>
  </si>
  <si>
    <t>3/008/2019</t>
  </si>
  <si>
    <t>Fortalecer cincuenta (50)   instituciones educativas en competencias básicas</t>
  </si>
  <si>
    <t>Número de instituciones educativas fortalecidas</t>
  </si>
  <si>
    <t xml:space="preserve">0314 - 5 - 3 1 3 7 24 1 95 - 20
0314 - 5 - 3 1 3 7 24 1 95 - 88_x000D_
</t>
  </si>
  <si>
    <t>Capacitación y Logistica, Talleres de Referentes, Planeación Curricular, Evaluación de los Aprendizajes</t>
  </si>
  <si>
    <t>superavit ordinario</t>
  </si>
  <si>
    <t>Fortalecer cuarenta y siete (47) instituciones educativas con el programa de articulación con la educación superior y Educacion para el Trabajo y Desarrollo  Humano ETDH</t>
  </si>
  <si>
    <t>Atención estudiantes de educación media de las Instituciones Educativas Oficiales del Departamento, en programas de nivel técnico  profesional</t>
  </si>
  <si>
    <t>Implementar un Programa de Alimentación Escolar Universitario PAEU para estudiantes universitarios</t>
  </si>
  <si>
    <t>Programa PAEU implementado</t>
  </si>
  <si>
    <t>Implementación  Programa de Alimentación Escolar Universitario PAEU para estudiantes universitarios</t>
  </si>
  <si>
    <t>Implementar el programa de acceso y permanencia de la educación técnica, tecnologica y superior en el departamento del Quindío</t>
  </si>
  <si>
    <t>Programa Implementado</t>
  </si>
  <si>
    <t xml:space="preserve">0314 - 5 - 3 1 3 7 24 1 122 - 20_x000D_
0314 - 5 - 3 1 3 7 24 1 122 - 35_x000D_
0314 - 5 - 3 1 3 7 24 1 122 - 88
</t>
  </si>
  <si>
    <t>2017003630-122</t>
  </si>
  <si>
    <t>Implementación de un Fondo de apoyo departamental para el acceso y la permanencia de la educación técnica, tecnológica y superior en el Departamneto del Quindío</t>
  </si>
  <si>
    <t>Asignación Becas a Estudianrtes Egresados de las Instituciones  Educativas  Oficiales del Departamento</t>
  </si>
  <si>
    <t xml:space="preserve">Recurso MOnopolio
</t>
  </si>
  <si>
    <t>Aportes ente territorial para la infraestructura en educación superior</t>
  </si>
  <si>
    <t>Pago cuota compraventa bien inmueble Institucion Educativa San Jose de Circasia ordenanzas 035 de 2010,047 de 2010 y 020 de 2011</t>
  </si>
  <si>
    <t xml:space="preserve">Recurso Ordinadio
</t>
  </si>
  <si>
    <t>Eficiencia Educativa</t>
  </si>
  <si>
    <t>Eficiencia y modernización administrativa</t>
  </si>
  <si>
    <t>Fortalecer, hacer seguimiento y auditar cuatro (4)  procesos certificados con que cuenta la Secretaria de Educación Departamental</t>
  </si>
  <si>
    <t>Numero de procesos certificados fortalecidos, con seguimiento y auditados</t>
  </si>
  <si>
    <t>0314 - 5 - 3 1 3 8 25 1 96 - 20</t>
  </si>
  <si>
    <t>201663000-0096</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</si>
  <si>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</si>
  <si>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</si>
  <si>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</si>
  <si>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</si>
  <si>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Crear e implementar  en cincuenta y dos (52) instituciones educativas procesos presupuestales y financieros integrados</t>
  </si>
  <si>
    <t>Número de instituciones educativas con proceso presupuestal y financiero integrado creado e implementado</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</si>
  <si>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</si>
  <si>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</si>
  <si>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</si>
  <si>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Implementar y/o mejorar el sistema de conectividad en 200 sedes educativas oficiales en el departamento.</t>
  </si>
  <si>
    <t>Número de sedes educativas implementadas y/o mejoradas</t>
  </si>
  <si>
    <t xml:space="preserve">0314 - 5 - 3 1 3 8 26 1 97 - 20_x000D_
0314 - 5 - 3 1 3 8 26 1 97 - 88_x000D_
1404 - 5 - 3 1 3 8 26 1 97 - 25_x000D_
</t>
  </si>
  <si>
    <t>201663000-0097</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</si>
  <si>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</si>
  <si>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</si>
  <si>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</si>
  <si>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Mejoramiento del Sistema de  Conectividad de las Sedes Educativas del Departamento</t>
  </si>
  <si>
    <t xml:space="preserve">SGP EDUCACIÓN
</t>
  </si>
  <si>
    <t>Recurso Ordinario
Superavit Ordinario</t>
  </si>
  <si>
    <t>Maria Eugenia Rivera</t>
  </si>
  <si>
    <t>Funcionamiento y prestación de servicios del sector educativo del nivel central</t>
  </si>
  <si>
    <t>Realizar el pago oportuno al 100% de los funcionarios de la planta de  administrativos, docentes y directivos docentes del sector central</t>
  </si>
  <si>
    <t>% de funcionarios con pago oportuno</t>
  </si>
  <si>
    <t>1400 - 5 - 3 1 3 8 27 1 98 25</t>
  </si>
  <si>
    <t>201663000-0098</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</si>
  <si>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</si>
  <si>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</si>
  <si>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</si>
  <si>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 xml:space="preserve">Gastos de personal,  generales, transferencias de los funcionarios de la Planta del sector central,   Docentes y  Directivos Docentes </t>
  </si>
  <si>
    <t xml:space="preserve">Francisco  Lopez </t>
  </si>
  <si>
    <t>01/01//2019</t>
  </si>
  <si>
    <t>Eficiencia administrativa y docente en la  gestión del bienestar laboral</t>
  </si>
  <si>
    <t>Realizar el reconocimiento a sesenta (60) docentes, directivos docentes y/o personal administrativo</t>
  </si>
  <si>
    <t>Número de docentes, directivos docentes y/o personal administrativo reconocidos</t>
  </si>
  <si>
    <t xml:space="preserve">0314 - 5 - 3 1 3 8 28 1 100 - 20
</t>
  </si>
  <si>
    <t>201663000-0100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</si>
  <si>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</si>
  <si>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</si>
  <si>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</si>
  <si>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Reconocimiento  a los  mejores docentes, directivos docentes y personal administrativo, incluida la logistica para el evento</t>
  </si>
  <si>
    <t>Janet Arias</t>
  </si>
  <si>
    <t>Realizar (ocho) 8 eventos y actividades culturales y recreativas, desarrolladas para los funcionarios del servicio educativo del departamento del Quindío</t>
  </si>
  <si>
    <t>Número de eventos y actividades culturales y recreativas realizadas</t>
  </si>
  <si>
    <t>Fomentar en , directivos docentes y administrativos de la seretaría de educación departamental del quindío sentido de pertenencia, mediante el reconocimiento de sus logros</t>
  </si>
  <si>
    <t>Logística actividades culturales y recreativas para los funcionarios del servicio educativo</t>
  </si>
  <si>
    <t>Atención Integral a la Primera Infancia</t>
  </si>
  <si>
    <t xml:space="preserve">Educación Inicial Integral </t>
  </si>
  <si>
    <t>Implementar  un (1)  programa de educación integral  a la primera infancia</t>
  </si>
  <si>
    <t>Programa implementado</t>
  </si>
  <si>
    <t>0314 - 5 - 3 1 3 16 57 1 101 - 20</t>
  </si>
  <si>
    <t>201663000-0101</t>
  </si>
  <si>
    <t xml:space="preserve">Implementación del modelo de atención integral de la educación inicial en el Departamento del  Quindio. </t>
  </si>
  <si>
    <t>Aumentar la tasa de cobertura  de  niños y niñas en edad de transición en las instituciones  educativas del  departamento</t>
  </si>
  <si>
    <t>Adquisición de  Kits Escolares para los estudiantes de los grados de Preescolar en sedes educativas oficiales del Departamento</t>
  </si>
  <si>
    <t>Recurso Oirdinario</t>
  </si>
  <si>
    <t>Martha Juliet Marin</t>
  </si>
  <si>
    <t>Apoyo para el programa de educación inicial en las instiuciones educativas oficiales del Departamento</t>
  </si>
  <si>
    <t>FRANCISICO JAVIER LOPEZ SEPULVEDA</t>
  </si>
  <si>
    <t>SECRETARIO DE EDUCACION DEPARTAMENTAL</t>
  </si>
  <si>
    <t>SEGUIMIENTO PLAN DE ACCIÓN 
SECRETARIA DE SALUD
III TRIMESTRE 2019</t>
  </si>
  <si>
    <t xml:space="preserve"> INCLUSION SOCIAL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</si>
  <si>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</si>
  <si>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</si>
  <si>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No</t>
  </si>
  <si>
    <t>201663000-0132</t>
  </si>
  <si>
    <t>Aprovechamiento biológico y consumo de  alimentos idoneos  en el Departamento del Quindio</t>
  </si>
  <si>
    <t xml:space="preserve">Disminuir o mantener la proporción de niños menores de 5 años en riesgo de desnutrición moderada o severa aguda
</t>
  </si>
  <si>
    <t xml:space="preserve">Fortalecer la estrategia que determine el número de brotes de enfermedades transmitidas por alimentos (ETA) 
</t>
  </si>
  <si>
    <t>Realizar acciones de Inspección, Vigilancia y Control de alimentos y Bebidas alcohólicas de consumo humano en el Departamento del Quindío.</t>
  </si>
  <si>
    <t>Fondo Local de Salud - SGP (61)
Superávit SGP Salud Pública (98)</t>
  </si>
  <si>
    <t>N/A</t>
  </si>
  <si>
    <t>61
98</t>
  </si>
  <si>
    <t>Nebio Jairo Londoño Buitrago</t>
  </si>
  <si>
    <t>Cesar Augusto Rincón Zuluaga
Secretario de Salud</t>
  </si>
  <si>
    <t>Divulgación de las políticas, normas y procedimientos, brindando la asesoría pertinente para promover el cumplimiento de la reglamentación con miras a la protección de la salud, en  programas institucionales.</t>
  </si>
  <si>
    <t>Actualización de censo de establecimientos de alimentos y bebidas para el 2018</t>
  </si>
  <si>
    <t>Articular acciones de informacion, educacion y comunicación, relacionada con la manipulacion adecuada de alimentos en  las actividades PIC 2018</t>
  </si>
  <si>
    <t>Realizar vigilancia sanitaria en establecmientos de alimentos, relacionados con enfermedades transmitidas por alimentos (ETA), en los muncipios de competencia del Departamento.</t>
  </si>
  <si>
    <t>Implementar sistema de informacion que permita programar y priorizar las accciones de Inspeccion, Vigilancia y Control con enfoque de reisgo en alimentos y bebidas.</t>
  </si>
  <si>
    <t>Articular con el laboratorio departamental de salud publica (LDSP) la programacion y ejecucion de la toma de muestras de alimetnos y bebidas.</t>
  </si>
  <si>
    <t xml:space="preserve">Ejecutar el plan decenal de lactancia materna </t>
  </si>
  <si>
    <t xml:space="preserve">Cumplir con  el tiempo de la practica de la lactancia Materna exclusiva
</t>
  </si>
  <si>
    <t>Realizar concertación intersectorial para la formulación de planes y proyectos que desarrollen el componente de seguridad alimentaria y nutricional de consumo y aprovechamiento biológico.</t>
  </si>
  <si>
    <t xml:space="preserve">Realizar acompañamiento a la promocion proteccion y apoyo de la lactancia materna en el marco de la celebracion de la semana muncial de la lactancia materna y del dia mundial de la alimentacion . </t>
  </si>
  <si>
    <t xml:space="preserve">Realizar acompañamiento al proceso de certificacion  de la estrategia IAMI en 11 IPS públicas del departamento. </t>
  </si>
  <si>
    <t>Realizar consolidacion del indicador de lactancia materna exclusiva año 2016-2019.</t>
  </si>
  <si>
    <t>Realizar capacitación a 11 municipios en alianza con la dimensión de salud en el ámbito laboral para la promoción, protección y apoyo de la lactancia materna.</t>
  </si>
  <si>
    <t>Fortalecer la atención integral  en seis (6) poblaciones vulnerables (etnias)  en menores de cinco años con casos de desnutrición</t>
  </si>
  <si>
    <t>Fortalecer la  atencion nutricional en poblaciones indigenas del departamento.</t>
  </si>
  <si>
    <t>Realizar seguimiento a casos de desnutrición, bajo peso al nacer y mortalidad por desnutrición notificados por el SIVIGILA con enfoque diferencial.</t>
  </si>
  <si>
    <t>Realizar búsqueda activa institucional y comunitaria de casos de desnutrición aguda en poblaciones etnias en el departamento.</t>
  </si>
  <si>
    <t>Realizar seguimiento a la implementación de la ruta de atención integral a la desnutrición en menores de 5 años en poblaciones vulnerables etnias del departamento.</t>
  </si>
  <si>
    <t>Realizar vigilancia en establecmientos educativos en el marco del programa de alimentacion escolar PAE y en poblaciones vulnerables.</t>
  </si>
  <si>
    <t>Realizar seguimiento a la implementacion de la Resolucion 5406/2015 y 2465/2016.</t>
  </si>
  <si>
    <t>Realizar acompañamiento en la implementacion en guías alimentarias basadas en alimentos y estilos de vida saludable.</t>
  </si>
  <si>
    <t>Realizar capacitación en guías alimentarias basadas en alimentos y estilos de vida saludable.</t>
  </si>
  <si>
    <t>Salud Pública para un Quindío saludable y posible</t>
  </si>
  <si>
    <t>Salud ambiental</t>
  </si>
  <si>
    <t>Formular, aprobar y divulgar  la Política Integral de Salud Ambiental (PISA)</t>
  </si>
  <si>
    <t>1803 - 5 - 3 1 3 12 36 2 133 - 61
1803 - 5 - 3 1 3 12 36 2 133 - 98</t>
  </si>
  <si>
    <t>201663000-0133</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</si>
  <si>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</si>
  <si>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</si>
  <si>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</si>
  <si>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Realizar actividades de caracterización y educación sanitaria y ambiental en el marco de la implementacion de la estrategia entornos saludables, en los entornos de viviendas, educativos y comunitarios con el abordaje integral de las políticas, normas y procedimientos relacionados con la prevencion vigilancia y control de factores de riesgo de la salud</t>
  </si>
  <si>
    <t>Fondo Local de Salud - SGP  (61)
Superavit SGP Salud Pública (98)</t>
  </si>
  <si>
    <t xml:space="preserve">Generar los mapas de riesgo y vigilancia de la calidad de agua para consumo humano en  los doce (12) municipios del departamento </t>
  </si>
  <si>
    <t>Fortalecer la gestion intersectorial en el cumplimiento de la normatividad relacionada con la elaboracion de mapas de riesgo</t>
  </si>
  <si>
    <t>Generar  espacios  intersectoriales  para  la  construccion y actualizacion de los mapas de riesgo de calidad de agua de consumo humano  deacuerdo a la Resolución 4716 de 2010)</t>
  </si>
  <si>
    <t>Mantener  en 11 municipios de competencia departamental la vigilancia en los sistemas de potabilizacion, mediante la  de la aplicación de buenas practicas sanitarias y reporte de muestras de agua potable.</t>
  </si>
  <si>
    <t>Realizar analisis de la persistencia y aparicion de factores de riesgo en las fuentes abastecedoras con el fin de generar la actualizacion anual de los mapas de riesgo de calidad de agua para consumo humano</t>
  </si>
  <si>
    <t>Sexualidad, derechos sexuales y reproductivos</t>
  </si>
  <si>
    <t>Lograr que ocho (8) municipios del departamento operen el sistema de vigilancia en salud pública de la violencia intrafamiliar.</t>
  </si>
  <si>
    <t>1803 - 5 - 3 1 3 12 37 2 134 - 61
1803 - 5 - 3 1 3 12 37 2 134 - 98</t>
  </si>
  <si>
    <t>201663000-0134</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</si>
  <si>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</si>
  <si>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</si>
  <si>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</si>
  <si>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 xml:space="preserve">Desarrollar acciones de fortalecimiento de capacidades del talento humano protección y justicia en la estrategia de abordaje integral de las violencias de género y violencias sexuales y normatividad vigente. </t>
  </si>
  <si>
    <t>Fondo Local de Salud - SGP (61)
Superávit  Fondo Local de Salud - SGP (98)</t>
  </si>
  <si>
    <t>Realizar asistencia técnica y evaluación a la gestión del riesgo en salud de las EAPB y ESE en el abordaje integral de las violencias de género y violencias sexuales.</t>
  </si>
  <si>
    <t>Analizar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t>
  </si>
  <si>
    <t>Desarrollar y realizar seguimiento al plan de acción del Comité Departamental consultivo  intersectorial e interinstitucional para el abordaje integral de las violencias de género y violencias sexuales en niños, niñas y adolescentes (Resolución 587 del 14 agosto del 2018)</t>
  </si>
  <si>
    <t>Desarrollar acciones de fortalecimiento de capacidades del talento humano, en la estrategia de acceso universal a la prevención y atención integral en IT-VIH/SIDA.</t>
  </si>
  <si>
    <t>Realizar asistencia técnica y evaluación a la gestión del riesgo en salud de las EAPB, ESE y Programas regulares en la estrategia de acceso universal a la prevención y atención integral en IT-VIH/SIDA.</t>
  </si>
  <si>
    <t>Analizar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</si>
  <si>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Realizar seguimiento a las IPS y centros de atención en la  gestión del riesgo en salud a personas que se inyectan drogas, en la estrategia de acceso universal a la prevención y atención integral en IT-VIH/SIDA.</t>
  </si>
  <si>
    <t>Desarrollar acciones encaminadas a dar respuesta al plan nacional de actividades colaborativas TB/VIH involucrando todos los actores del SGSSS y la sociedad civil.</t>
  </si>
  <si>
    <t>Vincular cuatro mil ochocientos (4.800) mujeres gestantes al programa de control prenatal antes de la semana 12 de edad gestacional.</t>
  </si>
  <si>
    <t>Implementar programa del  control prenatal antes de la semana 12 de la edad gestacional</t>
  </si>
  <si>
    <t>Realizar seguimiento a los embarazos de alto riesgo  detectados en todo el departamento del Quindío para que se garantice desde las EAPB la intervención del riesgo en salud.</t>
  </si>
  <si>
    <t>Realizar diagnóstico de la situación de embarazos en adolescente en edades entre 10 - 19 años, en el departamento del Quindío.</t>
  </si>
  <si>
    <t xml:space="preserve">Realizar asistencia técnica a EPS  e IPS en el programa de consulta preconcepcional con calidad, basada en educación en salud, para todas la parejas potencialmente fértiles, que asegure un recién nacido sano. </t>
  </si>
  <si>
    <t>Realizar  búsqueda activa institucional y comunitaria  de mujeres embarazadas a través de las IPS, EPS y líderes comunitarios en todo el departamento del Quindío.</t>
  </si>
  <si>
    <t>Establecer acuerdos con IPS y EAPB que aseguren la captación temprana de la gestante antes de la semana 12, a través de las acciones de promoción de la salud e identificación del riesgo.</t>
  </si>
  <si>
    <t xml:space="preserve">Capacitar a las redes sociales y comunitarias en la identificación del riesgo colectivo de las gestantes y en la captación temprana - PIC.  </t>
  </si>
  <si>
    <t xml:space="preserve">Realizar seguimiento y control a la aplicación del TSH neonatal  por parte de los aseguradores y prestadores a todos los recién nacidos institucionalizados y no institucionalizados en el departamento. </t>
  </si>
  <si>
    <t xml:space="preserve">Realizar asistencia técnica y seguimiento EPS  e IPS, en protocolos de atención del evento de sífilis gestacional y congénita y otras infecciones en las gestantes. </t>
  </si>
  <si>
    <t>Adaptar y realizar la verificación en la aplicación de la ruta de atención  integral, en la población gestante del departamento del Quindío</t>
  </si>
  <si>
    <t>Desarrollar y realizar seguimiento al plan de acción del comité departamental de maternidad segura. (Resolución 533 del 02 junio del 2015)</t>
  </si>
  <si>
    <t>Canalizar acciones de promoción de la salud en el desarrollo de la política Nacional de sexualidad, derechos sexuales y reproductivos</t>
  </si>
  <si>
    <t>Desarrollar acciones de fortalecimiento de capacidades del talento humano, en la Estrategia Nacional de Servicios de Salud Amigables para Adolescentes y Jóvenes, rutas de atención diferenciada, redes sociales, comunitarias y veedurías juveniles.</t>
  </si>
  <si>
    <t xml:space="preserve">Realizar asistencia técnica y evaluación a las ESE de primer nivel en la Estrategia Nacional de Servicios de Salud Amigables para Adolescentes y Jóvenes, rutas de atención diferenciada, redes sociales, comunitarias y veedurías juveniles. </t>
  </si>
  <si>
    <t>Desarrollar y realizar seguimiento al plan de acción del comité departamental de sexualidad, derechos sexuales y reproductivos. (Resolución 533 del 02 junio del 2015)</t>
  </si>
  <si>
    <t>Realizar asistencia técnica y evaluación a las 12 Secretarias de salud municipales en la Dimensión de sexualidad, derechos sexuales y reproductivos.</t>
  </si>
  <si>
    <t>Desarrollar y realizar seguimiento al  Plan de acción del subcomité departamental de promoción y prevención de las ITS-VIH/SIDA (Resolución 533 del 02 junio del 2015)</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</si>
  <si>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</si>
  <si>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</si>
  <si>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
1803 - 5 - 3 1 3 12 38 2 135 - 98</t>
  </si>
  <si>
    <t>201663000-0135</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</si>
  <si>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</si>
  <si>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</si>
  <si>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</si>
  <si>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Asistencia técnica a la Universidad del Quindío en la implementación de las zonas de orientación universitaria y el modelo de inclusión social.</t>
  </si>
  <si>
    <t>Definición de líneas operativas y prioridades a seguir para el plan de intervenciones colectivas, bajo lineamientos del plan de salud territorial, de la dimensión de convivencia social y salud mental.</t>
  </si>
  <si>
    <t>Formación y capacitación al personal de las IPS, EPS, Planes locales de Salud y entidades que desarrollan acciones encaminadas a la atención de la salud mental con énfasis en MH - GAP y estrategia treanet</t>
  </si>
  <si>
    <t>Realizar el III seminario de actualización en investigación, prevención y atención de la conducta suicida, en el marco de la formulación de la Política en Salud Mental</t>
  </si>
  <si>
    <t>Realizar mesas de trabajo con la sociedad civil, EPS, Médicos especialistas en psiquiatría, para la implementación de los protocolos atención del espectro autista, así como la socialización de las guías de atención en depresión, consumo de alcohol, esquizofrenia.</t>
  </si>
  <si>
    <t>Realizar mesas de trabajo  EPS,  para la socialización de las guías de atención en salud mental y spa, coberturas en salud mental (ley 1438 del 2011, resolución 5592 del 2015, ley 1616 del 2013, ley 1566 del 2012, rutas de atención, política actual de drogas y atención integral a víctimas de violencia) entre otros.</t>
  </si>
  <si>
    <t>Realizar monitoreo y seguimiento a los casos notificados en el SIVIGILA en los eventos de interés  en salud pública y de competencia directa de la Dimensión de convivencia social y salud mental.</t>
  </si>
  <si>
    <t>Realizar acompañamiento a la mesa de trabajo del programa de habitante de calle, para la formulación de la política pública según ley 1641 del 2013.</t>
  </si>
  <si>
    <t>Realizar mesas de coordinación, organización y operativización del comité departamental de reducción del consumo de sustancias psicoactivas - ordenanza 051 del 2010 y apoyo  técnico a la secretaria del interior en el consejo seccional de estupefaciente</t>
  </si>
  <si>
    <t>Adoptar e implementar el modelo de Atención primaria en Salud Mental (APS) en todos los municipios Quindiano</t>
  </si>
  <si>
    <t>Establecer lineamientos de planificación en la Atención primaria en Salud Mental (APS) en todos los municipios Quindiano</t>
  </si>
  <si>
    <t>Realizar asistencia técnica a la universidad del Quindío en la implementación de las zonas de orientación universitaria y el modelo de inclusión social.</t>
  </si>
  <si>
    <t>Realizar formación y capacitación a orientadores escolares del departamento del Quindío, en normatividad actual, rutas de atención y protocolos de vigilancia en la Dimensión de Convivencia Social y Salud Mental.</t>
  </si>
  <si>
    <t>Realizar formación y capacitación a las familias y cuidadores de personas diagnosticadas con esquizofrenia en conjunto con la Asociación Colombiana de Esquizofrenia</t>
  </si>
  <si>
    <t>Brindar asesoría, asistencia técnica y realizar acciones de vigilancia y monitoreo  a los entes municipales en la línea  de convivencia social y salud mental (violencia, conducta suicida, entre otros)</t>
  </si>
  <si>
    <t>Realizar mesas de trabajo de asesoría y asistencia técnica  con  EPS, en normatividad vigente en salud mental, convivencia social, rutas de atención y seguimiento a casos</t>
  </si>
  <si>
    <t>Adoptar  e implementar en los doce (12) municipios el plan departamental de la reducción del consumo de sustancias psicoactivas SPA conforme a lineamientos y desarrollos técnicos entorno a la demanda</t>
  </si>
  <si>
    <t>Articular las políticas públicas de reducción de la oferta y reducción de la demanda de sustancias psicoactivas licitas e ilícitas.</t>
  </si>
  <si>
    <t>Brindar asesoría, asistencia técnica y realizar acciones de vigilancia y monitoreo a las instituciones que cuentan con programas ambulatorios de mantenimiento con método de baja y mediana complejidad, en el departamento del Quindío.</t>
  </si>
  <si>
    <t>Asistencia técnica y  seguimiento a la notificación del sistema único de indicadores de centros de atención a la drogadicción (SUICAD).</t>
  </si>
  <si>
    <t>Mesas de trabajo con usuarios y sus familias de los diferentes programas de sustitución con metadona.</t>
  </si>
  <si>
    <t>Coordinación y organización de las mesas técnicas intersectoriales para los ajustes y adaptación del Plan Nacional Para la Promoción de la Salud, la Prevención, y la Atención del Consumo de Sustancias Psicoactivas 2014 - 2021.</t>
  </si>
  <si>
    <t>Formación y capacitación al personal de las IPS, EPS, Planes locales de Salud y entidades que desarrollan acciones encaminadas a la implementación del modelo de inclusión social de base comunitaria (zonas de orientación universitaria y centros de escucha), primer ciclo de formación en atención primaria en salud mental y spa.</t>
  </si>
  <si>
    <t>Estilos de vida saludable y condiciones no-transmisibles</t>
  </si>
  <si>
    <t>Implementar la estrategia  denominada "Cuatro por cuatro" para la promoción de la alimentación saludable</t>
  </si>
  <si>
    <t>1803 - 5 - 3 1 3 12 39 2 138 - 61
1803 - 5 - 3 1 3 12 39 2 138 - 96</t>
  </si>
  <si>
    <t>201663000-0138</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</si>
  <si>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</si>
  <si>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</si>
  <si>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</si>
  <si>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Desarrollar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t>
  </si>
  <si>
    <t>31/1219</t>
  </si>
  <si>
    <t>Asistir en la implementación de actividades para la promoción de modos, condiciones y estilos de vida saludable, relacionadas con las enfermedades no transmisibles en el entorno escolar y realizar el respectivo seguimiento.</t>
  </si>
  <si>
    <t>Brindar asistencia técnica y evaluar en 20 instituciones educativas la implementación de  la estrategia Tiendas escolares Saludables de 11 municipios de competencia departamental y hacer el respectivo seguimiento.</t>
  </si>
  <si>
    <t>Realizar asistencia técnica a los Planes Locales de Salud en la gestión intersectorial para la promoción de estilos de vida saludables (alimentación saludable, actividad física, alcohol y cigarrillo) en los diferentes entornos educativo, laboral y comunitario.</t>
  </si>
  <si>
    <t>Implementar una estrategia de ambientes libres de humo de tabaco en los  municipios.</t>
  </si>
  <si>
    <t>Articular estrategias interinstitucionales que garanticen la integralidad en la atención de los usuarios</t>
  </si>
  <si>
    <t>Verificar el nivel de cumplimiento  de la ley 1335 de 2009 enfocada en espacios libres de humo (no consumo o exposición al tabaco y sus derivados) en  11 instituciones educativas de competencia departamental.</t>
  </si>
  <si>
    <t>Realizar asistencia técnica y seguimiento a la red de prestadores y aseguradores del departamento, en la  implementación de guías de atención y tamizajes de las enfermedades no transmisibles especialmente en prestadores de primer nivel de atención, bajo la estrategia de APS.</t>
  </si>
  <si>
    <t xml:space="preserve">Ejecutar el plan de intervención de la exposición a flúor en el departamento de acuerdo a los riesgos identificados en la fase IV. </t>
  </si>
  <si>
    <t xml:space="preserve">Realizar el análisis trimestral de los resultados obtenidos en la Búsqueda Activa Institucional, generar planes de mejoramiento y seguimiento a los  hallazgos encontrados a prestadores y aseguradores y realizar su respectivo reporte a nivel nacional. </t>
  </si>
  <si>
    <t>Implementar una estrategia para mantener la edad de inicio de consumo de tabaco en los adolescentes escolarizados.</t>
  </si>
  <si>
    <t>Adoptar guías y protocolos de atención de las enfermedades crónicas no transmisibles por parte de las EPS e IPS</t>
  </si>
  <si>
    <t>Fortalecer con la instancia intersectorial las acciones de intervención orientadas a la disminución de riesgo de consumo de tabaco en toda la comunidad educativa, incluidos los padres de familia.</t>
  </si>
  <si>
    <t xml:space="preserve">Aportar las evidencias que permitan la identificación en la gestión del riesgo en la oportunidad del tratamiento del paciente como complemento en la realización de unidades de análisis de las muertes de interés en salud pública convocadas por Sivigila, verificando adherencia a la metodología "ruta de la vida camino a la supervivencia", generación de planes de mejoramiento e informe de proceso de seguimiento. </t>
  </si>
  <si>
    <t>Realizar asistencia técnica, seguimiento y monitoreo a la gestión del riesgo en salud de los administradores y prestadores en el abordaje integral de la dimensión de vida saludable y condiciones no transmisibles, para realizar acuerdos con las EPS e IPS y definir planes de acción.</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</si>
  <si>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</si>
  <si>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</si>
  <si>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
0318 - 5 - 3 1 3 12 40 2 139 - 20
1803 - 5 - 3 1 3 12 40 2 139 - 161</t>
  </si>
  <si>
    <t>201663000-0139</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</si>
  <si>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</si>
  <si>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</si>
  <si>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</si>
  <si>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la caracterización de las condiciones sanitarias de las familias de la zona rural en condiciones de vulnerabilidad de los 11 municipios del departamento del Quindío.</t>
  </si>
  <si>
    <t xml:space="preserve">Fondo Local de Salud - SGP (61)
Recursos propios
(20)
Superavit Resoluciones Vigencias Anteriores
(161) 
</t>
  </si>
  <si>
    <t>61
20
161</t>
  </si>
  <si>
    <t xml:space="preserve">Ejecutar conjuntamente con el equipo de Salud Ambiental, las intervenciones concernientes a la promoción de prácticas claves de la estrategia AIEPI comunitario en entornos saludables (vivienda y escuela). </t>
  </si>
  <si>
    <t>Realizar el monitoreo y evaluación de las acciones de gestión del riesgo, adherencia a guías y protocolos de enfermedades transmitidas por agua, suelo y alimentos, con las EAPB y ESES del Departamento.</t>
  </si>
  <si>
    <t>Realizar mesas técnicas para el análisis, evaluación y seguimiento de las acciones de prevención de enfermedades transmitidas por agua, suelo y alimentos, con vigilancia en salud pública.</t>
  </si>
  <si>
    <t>Implementar una estrategia que permita garantizar el adecuado funcionamiento de la red de frío para el almacenamiento  de los biológicos del Programa ampliado de inmunización (PAI).</t>
  </si>
  <si>
    <t xml:space="preserve">Fortalecimiento de los protocolos para la prevenciÓn y control de las enfermedades transmisibles
</t>
  </si>
  <si>
    <t>Realizar el abastecimiento permanente de las vacunas e insumos del PAI, según los lineamientos del programa ampliado de inmunizaciones.</t>
  </si>
  <si>
    <t>Realizar asistencia técnica a los municipios para asegurar el correcto almacenamiento, conservación y transporte de vacunas, bajo los estándares de calidad de la cadena de frio.</t>
  </si>
  <si>
    <t>Consolidar el registro de la información reportada sobre dosis aplicadas en el sistema de información nominal de las instituciones que brindan atención a la población menor de 5 años CDI en el departamento.</t>
  </si>
  <si>
    <t>Realizar la consolidación de la información generada por el programa ampliado de inmunizaciones, para reporte al MSPS con oportunidad, calidad e integralidad según el sistema de información nominal PAIWEB.</t>
  </si>
  <si>
    <t>Implementar  la estrategia de gestión integral-enfermedades de transmisión vectorial (EGI ETV) en los 5 municipios hiperendémicos para enfermedades de transmisión vectorial</t>
  </si>
  <si>
    <t>1803 - 5 - 3 1 3 12 40 2 141 - 111
1803 - 5 - 3 1 3 12 40 2 141 - 61
1803 - 5 - 3 1 3 12 40 2 141 - 20
1803 - 5 - 3 1 3 12 40 2 141 - 107
1803 - 5 - 3 1 3 12 40 2 141 - 147</t>
  </si>
  <si>
    <t>201663000-0141</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</si>
  <si>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</si>
  <si>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</si>
  <si>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</si>
  <si>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Realizar inspección vigilancia y control de focos de reproducción de vectores (dengue, Chikunguña y zika) en los 11 municipios de competencia Departamental.</t>
  </si>
  <si>
    <t>Res. 781/15 Prev. y control enfermedades por Vect
Fondo Local de Salud - SGP
Superavit Res. 781/15 Prev. y control enfermedades por Vect
Superavit Res. 2311/2017 MSPS -Vectores 
Recurso Ordinario</t>
  </si>
  <si>
    <t>20
61
107
111
147</t>
  </si>
  <si>
    <t>Analizar mensualmente el comportamiento de los eventos de ETV y zoonosis y retroalimentar al área de IVC para garantizar la calidad en la atención de los casos reportados.</t>
  </si>
  <si>
    <t>Atender el 100% de los brotes y contingencias por ETV y Zoonosis en los municipios de categoría 4, 5 y 6 del Departamento del Quindío.</t>
  </si>
  <si>
    <t>Realizar asistencia técnica a los equipos a los equipos de los planes locales de salud en los cuatro municipios hiperendémicos para la adopción, adaptación y  desarrollo de la EGI- ETV y ZOONOSIS.</t>
  </si>
  <si>
    <t>Realizar jornadas de movilización y participación  social y comunitaria para generar cambios conductuales frente a  la eliminación de criaderos de vectores Dengue, Chikunguña y Zika mediante la estrategia COMBI en los municipios hiperendémicos.</t>
  </si>
  <si>
    <t>Realizar el monitoreo y evaluación a las acciones de gestión del riesgo, adherencia a guías y protocolos en las EAPB y Empresas Sociales del Estado que conduzcan a mejorar la calidad en la atención integral de pacientes con ETV y Zoonosis.</t>
  </si>
  <si>
    <t xml:space="preserve">Implementar la estrategia  para ampliar coberturas útiles de vacunación antirrábica en animales (perros y gatos). </t>
  </si>
  <si>
    <t xml:space="preserve"> Fortalecer acciones para aumentar coberturas útiles de vacunación antirrábica en animales (perros y gatos). 
</t>
  </si>
  <si>
    <t>Estimar la población de perros y gatos en las áreas urbana y rural en el 100% de los municipios de categoría 4, 5 y 6 del departamento del Quindío.</t>
  </si>
  <si>
    <t xml:space="preserve">Promover a nivel comunitario la tenencia responsable de animales de compañía y la promoción de la vacunación antirrábica. </t>
  </si>
  <si>
    <t>Realizar coordinación intersectorial en el marco del Consejo Territorial de Zoonosis.</t>
  </si>
  <si>
    <t>Realizar vacunación regular de perros y gatos a nivel urbano y rural en los 11 municipios de categoría 4, 5 y 6 del Departamento del Quindío.</t>
  </si>
  <si>
    <t>Implementar el plan estratégico hacia el fin de la tuberculosis</t>
  </si>
  <si>
    <t>201663000-0142</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</si>
  <si>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</si>
  <si>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</si>
  <si>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t>
  </si>
  <si>
    <t>Brindar asistencia técnica y seguimiento al programa de tuberculosis y lepra dirigida a: Planes Locales de Salud, Ips publicas y Privadas, EAPB, laboratorios adscritos a la red publica y privada de los 12 municipios del departamento.</t>
  </si>
  <si>
    <t>Fondo Local de Salud - SGP
Aportes Nación Tuberculosis
Aportes Nacion lepra </t>
  </si>
  <si>
    <t>61
113
114</t>
  </si>
  <si>
    <t>Realizar capacitaciones al personal asistencial de las IPS en el programa de tuberculosis y lepra en el departamento.</t>
  </si>
  <si>
    <t>1803 - 5 - 3 1 3 12 40 2 142 - 113</t>
  </si>
  <si>
    <t>Realizar el análisis e intervención a los casos especiales de farmacorresistencia del programa de tuberculosis. " CERCET" Comite Evaluador  Regional de Casos Especiales de Tuberculosis.</t>
  </si>
  <si>
    <t>1803 - 5 - 3 1 3 12 40 2 142 - 114</t>
  </si>
  <si>
    <t>Acompañar la vigilancia de cumplimiento a guías, lineamientos y protocolos  en tuberculosis y lepra</t>
  </si>
  <si>
    <t>1803 - 5 - 3 1 3 12 40 2 142 - 61</t>
  </si>
  <si>
    <t>Coordinar acciones para la gestión intersectorial</t>
  </si>
  <si>
    <t>Realizar mesas técnicas para la gestión del compromiso político, en la protección social y sistemas de apoyo de pacientes con tuberculosis y lepra.</t>
  </si>
  <si>
    <t>1803 - 5 - 3 1 3 12 40 2 142 - 98</t>
  </si>
  <si>
    <t>hacer seguimiento a la implementacion y ejecucion de  los nuevos planes estratégicos de tuberculosis y lepra en los 12 municipios.</t>
  </si>
  <si>
    <t>Realizar campañas de prevención y atención integral en afectados por tuberculosis</t>
  </si>
  <si>
    <t>realizar capacitaciónes dirigida a personas líderes,   para ser formadas como agentes comunitarios TB/VIH,</t>
  </si>
  <si>
    <t>Gestión de la prestación de los servicios en prevención y atención integral centrada en los afectados por tuberculosis y lepra. (rondas medicas, visita a pacientes).</t>
  </si>
  <si>
    <t>Realizar actividades de promoción y prevención implementadas para la comunidad y grupos focalizados en tuberculosis y lepra en los 12 municipios del departamento. (rondas medicas, busqueda de sintomaticos respiratorios y de piel, movilizaciones, talleres, sensibilizaciones , etc)</t>
  </si>
  <si>
    <t>Salud publica en emergencias y desastres</t>
  </si>
  <si>
    <t>Realizar catorce (14) simulacros de atención a emergencias en la Red Pública Hospitalaria</t>
  </si>
  <si>
    <t>1803 - 5 - 3 1 3 12 41 2 143 - 61
1803 - 5 - 3 1 3 12 41 2 143 - 98</t>
  </si>
  <si>
    <t>201663000-0143</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</si>
  <si>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</si>
  <si>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</si>
  <si>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</si>
  <si>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realizar 14 simulcros de atencion a emergencias en la red hospitalaria.</t>
  </si>
  <si>
    <t>SGP Salud Pública
Superavit SGP Salud Pública</t>
  </si>
  <si>
    <t xml:space="preserve">Realizar asistencia técnica en la construcción y ejecución del plan bienal de inversiones, a once (11) Empresas sociales del estado (ESE) del departamento. </t>
  </si>
  <si>
    <t>Realizar 11 visitas de verificacion de aplicación protocolos y planes de emergecia hospitalaria a las eses publicas del departamento</t>
  </si>
  <si>
    <t>Mejorar el índice de seguridad hospitalaria en once (11) empresas sociales del estado (ESE) del departamento del nivel  I y II.</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</si>
  <si>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</si>
  <si>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</si>
  <si>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 salud departamental. </t>
  </si>
  <si>
    <t>Capacitar a los hospitales para la integracion de los planes de emergencia hospitalaria con el plan de emergencia de  secretaria de salud.</t>
  </si>
  <si>
    <t>Fortalecer las capacidades tecnicas del CRUE departamental, en la regulacion de la referencia y contrarreferencia, implementando los lineamientos Rutas Integrales de Atencion en Salud.</t>
  </si>
  <si>
    <t>Salud en el entorno laboral</t>
  </si>
  <si>
    <t>Fomentar en 8 municipios un programa de cultura preventiva en el trabajo formal e informal y entornos laborales saludables.</t>
  </si>
  <si>
    <t>1803 - 5 - 3 1 3 12 42 2 145 - 61</t>
  </si>
  <si>
    <t>201663000-0145</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</si>
  <si>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</si>
  <si>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</si>
  <si>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</si>
  <si>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Capacitar en prevención de riesgos laborales a las empresas del Sector económico con más alto índice de accidentalidad.</t>
  </si>
  <si>
    <t>SGP Salud Pública</t>
  </si>
  <si>
    <t xml:space="preserve">Realizar la Identificación y caracterización de las mujeres trabajadoras del sector agrícola informal de los municipios  de Calarcá, Montenegro, Quimbaya, La Tebaida, Circasia, Salento, Filandia y Montenegro. </t>
  </si>
  <si>
    <t xml:space="preserve">Capacitar a las mujeres trabajadoras del sector agrícola de los municipios de Calarcá, Montenegro, Quimbaya, La Tebaida, Circasia, Salento, Filandia y Montenegro en derechos y deberes relacionados en el SGRL.   </t>
  </si>
  <si>
    <t>Formular el plan de acción para la prevención de trabajo infantil en el departamento del Quindío, en el marco del Comité Departamentales para la prevención y erradicación de trabajo infantil - CIETI.</t>
  </si>
  <si>
    <t>Identificar y caracterizar la población trabajadora en condición de informalidad con énfasis en el menor trabajador en los 11 municipios del departamento.</t>
  </si>
  <si>
    <t xml:space="preserve">Realizar una jornada Educativa con relación a Riesgos laborales a los empleadores del Dpto. </t>
  </si>
  <si>
    <t>Implementación en las 14 empresas sociales del estado (ESE) departamentales y de primer nivel, el Sistema de Gestión de la Seguridad y Salud en el Trabajo</t>
  </si>
  <si>
    <t xml:space="preserve">Implementar controles de cumplimiento por parte de los empleadores en lo reglamentado en el Sistema general de Riesgos Laborales. </t>
  </si>
  <si>
    <t>Realizar asistencia técnica  a los prestadores de primer nivel, para verificar el cumplimiento del Sistema de Gestión de la Seguridad y Salud en el Trabajo.</t>
  </si>
  <si>
    <t>Realizar jornada de sensibilización a los Empleadores para fomentar la afiliación al SGRL a sus empleados conforme a ley 1562 del 2012 y decreto 1443  del 2015.</t>
  </si>
  <si>
    <t>Brindar asistencia técnica a las ARLs en el diseño del SG-SST,  capacitación a las brigadas de primeros auxilios, COPASST  o VIGIA y la promoción de estilos de vida y trabajo saludable a la población trabajadora de sus empresas usuarias.</t>
  </si>
  <si>
    <t xml:space="preserve">Expedir las licencias y asistencias técnicas en Seguridad y Salud en el Trabajo. </t>
  </si>
  <si>
    <t>Analizar los eventos de origen laboral graves y mortales reportados por el Comité Seccional de Seguridad y Salud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</si>
  <si>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</si>
  <si>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</si>
  <si>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</si>
  <si>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</si>
  <si>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</si>
  <si>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</si>
  <si>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Realizar vigilancia epidemiológica de plaguicidas en el marco del programa VEO con la toma de muestras de Acetilcolinesterasa en sangre a los individuos expuestos a plaguicidas  Organofosforados y Carbamatos.</t>
  </si>
  <si>
    <t>Fondo Local de Salud - SGP
Recurso Ordinario
Superávit  - SGP Salud Pública
Fondo de Estupefacientes
Superávit Fondo de Estupefacientes</t>
  </si>
  <si>
    <t>61
20
98
63
99</t>
  </si>
  <si>
    <t>Análisis y seguimiento al comportamiento de los eventos por intoxicaciones de sustancias químicas y enfermedad diarreica aguda (EDAS), generada por el Sistema de Vigilancia y fuentes externas. realizando  asistencia técnica  a los actores de vigilancia en salud publica  en el departamento.</t>
  </si>
  <si>
    <t>Realizar seguimiento al proceso de gestion del riesgo indicvidual frente a las acciones de proteccion especifica y deteccion temprana desde el reporte del anexo tecnico de la resolucion 4505 de 2012 y el cumplimiento de la resolucion 3280 de 2018</t>
  </si>
  <si>
    <t>Implementar  una estrategia oportuna de atención a sujetos de atención,  objetos de procesos de  inspección, vigilancia y control sanitario</t>
  </si>
  <si>
    <t>1803 - 5 - 3 1 3 12 43 2 146 - 61</t>
  </si>
  <si>
    <t xml:space="preserve"> Articular los sistemas de vigilancia relacionados al control sanitario</t>
  </si>
  <si>
    <t xml:space="preserve">Realizar inspección vigilancia y control de las condiciones de seguridad,  higiénico sanitarias y ambientales a los objetos de interes comercial, tales que manejen sustancias químicas y residuos peligrosos con riesgo biologico, incluyendo los objetos de interes en saneamiento básico, </t>
  </si>
  <si>
    <t xml:space="preserve">Consolidar y desarrollar  el sistema de inspección vigilancia y control (SIVC)  en 150 establecimientos farmacéuticos del departamento. </t>
  </si>
  <si>
    <t>0318 - 5 - 3 1 3 12 43 2 146 - 20</t>
  </si>
  <si>
    <t>Realizar inspección  vigilancia y control para verificar las condiciones técnicas, higiénico sanitarias locativas y de calidad a los establecimientos farmacéuticos en los 12 municipios del departamento del Quindío.</t>
  </si>
  <si>
    <t xml:space="preserve">Suministrar medicamentos de control especial- monopolio del estado a los establecimientos farmacéuticos autorizados. </t>
  </si>
  <si>
    <t>0318 - 5 - 3 1 3 12 43 2 146 - 98</t>
  </si>
  <si>
    <t>0318 - 5 - 3 1 3 12 43 2 146 - 99</t>
  </si>
  <si>
    <t>Adquisición de mobiliario, equipos tecnológicos, de telecomunicación y computo del Fondo Rotatorio de Estupefacientes</t>
  </si>
  <si>
    <t>1803 - 5 - 3 1 3 12 43 2 146 - 63</t>
  </si>
  <si>
    <t>Realizar visitas a Establecimientos Farmacéuticos de acuerdo a los productos notificados por el Programa delegaciones INVIMA  en los 12 municipios del Departamento del Quindío.</t>
  </si>
  <si>
    <t>Análisis y seguimiento  al  comportamiento del evento de intoxicaciones por sustancias químicas  (Intoxicación por Fármacos)  de los casos notificadas al SIVIGILA  por las Unidades Notificadoras Municipal.</t>
  </si>
  <si>
    <t xml:space="preserve">Realizar educación en salud a través de las visitas domiciliarias PIC, en el manejo y uso adecuado de medicamentos en casa.  </t>
  </si>
  <si>
    <t xml:space="preserve">Publicar en la página de la gobernación un boletín con temas farmacéuticos, que  muestre la situación actual,  las intervenciones desarrolladas y las recomendaciones para la comunidad en general.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</si>
  <si>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</si>
  <si>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</si>
  <si>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 xml:space="preserve">
1803 - 5 - 3 1 3 12 44 2 148 - 61
1803 - 5 - 3 1 3 12 44 2 148 - 98
</t>
  </si>
  <si>
    <t>201663000-0148</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</si>
  <si>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</si>
  <si>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</si>
  <si>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</si>
  <si>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Realizar capacitaciones en el reconocimiento de la familia como un determinante del desarrollo infantil, reflejado  en el planteamiento y desarrollo de estrategias para promover  el cuidado y afecto familiar en el departamento del Quindío.</t>
  </si>
  <si>
    <t>SGP Salud Pública
Superávit  - SGP Salud Pública</t>
  </si>
  <si>
    <t>Sensibilización  Prevención sobre el delito de trata de personas en los  municipios del Departamento,</t>
  </si>
  <si>
    <t>Realizar actividades de intercambio intergeneracional promiviendo el envejecimeinto activo en los 11 Municipios del Departamento (2 escuelas, e colegios Vs CBA)</t>
  </si>
  <si>
    <t>Brindar capacitacion  a la poblacion indigena en seguridad alimentaria, eliminacion de barreras en Salud.</t>
  </si>
  <si>
    <t>Capacitar a EPS IPS en la gararantia de la adecuacion de los servicios  de salud con perspectiva de genero, con atencion humanizada y de calidad de acuerdo cpn las diferentes necesidades de hombre mujeres según edad, pertenencia etnica, discapacidad orientacion sexual e identidad de genero y de acuerdo a los diferentes factores q generen o aumenten la vulnerabilidad.</t>
  </si>
  <si>
    <t>Brindar capacitaciones en Deberes y Derechos en Salud a las poblaciones vulnerables personas mayores, afrocolombianos, niños niñas y adolescentes, victimas del conflicto, poblacion LGTBI, poblacion en proceso de reinsercion, indigenas, personas con discapacidad, habitante de calle.</t>
  </si>
  <si>
    <t>Implementar el  Programa de atención psicosocial y salud integral a víctimas del conflicto armado.</t>
  </si>
  <si>
    <t xml:space="preserve">Implementar programas de participación social que garanticen los derechos de los grupos vulnerables </t>
  </si>
  <si>
    <t>Realizar jornadas de oferta institucional en el punto de atención UAO Miraflores, para identificar y eliminar barreras de acceso en la prestación de servicios de salud de la población víctima.</t>
  </si>
  <si>
    <t>Realizar Asistencia técnica a los prestadores de salud e instituciones del Sistema Nacional de Atención y Reparación Integral a las Víctimas del conflicto armado (art 52 ley 1448/2011 ), para la promoción  y difusión de la ruta del Programa de Atención psicosocial y Salud Integral a víctimas del Conflicto Armado PAPSIVI .</t>
  </si>
  <si>
    <t>Realizar Asistencia al  Programa de Atención Psicosocial y Salud Integral a Víctimas PAPSIVI en los municipios objeto de atencion</t>
  </si>
  <si>
    <t>Realizar el cargue trimestral de la información sobre la atención psicosocial a las Victimas en el aplicativo del PAPSIVI.</t>
  </si>
  <si>
    <t>Activar la funcionalidad del Comité de Víctimas creado al interior de la Secretaria de Salud Departamental con una periodicidad bimensual para garantizar sus derechos y deberes en salud</t>
  </si>
  <si>
    <t>Hacer seguimiento a las acciones de salud desarrolladas desde los PLS para las Victimas del desplazamiento cobijadas por los Autos 092, 251, 004, 005, 006</t>
  </si>
  <si>
    <t>Realizar capacitaciones en deberes y derechos en salud a la ´poblacion Victima con enfoque diferencial.</t>
  </si>
  <si>
    <t>Apoyar el establecimiento  y coordinación  de  redes integradas  de servicios de información en  salud (acceso del sector salud a VIVANTO).</t>
  </si>
  <si>
    <t>Fortalecimiento de  la estrategia AIEPI en los 12 municipios del Departamento</t>
  </si>
  <si>
    <t>Consolidar los programas de atención a la primera infancia</t>
  </si>
  <si>
    <t>Realizar asistencia técnica, seguimiento, vigilancia y control del Programa Ampliado de Inmunizaciones en  los 12  Municipios  del departamento, con el fin de lograr coberturas útiles (95%).</t>
  </si>
  <si>
    <t>Realizar asistencia técnica, seguimiento, vigilancia y control del Programa de Prevención, Diágnostico, Manejo y Control de la Infección Respiratoria Aguda en los 12 municipios del departamento.</t>
  </si>
  <si>
    <t>Realizar articulacion con las EAPB, IPS y Planes Locales de Salud mediante mesas de trabajo para garantizar las intervenciones en salud de la Población Infantil del Departamento.</t>
  </si>
  <si>
    <t>Realizar asistencia técnica, seguimiento, vigilancia y control de la Estrategia de Atención a Enfermedades Prevalentes de La Infancia-AIEPI en  los 12  Municipios  del departamento.</t>
  </si>
  <si>
    <t>Realizar asistencia técnica, seguimiento, vigilancia y control de la Estrategia de Desparasitación Antihelmíntica Masiva en  los 12  Municipios  del departamento.</t>
  </si>
  <si>
    <t>Realizar la implementación de la Ruta de Promoción y Mantenimiento de la Salud  para el curso de vida de Primera Infancia en el departamento.</t>
  </si>
  <si>
    <t>Fortalecer en los doce (12) municipios del departamento los  comités municipales de discapacidad</t>
  </si>
  <si>
    <t>Fortalecer atención integral a poblaciones vulnerables</t>
  </si>
  <si>
    <t>Brindar capacitación en registro de localización y caracterización de personas con discapacidad en los 12 municipios.</t>
  </si>
  <si>
    <t>Brindar apoyo en el monitoreo de las metas del registro de localización y caracterización de personas con discapacidad en los 12 municipios.</t>
  </si>
  <si>
    <t>Realizar seguimiento a las EAPB para el cumplimiento de la Circular 016 del 2014 (exención de copagos y cuotas moderadoras) y la Circular 010 del 2015 (atención integral de salud para personas con discapacidad), resolucion 1904 (salud sexual y reproductiva PcD).</t>
  </si>
  <si>
    <t>Realizar jornadas de capacitación en normatividad vigente en torno a la población con discapacidad.</t>
  </si>
  <si>
    <t>realizar seguimiento  La EAPB, para la implementacion y cumplimiento de la Resolucion 583 de 2018, certificacion de Discapacidad</t>
  </si>
  <si>
    <t>Fortalecimiento de liderres comunitarios en la estrategia de Rehabilitacion Basada en la Comunidad en los municipios del Departamento del Quindio</t>
  </si>
  <si>
    <t xml:space="preserve">brindar asistencia tecnica para el fortalecimiento de los comites municipales de Discapacidad, dirigida  a los enlaces de discapacidad de los 12 municipios del Departamento. </t>
  </si>
  <si>
    <t>Realizar visitas de asistencia, seguimiento y verificación de acceso, accesibilidad, red de servicios contratada, referencia y contrareferencia en la prestación de servicios de salud a las personas con discapacidad en la EAPB.</t>
  </si>
  <si>
    <t>Plan de intervenciones colectivas en el modelo de APS</t>
  </si>
  <si>
    <t>Evaluar en  once (11)   empresas sociales del estado (ESE)  Municipales la implementación del Plan de intervenciones colectivas (PIC).</t>
  </si>
  <si>
    <t xml:space="preserve">1803 - 5 - 3 1 3 12 45 2 150 - 61
1803 - 5 - 3 1 3 12 45 2 150 - 98_x000D_
</t>
  </si>
  <si>
    <t>201663000-0150</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</si>
  <si>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</si>
  <si>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</si>
  <si>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</si>
  <si>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</si>
  <si>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</si>
  <si>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Ejecutar las acciones de la estrategia COMBI en municipios hiperendémicos para enfermedades vectoriales</t>
  </si>
  <si>
    <t xml:space="preserve">Realizar acciones, intervenciones y procedimientos colectivos </t>
  </si>
  <si>
    <t>Auditoria a 8  planes de mejoramiento instaurados con la red pública ejecutora del Plan de Intervenciones Colectivas.</t>
  </si>
  <si>
    <t>Planes de mejoramiento instaurados  de Intervenciones Colectivas.</t>
  </si>
  <si>
    <t>Realizar auditoria a los planes de mejoramiento de intervenciones colectivas</t>
  </si>
  <si>
    <t>Vigilancia en salud publica y del laboratorio departamental.</t>
  </si>
  <si>
    <t xml:space="preserve">Realizar  la vigilancia sanitaria a 300 establecimientos de consumo (Aguas, Alimentos y Bebidas Alcohólicas) </t>
  </si>
  <si>
    <t>1803 - 5 - 3 1 3 12 46 2 151 - 61
0318 - 5 - 3 1 3 12 46 2 151 - 20
1803 - 5 - 3 1 3 12 46 2 151 - 96
0318 - 5 - 3 1 3 12 46 2 151 - 88
0318 - 5 - 3 1 3 12 46 2 151 - 98</t>
  </si>
  <si>
    <t>201663000-0151</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</si>
  <si>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</si>
  <si>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</si>
  <si>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</si>
  <si>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</si>
  <si>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Fondo Local de Salud - SGP
Superávit Recurso Ordinario
Recurso ordinario 
Superávit SGP Salud Pública
Superavit Rentas Cedidas</t>
  </si>
  <si>
    <t>61
88
20
20
96</t>
  </si>
  <si>
    <t>Compra de equipos de laboratorio</t>
  </si>
  <si>
    <t xml:space="preserve">Optimizar los procesos contractuales desde el LSP y  la DTS
</t>
  </si>
  <si>
    <t>Realizar análisis de muestras de alimentos, aguas, bebidas alcoholicas  que llegan al laboratorio en cumplimiento de la programacion y las muestras para ETAS Y  vigilancia que lleguen al laboratorio</t>
  </si>
  <si>
    <t>Realizar análisis de muestras    para la vigilancia de enfermedades de interés en salud publica enviados por los laboratorios de la red.</t>
  </si>
  <si>
    <t>Realizar evaluacion externa indirecta de citologias de cuello uterino a los laboratorios de la red</t>
  </si>
  <si>
    <t>Ejecutar el sistema de gestion de calidad y aseguramiento de metrologia en el laboratorio de salud publica.</t>
  </si>
  <si>
    <t>Adecuar infraestructura que de cumplimiento para el buen  funcionamiento del LSP</t>
  </si>
  <si>
    <t xml:space="preserve">Realizar el mantenimiento preventivo y correctivo de los equipos de laboratorio.  </t>
  </si>
  <si>
    <t>crear diez (10) y fortalecer noventa (90) Comités de Vigilancia 
Epidemiológica  Comunitaria 
(COVECOM) municipales.</t>
  </si>
  <si>
    <t>1803 - 5 - 3 1 3 12 46 2 152 - 61
1803 - 5 - 3 1 3 12 46 2 152 - 98</t>
  </si>
  <si>
    <t>201663000-0152</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</si>
  <si>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</si>
  <si>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</si>
  <si>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</si>
  <si>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Actualizar el mapa social por cada uno de los COVECOM para la priorización de la gestión interinstitucional.</t>
  </si>
  <si>
    <t>SGP Salud Pública
Superávit SGP Salud Pública</t>
  </si>
  <si>
    <t>Activar y Mantener 100 COVECOM en 11  municipios del Departamento.</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</si>
  <si>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</si>
  <si>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11 municipios del Departamento del Quindío.</t>
  </si>
  <si>
    <t>Sostener 83 Unidades Primarias Generadoras de Datos (UPGD) que integran el sistema de Vigilancia en Salud Publica</t>
  </si>
  <si>
    <t xml:space="preserve">Fortalecer  la capacidad instalada en los niveles institucionales y municipales frente al desarrollo de los procesos de Vigilancia en Salud Pública </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</si>
  <si>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</si>
  <si>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</si>
  <si>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</si>
  <si>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</si>
  <si>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Realizar seguimiento al proceso de gestión del riesgo individual, frente a las acciones de protección específica y detección temprana desde el reporte del anexo técnico de la resolución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</si>
  <si>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</si>
  <si>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</si>
  <si>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</si>
  <si>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0318 - 5 - 3 1 3 13 47 2 153 - 20</t>
  </si>
  <si>
    <t>201663000-0153</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</si>
  <si>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</si>
  <si>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</si>
  <si>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</si>
  <si>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Seguimiento a la identificacion de la poblacion atendida de las IPS publicas para la afiliacion del sistema general SGSS</t>
  </si>
  <si>
    <t>Recurso Oridnario</t>
  </si>
  <si>
    <t>20
154
148
96</t>
  </si>
  <si>
    <t>Hector Mario Taborda Gallego</t>
  </si>
  <si>
    <t>Orientar e inducir a la poblacion no sisbenizada atendida por las IPS, en ferias de afiliaciones y busquedas activas para realizar la afiliacion al SGSS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</si>
  <si>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</si>
  <si>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</si>
  <si>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1801 - 5 - 3 1 3 13 48 2 153 - 154</t>
  </si>
  <si>
    <t xml:space="preserve"> Gestionar  recursos para cofinanciación de la afialicon  mpo y lugares de afiliación
</t>
  </si>
  <si>
    <t>Gestión de recursos para cofinanciación de la afiliación a los municipios y lugares de afiliación</t>
  </si>
  <si>
    <t>ADRES S.S.F.
REC. TRANSFERIDOS COLJUEGOS -SSF</t>
  </si>
  <si>
    <t>RENDIMIENTOS FINANCIEROS - ADRES S.S.F.</t>
  </si>
  <si>
    <t>Superávit Decreto 1684/2017 Ingreso Adicional Cigarrillo</t>
  </si>
  <si>
    <t>Asistencia técnica  a los actores del sistema en el proceso de aseguramiento de la población</t>
  </si>
  <si>
    <t>Brindar asistencia técnica a 12 Municipios del departamento,  en los procesos del régimen subsidiado</t>
  </si>
  <si>
    <t>0318 - 5 - 3 1 3 13 49 2 153 - 20
1804 - 5 - 3 1 3 13 49 2 153 - 96</t>
  </si>
  <si>
    <t xml:space="preserve"> Aumentar la asistencia técnica a 12 Municipios del departamento,  en los procesos del régimen subsidiado</t>
  </si>
  <si>
    <t>Realizar auditorias a los procesos de regimen subsidiado en los 12 municipios, de acuerdo a lo establecido en la Circular 006 de 2011.</t>
  </si>
  <si>
    <t>Superávit Rentas Cedidas</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</si>
  <si>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</si>
  <si>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</si>
  <si>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</si>
  <si>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</si>
  <si>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 xml:space="preserve">1802 - 5 - 3 1 3 14 50 2 154 - 60
1802 - 5 - 3 1 3 14 50 2 154 - 110
1802 - 5 - 3 1 3 14 50 2 154 - 58
1802 - 5 - 3 1 3 14 50 2 154 - 59 
1804 - 5 - 3 1 3 14 50 2 154 - 162
1802 - 5 - 3 1 3 14 50 2 154 - 96
1802 - 5 - 3 1 3 14 50 2 154 - 97
1802 - 5 - 3 1 3 14 50 2 154 - 65
1802 - 5 - 3 1 3 14 50 2 154 - 156
1802 - 5 - 3 1 3 14 50 2 154 - 102
1802 - 5 - 3 1 3 14 50 2 154 - 148
1802 - 5 - 3 1 3 14 50 2 154 - 152_x000D_
_x000D_
 _x000D_
_x000D_
_x000D_
_x000D_
_x000D_
</t>
  </si>
  <si>
    <t>201663000-0154</t>
  </si>
  <si>
    <t>Prestación de Servicios a la Población no Afiliada al Sistema General de Seguridad Social en Salud  y en los no POS  a la Población Afiliada al Régimen Subsidiado.</t>
  </si>
  <si>
    <t>Garantizar la atención en salud a la población pobre no asegurada y/o víctima del conflicto armado en un rango de afiliación 51.57 según Resolución 3778 de 2011. en  e l departamento del Quindío</t>
  </si>
  <si>
    <t>Mejorar  los procesos de vigilancia y control para el acceso de los afiliados a la red de servicios de salud.</t>
  </si>
  <si>
    <t>Apoyo a los procesos de inspección, vigilancia y control en el acceso de los afiliados  a la red de servicios de salud.</t>
  </si>
  <si>
    <t>110
58
59
60
96
97
65
156
102
148
152
162</t>
  </si>
  <si>
    <t>Mantener la contratación con la red pública y privada (15)  para la atención de la población no afiliada.</t>
  </si>
  <si>
    <t xml:space="preserve">Fortalecer la contratación para la atención de la población no afiliada </t>
  </si>
  <si>
    <t xml:space="preserve">Fortalecer la contratacion para la atencion de la poblacion pobre no asegurada y los servicios no incluidos en el Plan de beneficios de la poblacion afiliada a la regimen subsidiado. </t>
  </si>
  <si>
    <t>Resoluciones  971/2016, 5864/2018, 493/2019, MINISTERIOVCPROGRAMA INIMPUTABLES</t>
  </si>
  <si>
    <t>RENTAS CEDIDAS - SALUD</t>
  </si>
  <si>
    <t>RENDIMIENTOS FINANCIEROS - RENTAS CEDIDAS - SALUD</t>
  </si>
  <si>
    <t>SGP SALUD PRESTACIÓN SERVICIOS C S F</t>
  </si>
  <si>
    <t>SGP SALUD APORTES PATRONALES SS  F</t>
  </si>
  <si>
    <t>SUPERÁVIT RENTAS CEDIDAS</t>
  </si>
  <si>
    <t>SUPERAVIT SALUD PRESTACIÓN DE SERVICIOS SGP</t>
  </si>
  <si>
    <t>SUPERÁVIT REND. FROS COFINANCIACION NAL</t>
  </si>
  <si>
    <t>SUPERAVIT RESOL. 997/2018 PROG. INIMPUTABLES</t>
  </si>
  <si>
    <t>SUPERAVIT COFINANCIACIÓN NAL RES. 3876/12 DESPLAZADOS</t>
  </si>
  <si>
    <t>SUPERAVIT DEC. 1684/2017 INGRESO ADICIONAL CIGARRILLO</t>
  </si>
  <si>
    <t>SUPERAVIT EXCEDENTES APROTES PATRONALES  ESE DEPTO</t>
  </si>
  <si>
    <t>SUPERAVIT RESOL. VIGENCIAS ANTERIORES</t>
  </si>
  <si>
    <t>Realizar asistencia técnica en la construcción y ejecución del plan bienal de inversiones, a catorce (14) Empresas sociales del estado (ESE) del departamento.</t>
  </si>
  <si>
    <t>Fortalecier la construcción del Plan Bienal en las 14 Empresas sociales del estado (ESE)del departamento.</t>
  </si>
  <si>
    <t>Asistencia tecnica a las ESE del departamento en la formulacion, gestion y manejo de la plataforma para proyectos de infraestructura y dotacion.</t>
  </si>
  <si>
    <t>Realizar sesiones del  cosejo territoriales de salud para obtener aval de proyectos de infraestructura y dotacion hospitalaria.</t>
  </si>
  <si>
    <t>Fortalecimiento de la  gestión de la entidad territorial municipal</t>
  </si>
  <si>
    <t>Realizar asistencia Técnica  en los 12 municipios, en la capacidad de gestión en salud</t>
  </si>
  <si>
    <t>0318 - 5 - 3 1 3 14 51 2 155 - 20</t>
  </si>
  <si>
    <t>201663000-0155</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</si>
  <si>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</si>
  <si>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</si>
  <si>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t>
  </si>
  <si>
    <t xml:space="preserve">verificar el cumplimiento de oportunidad en el reporte de informacion financiera mediante la circular unica </t>
  </si>
  <si>
    <t>Capacitar en los procesos de gestion tecnica en salud.</t>
  </si>
  <si>
    <t>realizar procesos de verificación a los 12 municipios y sus respectivas E.S.E del departamento en los reportes de gestión financiera.</t>
  </si>
  <si>
    <t>realizar apoyo y seguimiento en la gestion financiera a los fondos locales de salud y al procesos de aportes patronales de las ESE del departamento.</t>
  </si>
  <si>
    <t>Garantizar red de servicios en eventos de emergencias</t>
  </si>
  <si>
    <t xml:space="preserve">Ajustar los 14 planes de emergencia de las instituciones prestadoras de salud de todo el Departamento.  </t>
  </si>
  <si>
    <t>0318 - 5 - 3 1 3 14 52 2 156 - 20</t>
  </si>
  <si>
    <t>201663000-0156</t>
  </si>
  <si>
    <t>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</si>
  <si>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</si>
  <si>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 Fortalecer el compromiso y conocimiento de la norma  para la preparacion en casos de emergencias parte de las ESES del Departametno y los entes desentralizados</t>
  </si>
  <si>
    <t>Apoyo en el proceso de simulacros de atencion a emergencias en la red publica</t>
  </si>
  <si>
    <t>Realizar procesos de atención en emergencias de la red publica.</t>
  </si>
  <si>
    <t>Fortalecer el sistema de alarma de emergencias y perifoneo de los hospitales públicos.</t>
  </si>
  <si>
    <t>Ajustar un (1) Plan de Emergencias en Salud Departamental.</t>
  </si>
  <si>
    <t xml:space="preserve">Articular  la red hospitalaria del Departamento
</t>
  </si>
  <si>
    <t>Desarrollar el plan de emergencias de salud departamental</t>
  </si>
  <si>
    <t xml:space="preserve">Realizar mantenimiento de los equipos de telecomunicación </t>
  </si>
  <si>
    <t>Atender en los 12 municipios  del departamento, los eventos de emergencia y urgencias, y el sistema de referencia y contra referencia  de la población  no afiliada.</t>
  </si>
  <si>
    <t>1802 - 5 - 3 1 3 14 52 2 157 - 20
1804 - 5 - 3 1 3 14 52 2 157 - 96
0318 - 5 - 3 1 3 14 52 2 157 - 88</t>
  </si>
  <si>
    <t>201663000-0157</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</si>
  <si>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</si>
  <si>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</si>
  <si>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</si>
  <si>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Regular y coordinar la prestación de servicios de urgencias y emergencias en salud en el departamento.</t>
  </si>
  <si>
    <t>20
96
88</t>
  </si>
  <si>
    <t>SUPERAVIT RENTAS CEDIDAS</t>
  </si>
  <si>
    <t>Realizar asistencia técnica a los prestadores de servicios de salud.</t>
  </si>
  <si>
    <t>Mantenimiento y adquisición de equipos de tecnología, equipos de computo  y telecomunicaciones y mobiliario para el funcionamiento del CRUE.</t>
  </si>
  <si>
    <t xml:space="preserve">Superavit ordinario </t>
  </si>
  <si>
    <t>Garantizar continuidad del funcionamiento del CRUE - SEM</t>
  </si>
  <si>
    <t xml:space="preserve">Capacitar a la comunidad y primer respondiente acorde con los riesgos identificados en el territorio durante el mes.   </t>
  </si>
  <si>
    <t>Estandarizar e implementar  los formatos de reporte entre los actores involucrados</t>
  </si>
  <si>
    <t>Reporte de información en tiempo real sobre la capacidad resolutiva del servicio en salud.</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</si>
  <si>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</si>
  <si>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</si>
  <si>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0318 - 5 - 3 1 3 14 53 2 158 - 20
1804 - 5 - 3 1 3 14 53 2 158 - 96</t>
  </si>
  <si>
    <t>201663000-0158</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</si>
  <si>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</si>
  <si>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</si>
  <si>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</si>
  <si>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Evaluación del PAMEC en su condición de compradores de servicios de salud para población pobre no afiliada, mediante  auditoría externa a los prestadores.</t>
  </si>
  <si>
    <t>20
96</t>
  </si>
  <si>
    <t xml:space="preserve">Realizar inspección y vigilancia al cumplimiento de los contenidos del PAMEC de los municipios certificados de su jurisdicción.                                                                                </t>
  </si>
  <si>
    <t xml:space="preserve">Enviar anualmente a la superintendencia nacional de salud, un informe de seguimiento a la evaluación de los PAMEC de los municipios de competencia departamental. </t>
  </si>
  <si>
    <t xml:space="preserve">Asegurar la totalidad de los estandares establecidos en el sistema de habilitacion 
</t>
  </si>
  <si>
    <t xml:space="preserve">Realizar un plan de asistencia técnica para el seguimiento y monitoreo del PAMEC en la IPS y EAPBS públicas del Departamento. </t>
  </si>
  <si>
    <t xml:space="preserve">Garantizar eficiencia en el establecimiento de los indicadores de seguimiento a riesgo 
</t>
  </si>
  <si>
    <t>Seguimiento y evaluación al cumplimiento de los planes de mejoramiento y estandarización de procesos  de habilitación de las EAPB.</t>
  </si>
  <si>
    <t>Evaluar la calidad del dato y el análisis  de los indicadores de calidad remitidos al Ministerio de Salud y de la circular externa 012 de 2016 (Superintendencia Nacional de Salud), en todas las  ESES, EPS e IPS del departamento.</t>
  </si>
  <si>
    <t>Realizar capacitación del recurso humano de las ESES, IPS y EPS Tema del PAMEC, indicadores de calidad y circular 012 de 2016</t>
  </si>
  <si>
    <t>Realizar visitas de verificación de los requisitos de habilitación a 150 prestadores de servicios de salud.</t>
  </si>
  <si>
    <t>Cumplimiento de los prestadores de salud en los requisitos de habilitación</t>
  </si>
  <si>
    <t>Verificación de los requisitos de habilitación</t>
  </si>
  <si>
    <t>Fortalecimiento financiero de la red de servicios publica</t>
  </si>
  <si>
    <t>Evaluar semestralmente los indicadores de monitoreo del sistema de catorce (14) ESE´s del nivel I, II y III</t>
  </si>
  <si>
    <t>0318 - 5 - 3 1 3 14 54 2 159 - 20
0318 - 5 - 3 1 3 14 54 2 159 - 88</t>
  </si>
  <si>
    <t>201663000-0159</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</si>
  <si>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</si>
  <si>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</si>
  <si>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</si>
  <si>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financiero de las IPS publicas</t>
  </si>
  <si>
    <t>20
88</t>
  </si>
  <si>
    <t>realizar gestion de cartera deacuerdo con lo estipulado en la circular conjunta 030 del 2013</t>
  </si>
  <si>
    <t xml:space="preserve">Dar apoyo a las ESE del departamento para garantizar la continuidad en la prestacion de servicios de slaud </t>
  </si>
  <si>
    <t>Apoyar 2 programas  de saneamiento fiscal y financiero a las IPS categorizadas en riesgo por el Ministerio de Salud</t>
  </si>
  <si>
    <t xml:space="preserve">Realizar los  procesos adecuados para la auditoria en el flujo de recursos de las IPS 
</t>
  </si>
  <si>
    <t>Seguimiento a los programas de saneamiento fiscal y financiero.</t>
  </si>
  <si>
    <t>Gestión Posible</t>
  </si>
  <si>
    <t>Apoyo y Fortalecimiento Institucional</t>
  </si>
  <si>
    <t>Evaluar los municipios de Armenia y Calarcá que se encuentran  certificados en salud</t>
  </si>
  <si>
    <t>1804 - 5 - 3 1 3 15 55 2 160 - 72
0318 - 5 - 3 1 3 15 55 2 160 - 20</t>
  </si>
  <si>
    <t>201663000-0160</t>
  </si>
  <si>
    <t>Apoyo Operativo a la inversión social en salud en el Departamento del Quindio</t>
  </si>
  <si>
    <t xml:space="preserve">Incrementar el porcentaje de apoyo de la dirección estratégica en los procesos administrativos y misionales de la secretaria de salud
</t>
  </si>
  <si>
    <t>Evaluar los municipios certificados en salud</t>
  </si>
  <si>
    <t xml:space="preserve">realizar visitas para evaluacion de la capacidad de gestion y renovacion de la certificacion como municipios desentralizados en salud  </t>
  </si>
  <si>
    <t>Cecilia Ines Jaramillo Patiño</t>
  </si>
  <si>
    <t>apoyar y gestionar  3 procesos administrativos y misionales por parte de la Dirección estratégica.</t>
  </si>
  <si>
    <t>Fortaleza en la planificacion, seguimiento y evaluacion de objetivos de S.D.S</t>
  </si>
  <si>
    <t>Realizar actividades de planeacion para la S.D.S aplicando los lineamientos normativos vigentes</t>
  </si>
  <si>
    <t>Rentas cedidas subcuenta otros gastos en salud</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</si>
  <si>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</si>
  <si>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</si>
  <si>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</si>
  <si>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</si>
  <si>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</si>
  <si>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Verificación, seguimiento y control trimestral a la ejecución presupuestal de los recursos del Sector Salud</t>
  </si>
  <si>
    <t>control trimestral a la ejecución presupuestal de los recursos del Sector Salud</t>
  </si>
  <si>
    <t>Verificación a la ejecución presupuestal de los recursos del Sector Salud</t>
  </si>
  <si>
    <t>Cesar Augusto Rincón Zuluaga</t>
  </si>
  <si>
    <t>Secretario de Salud</t>
  </si>
  <si>
    <t>Desarrollar acciones articuladas intersectorialmente en los doce (12) municipios del departamento, con enfoque de derechos en colectivos LGTBI, jóvenes, mujeres gestantes adolescentes.</t>
  </si>
  <si>
    <t>SEGUIMIENTO PLAN DE ACCIÓN 
SECRETARIA DE FAMILIA
III TRIMESTRE  2019</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</si>
  <si>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</si>
  <si>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</si>
  <si>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</si>
  <si>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</si>
  <si>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201663000-0102</t>
  </si>
  <si>
    <t>Implementación de un modelo de atenciòn integral a niños y niñas en entornos protectores en el Departamento del Quindìo</t>
  </si>
  <si>
    <t>Atención integral a los niños, niñas de primera infancia desde la gestación hasta los 4 años y 11 meses con un modelo integral y diferencial, que permita mejorar sus condiciones de vida.</t>
  </si>
  <si>
    <t xml:space="preserve">Incrementar los indices de apoyo y acompañamiento en el desarrollo infantil en  ambientes familiares y grupales,  alimentación adecuada y seguimiento al desarrollo.
</t>
  </si>
  <si>
    <t>Implementar un programa de atencion integral a menores de 5 años y madres gestantes en entornos familiares</t>
  </si>
  <si>
    <t xml:space="preserve">20
</t>
  </si>
  <si>
    <t>JEFE DE FAMILIA</t>
  </si>
  <si>
    <t xml:space="preserve">
 SECRETARIA DE FAMILIA</t>
  </si>
  <si>
    <t>Realizar talleres de sensibilización en entorno Institucional a la primera infancia</t>
  </si>
  <si>
    <t>Apoyo en la realizacion de actividades y seguimiento del modelo intersectorial de atencion integral a los municipios del departamento</t>
  </si>
  <si>
    <t>Realizar seguimiento a las acciones que garanticen la atencion integral a la primera infancia</t>
  </si>
  <si>
    <t>Apoyar la creación y/o implementación de Rutas integrales de Atención a la primera infancia.</t>
  </si>
  <si>
    <t>Numero de rutas integrales de atención  a al a primera infancia implementadas y/o creadas</t>
  </si>
  <si>
    <t>Mejorar el acompañamiento en el desarrollo gestacional y  complemento nutricional, pautas de crianza y desarrollo infantil</t>
  </si>
  <si>
    <t>Seguimiento a las 6 rutas implementadas en los municipios priorizados por la nación (Armenia, Buenavista, Circasia, Pijao, Quimbaya y La Tebaida)</t>
  </si>
  <si>
    <t>Prestar asistencia técnica en el proceso de documentación para la creación de las rutas integrales de atención en los municipios de Cordoba, Salento, Montenegro, Genova, Calarcá y Filandia.</t>
  </si>
  <si>
    <t xml:space="preserve">Apoyar la socialización de las rutas integrales de atención, en marco de los comites y consejos que así lo requieran, del orden Departamental y municipal. </t>
  </si>
  <si>
    <t>Apoyo en el seguimiento de la Implemantación de la ruta integral de  atención departamental.</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</si>
  <si>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</si>
  <si>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</si>
  <si>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</si>
  <si>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</si>
  <si>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</si>
  <si>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201663000-0103</t>
  </si>
  <si>
    <t xml:space="preserve"> Formulación e implementación de  la politica pública  de la familia en el departamento del Quindio</t>
  </si>
  <si>
    <t>Implementar la política pública que garantice los derechos de las familias del departamento del Quindío.</t>
  </si>
  <si>
    <t>Aumentar espacios de atención, formación y reflexión, orientados al fortalecimiento de los entornos familiares, sociales y educativos.</t>
  </si>
  <si>
    <t>Apoyar con el seguimiento,  monitoreo y evaluación de la política publica de familia</t>
  </si>
  <si>
    <t>Desarrollar estrategias, programas y/o proyectos que promuevan la garantía de derechos de las familias del departamento y fomenten la prevención de riesgo, a través de mejorar las conductas al interior de las mismas</t>
  </si>
  <si>
    <t>Apoyo  al  seguimiento de  la  ejecución presupuestal  de los recursos destinados   a la  política pública de familia</t>
  </si>
  <si>
    <t>Apoyo y acompañamiento jurídico en el marco de la implementación de la política publica de familia</t>
  </si>
  <si>
    <t>Realizar acciones tendientes a la implementación de la política publica de familia</t>
  </si>
  <si>
    <t xml:space="preserve">Alto grado de tolerancia ante la diversidad de pensamientos y comportamientos al interior de las familias </t>
  </si>
  <si>
    <t xml:space="preserve">Campañas, publicidad y promocion </t>
  </si>
  <si>
    <t>Refrigerios, logistica y sonido</t>
  </si>
  <si>
    <t xml:space="preserve">Quindío departamento de derechos  de niñas, niños y adolescentes </t>
  </si>
  <si>
    <t>Implementar la política pública de primera infancia, infancia y adolescencia</t>
  </si>
  <si>
    <t>Política publica de primera infancia, infancia y adolescencia implementada</t>
  </si>
  <si>
    <t>0316 - 5 - 3 1 3 17 59 14 109 - 20</t>
  </si>
  <si>
    <t>201663000-0109</t>
  </si>
  <si>
    <t>Implementación de la  política de primera infancia, infancia y adolescencia en el Departamento del Quindio</t>
  </si>
  <si>
    <t xml:space="preserve">Implementar la política pública que garantice los derechos de los niños, niñas y adolescentes del depto del Quindío. </t>
  </si>
  <si>
    <t>Eficiencia en la articulacion Interinstitucional que garantice un seguimiento efectivo del cumplimiento dfel plan de accion de la politica publica de infancia y adolescencia</t>
  </si>
  <si>
    <t>Apoyar con el seguimiento al Plan de Acción de la Politica Publica  de primera infancia, infancia y adolescencia del departamento</t>
  </si>
  <si>
    <t>Apoyo al Comite de  Primera Infancia, Infancia y Adolescencia y al Consejo de Politica Social</t>
  </si>
  <si>
    <t>Apoyo a programas que conlleven a la  implementación de la Politica publica de primera infancia, infancia y adolescencia en el Departamento del Quindio</t>
  </si>
  <si>
    <t>Apoyo en la revisión juridica en los temas relacionados con la implementacion de la politica publica de primera infancia, infancia y adolescencia del departamento</t>
  </si>
  <si>
    <t>Brindar asistencia tecnica a los municipios del departamento, que así lo requieran en temas relacionados con el seguimiento e implementación de la politica publica de primera infancia, infancia y adolescencia del departamento</t>
  </si>
  <si>
    <t>Promover prácticas deportivas, recreativas, lúdicas y culturales, como generadora y potenciadora en el desarrollo integral de los niños, niñas y adolescentes vulnerables del departamento del Quindío.</t>
  </si>
  <si>
    <t>Logistica operativa, sonido, refrigerios.</t>
  </si>
  <si>
    <t>Implementar  una estrategia de prevención y atención de embarazos y segundos embarazos a temprana edad.</t>
  </si>
  <si>
    <t>Estrategia de prevención  y atención de embarazos a temprana edad implementada</t>
  </si>
  <si>
    <t xml:space="preserve">Disminuir los factores de vulneracion de los derechos de niños, niñas y adolescentes (maltrato, abuso,abandono, explotación sexual) </t>
  </si>
  <si>
    <t xml:space="preserve">Apoyar la Implementación de una estrategia de prevencion de embarazos y segundos embarazos a temprana edad
</t>
  </si>
  <si>
    <t>Realizar jornadas pedagogicas de prevencion en las Instituciones educativas del depto</t>
  </si>
  <si>
    <t>Apoyar la articulación intersectorial, a través de mesas de trabajo en pro de la prevencion de los embarazos en adolescentes y segundos embarazos a temprana edad.</t>
  </si>
  <si>
    <r>
      <t>Implemen</t>
    </r>
    <r>
      <rPr>
        <sz val="11"/>
        <rFont val="Arial"/>
        <family val="2"/>
      </rPr>
      <t xml:space="preserve">tar una  </t>
    </r>
    <r>
      <rPr>
        <sz val="11"/>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</si>
  <si>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</si>
  <si>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t>Formular estrategias de prevencion de y atención en la erradicacion del abuso, explotación sexual, comercial, actividdades delecitivas</t>
  </si>
  <si>
    <t>Apoyar la implementación de una  estrategia  de prevención y atención de la erradicación del abuso, explotación sexual comercial, trabajo infantil y peores formas de trabajo, y actividades delictivas</t>
  </si>
  <si>
    <t>Apoyar la implementación del Plan integral de prevención y erradicación del trabajo infantil "PIPETI", las peores formas de trabajo y apoyar al CIETI</t>
  </si>
  <si>
    <t>Brindar asistencia tecnica y Apoyo a las la difernetes iniciativas  en los doce municipios orientados a la prevención de la vulneracion de los derechos de los niños, niñas y adolescentes</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</si>
  <si>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</si>
  <si>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</si>
  <si>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</si>
  <si>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</si>
  <si>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201663000-0110</t>
  </si>
  <si>
    <t>Desarrollar  acciones encaminadas a la atención integral  de los adolescentes y jóvenes del Departamento del Quindio</t>
  </si>
  <si>
    <t>Desarrollar procesos efectivos de atención, generación de impacto, oferta pública y garantía de derechos.</t>
  </si>
  <si>
    <t xml:space="preserve">Alta articulación entre los entes gubernamentales y privados para realizar el seguimiento de la matriz de planificación de la política publica de juventud del depto
</t>
  </si>
  <si>
    <t xml:space="preserve">Apoyo y seguimiento a los indicadores de cumplimiento del plan de accion de la politica publica de juventud </t>
  </si>
  <si>
    <t>ORDINARIO (20)</t>
  </si>
  <si>
    <t>JEFE DE JUVENTUD</t>
  </si>
  <si>
    <t>fortalecer los proyectos productivos de organizaciones juveniles legalmente constituidas</t>
  </si>
  <si>
    <t xml:space="preserve">Capacitaciones, socialización y conformación de espacios de participación juvenil </t>
  </si>
  <si>
    <t>Desarrollo de acciones dispuestas a la implementacion de la politica de juventud, en los componentes de responsabilidad de la oficina de juventud</t>
  </si>
  <si>
    <t>ADQUISICION DE BIENES Y SERVICIOS: Logistica operativa,  refrigerios, sonido, ferreteria, etc</t>
  </si>
  <si>
    <t>Volantes, pendones, afiches, manillas, etc.</t>
  </si>
  <si>
    <t>Implementar  dos (2) estrategias de prevención para adolescentes y jóvenes en riesgo social y/o vinculados a la Ley de responsabilidad  penal</t>
  </si>
  <si>
    <t>Número  de estrategias  de prevención  para adolescentes y jóvenes implementadas</t>
  </si>
  <si>
    <t xml:space="preserve">Actividades pedagógicas y Jornadas de movilización social  sobre el concepto de la práctica barrista como expresión cultural, dirigidas a los jóvenes que son líderes y miembros  de las barras futboleras del Departamento del Quindío. </t>
  </si>
  <si>
    <t>Realizar actividades de prevención para adolescentes y jóvenes en riesgo social y/o vinculados a la Ley de responsabilidad  penal</t>
  </si>
  <si>
    <t>Apoyo y seguimientoa los procesos de coordinación del sistema de responsabilidad penal</t>
  </si>
  <si>
    <t>Desarrollar e implementar una estrategia de prevención del consumo de sustancias psico activas  (SPA)  dirigida a adolescentes y jóvenes del departamento.</t>
  </si>
  <si>
    <t>Estrategia   de  prevención del consumo de sustancias psico activas  (SPA) , implementada.</t>
  </si>
  <si>
    <t>Desarrollar  e implementar  estrategias  de prevención  del consumo de sustancias psico activas  (SPA)  en  adolescentes y jóvenes del departamento, Con el fin de  sensibilizar  la población frente  a  los daños colaterales generados por  el consumo.</t>
  </si>
  <si>
    <t>Implementar una estrategia de prevencion del consumo de SPA en el departamento del Quindío</t>
  </si>
  <si>
    <t>Apoyar  en temas de prevención del consumo de sustancias psicoactivas, a través de talleres de sensibilización.</t>
  </si>
  <si>
    <t xml:space="preserve">Seguimiento a la implementación de la estrategia de prevencion de consumo de SPA </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</si>
  <si>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</si>
  <si>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</si>
  <si>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</si>
  <si>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</si>
  <si>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201663000-0114</t>
  </si>
  <si>
    <t>Actualización e implementación  de   la política pública departamental de discapacidad  "Capacidad sin limites" en el Quindio</t>
  </si>
  <si>
    <t xml:space="preserve">Aumentar los niveles de representatividad e incidencia de las personas con discapacidad en escenarios de participación social y política en el Departamento. </t>
  </si>
  <si>
    <t xml:space="preserve">Realizar acciones para  el  seguimiento al Plan de Acción de los CMD – Ejes de la Política Publica
</t>
  </si>
  <si>
    <t xml:space="preserve">Apoyar la elaboración de diagnósticos comunitarios sobre la situación de personas con discapacidad en comunidades focalizadas. 
</t>
  </si>
  <si>
    <t>DIRECTORA DE ADULTO MAYOR Y DISCAPACIDAD</t>
  </si>
  <si>
    <t xml:space="preserve">Apoyar la Implementación de programas para la creación de empresas </t>
  </si>
  <si>
    <t xml:space="preserve">Promover  y  fortalecer la creación de organizaciones que trabajan con y para las personas con discapacidad y sus familias 
</t>
  </si>
  <si>
    <t>Apoyar la Formación a líderes y al Comité Departamental de Discapacidad en gestión y formulación de proyectos</t>
  </si>
  <si>
    <t>Procesos de  fortalecimiento en la cultura organizacional  del sector público y privado</t>
  </si>
  <si>
    <t>Apoyar la Formación de la población con discapacidad, cuidadores , cuidadoras y sus familias, en talleres de formación en maderas, pintura, muralismo, escultura y artes plasticas, etc, con el fin de realizar inclusion social y mejoramiento de su calidad de vida.</t>
  </si>
  <si>
    <t>Apoyo  al  seguimiento del  plan de acción, presupuesto e indicadores de la  política pública de discapacidad</t>
  </si>
  <si>
    <t>Apoyar la Implementación de  una estrategia gerencial integral  que permita la funcionalidad y operatividad del Comité Departamental de Discapacidad, como la asesoría a los comités municipales de discapacidad en su fortalecimiento y sostenimiento</t>
  </si>
  <si>
    <t>Fomentar y fortalecer la inclusión laboral y productiva de cuidadores, cuidadoras, PCD y sus Familias</t>
  </si>
  <si>
    <t xml:space="preserve">Capacitar en el cuidado y manejo de la Discapacidad a Cuidadoras, Cuidadores y Familias </t>
  </si>
  <si>
    <t xml:space="preserve">Apoyar la elaboración ,seguimiento y evaluacion de los planes de accion de los municipios y depto de la Politica Publica de discapacidad.
</t>
  </si>
  <si>
    <t xml:space="preserve">Diseñar , construir  y difundir  de manera concertada la malla de oferta institucional con los diferentes actores
</t>
  </si>
  <si>
    <t>Acompañamiento a  las personas con discapacidad,  familias y comunidad en la implementación del programa RBC</t>
  </si>
  <si>
    <t>Realizar  capacitaciones en agentes comunitarios en RBC</t>
  </si>
  <si>
    <t>Servicio permanente de untérpretes de lengua de señas en servicios de urgencia y de información pública.</t>
  </si>
  <si>
    <t>Conformación y fortalecimiento a las redes de apoyo de la estrategia RBC</t>
  </si>
  <si>
    <t>Eventos de participacion e integración de la poblacion con discapacidad</t>
  </si>
  <si>
    <t xml:space="preserve">LOGISTICA OPERATIVA: Rrefrigerios, sonido, logistica en genreal, elementos y/o materia prima </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</si>
  <si>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</si>
  <si>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</si>
  <si>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</si>
  <si>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</si>
  <si>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</si>
  <si>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201663000-0117</t>
  </si>
  <si>
    <t xml:space="preserve">Diseño e implementación  de la estratégica para la atención de la  población  en vulnerabiliada extrema  en el Departamento del Quindio  </t>
  </si>
  <si>
    <t>Diseño e implementación de una estrategia para la atención de la población en situación de vulnerabilidad extrema del departamento. (Habitantes de calle, trabajo sexual, reincidencia delictiva, drogadicción, bandas delincuenciales, entre otras.</t>
  </si>
  <si>
    <t>Implementar una estrategia integral necesariamente articulada en red que asegure contar con los recursos suficientes mediante una  efectiva sinergia y  coordinación entre instituciones públicas y privadas.</t>
  </si>
  <si>
    <t>Apoyar el seguimiento a los planes de acción participativos  para atención de la población en alta vulnerabilidad</t>
  </si>
  <si>
    <t>ASESOR DE DEPACHO VULNERABLE</t>
  </si>
  <si>
    <t>SECRETARIA DE FAMILIA
 SECRETARIA DE FAMILIA</t>
  </si>
  <si>
    <t>Apoyar el seguimiento a los programas, proyectos y/o actividades que beneficien la población Habitantes en Calle y  personas en alta  vulnerabilidad y alto riesgo social</t>
  </si>
  <si>
    <t>Brindar asistencia técnica a las poblaciones en estado de vulnerabilidad en procesos de emprendimiento, creación  y formalización de empresas.</t>
  </si>
  <si>
    <t>Fomentar los procesos de emprendimiento y empleabilidad de las poblaciones en estado de vulnerabilidad del departamento del Quindío</t>
  </si>
  <si>
    <t>Implementar  programas, proyectos y/o actividades para la atención a habitantes de calle  del departamento del Quindío así como, acciones encaminadas a garantizar los derechos de la población en estado  de  vulnerabilidad  extrema  en el departamento del Quindío.</t>
  </si>
  <si>
    <t>Apoyar la implementación una  estrategia para la atención de la  población  en  situación  de  vulnerabilidad  extrema  en el Departamento del Quindío (habitantes de  calle, trabajo  sexual, reincidencia delictiva, drogadicción, bandas delincuenciales, entre otros).</t>
  </si>
  <si>
    <t>Apoyo  al  seguimiento de  la  ejecución presupuestal  de los recursos destinados  a la Implementacion de la estrategia de atención de la poblacion en situacion de vulnerabilidad del departamento</t>
  </si>
  <si>
    <t>Brindar apoyo a la Secretaría de Familia en las diferentes jornadas, actividades o acciones  realizadas  con  población vulnerable del departameno el Quindío.</t>
  </si>
  <si>
    <t>Apoyar a la Secretaría de Familia en la realización de convocatorias, acompañamiento logístico y asistencia operativa tendientes a la atención de la población vulnerable del departamento.</t>
  </si>
  <si>
    <t>Apoyar con la realización de informes relacionados con el cumplimiento de la meta: 191: Diseñar  e   implementar una  estrategia para la atención de la  población  en  situación  de  vulnerabilidad  extrema  en el Departamento del Quindío (habitantes de  calle, trabajo  sexual, reincidencia delictiva, drogadicción, bandas delincuenciales, entre otros).</t>
  </si>
  <si>
    <t>Apoyar la coordinación entre las diferentes Secretarías del orden departamental  y/o demás instituciones para la atención integral de la polbacion vulnerable</t>
  </si>
  <si>
    <t>Apoyar  con  programas específicos, dirigido  a grupos  que viven en entornos de alto riesgo: Extrema pobreza, desarraigo social,  drogadicción, delincuencia, prostitución, o pertenecen a familias    multiproblemáticas  y de alto riesgo social</t>
  </si>
  <si>
    <t xml:space="preserve">Realizar estrategias orientadas a población en estado de vulnerabilidad que permitan garantizar espacios de bienestar, cohesión social; que dignifiquen sus condiciones de vida </t>
  </si>
  <si>
    <t>Desarrollar estrategias, programas y/o proyectos que promuevan la garantía de derechos de las familias de población vulnerable del departamento y fomenten la prevención de los riesgos psicosociales a través de intervenciones educativas</t>
  </si>
  <si>
    <t xml:space="preserve">Realizar actividades tendientes a la implementacion de estretegias, programas o proyectos que conlleven al bienestar de las familias, los niños y niñas, jóvenes y mujeres del departamento del Quindio en situacion de vulnerabilidad </t>
  </si>
  <si>
    <t xml:space="preserve">Implementar con la comunidad  de los sectores de mayor vulnerabilidad programas, proyectos y / o estrategias de prevencion al consumo de drogas </t>
  </si>
  <si>
    <t>Logistica operativa, refrigerios, sonido, ferretería</t>
  </si>
  <si>
    <t xml:space="preserve">Campañas  de difusion, socialziacion  y participación  ciudadana para la prevencion del  riesgo social en el depto
</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</si>
  <si>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</si>
  <si>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</si>
  <si>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</si>
  <si>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201663000-0118</t>
  </si>
  <si>
    <t xml:space="preserve"> Implementación del programa  para la atención y acompañamiento  del ciudadano migrante  y de repatración en el Departamento del Quindio.</t>
  </si>
  <si>
    <t>IImplementar el plan de acompañamiento al ciudadano migrante (el que sale y el que retorna).</t>
  </si>
  <si>
    <t>Existencia de planes de acompañamiento al ciudadano migrante del depto. del Quindío</t>
  </si>
  <si>
    <t>Procesos  de capacitación, asistencia técnica, seguimiento y evaluación en cuanto a la garantia de derechos de la población migrante del Departamento</t>
  </si>
  <si>
    <t xml:space="preserve">DIRECTOR DE POBLACIONES </t>
  </si>
  <si>
    <t xml:space="preserve">Asistencias tecnicas  personales y grupales para la creación de rutas de atención al ciudadano migrante </t>
  </si>
  <si>
    <t>Capacitación secretarias sectoriales en cuanto la atención al ciudadano migrante</t>
  </si>
  <si>
    <t xml:space="preserve"> Apoyar el programa de asistencia social y de repatriación de quindianos fallecidos en el exterior</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</si>
  <si>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</si>
  <si>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</si>
  <si>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</si>
  <si>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</si>
  <si>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201663000-0121</t>
  </si>
  <si>
    <t>Fortalecimiento resguardo  indígena DACHI AGORE DRUA del municipio de Calarcá del Departamento del Quindío.</t>
  </si>
  <si>
    <t>Garantizar el apoyo y fortalecimiento del plan de vida del Resguardo Dachi Agore Drua del municipio de Calarcá en el Departamento del Quindío.</t>
  </si>
  <si>
    <t xml:space="preserve">Altos indices de seguridad alimentaria,
emprendimiento, cultura, educación, género, familia, identidad, gobernabilidad, salud y justicia propia 
</t>
  </si>
  <si>
    <t>Asistencia Social: Procesos de apoyo, gestión, asesoria y acompañamiento al Resguardo Dachi Agore Drua del Departamento para garantizar los derechos fundamentales y Especiales.</t>
  </si>
  <si>
    <t xml:space="preserve">Apoyo, acompañamiento y fortalecimiento en cuanto procesos de seguridad alimentaria, saneamiento basico, educación, salud, justicia, gobernabilidad y territorio </t>
  </si>
  <si>
    <t>Apoyar con unidades productivas al plan de vida del Resguardo Indigena</t>
  </si>
  <si>
    <t>Compra de herramientas, materiales, insumos, etc.para beneficiar a la poblacion indigena DACHI AGORE DRUA</t>
  </si>
  <si>
    <t>Apoyar   y fortalecer  la elaboración y puesta en marcha  de  planes de vida de los pueblos indígenas asentados en el Departamento del Quindío.</t>
  </si>
  <si>
    <t>Planes de vida apoyados y fortalecidos</t>
  </si>
  <si>
    <t>0316 - 5 - 3 1 3 18 63 14 122 - 20</t>
  </si>
  <si>
    <t>201663000-0122</t>
  </si>
  <si>
    <t xml:space="preserve">Apoyo  a la elaboración y puesta marcha de Planes de Vida  de los cabildos indigenas en el departamento del Quindio  </t>
  </si>
  <si>
    <t>Apoyar la elaboración y puesta en marcha de planes de vida de los cabildos indígenas en el depto del Quindío.</t>
  </si>
  <si>
    <t>Elaborar un diagnóstico real de las condiciones de vida de las comunidades indígenas del depto</t>
  </si>
  <si>
    <t xml:space="preserve"> Garantizar la atención integral y con enfoque diferencial de las comunidades indigenas asentadas en el Departamento del Quindío</t>
  </si>
  <si>
    <t xml:space="preserve">DIRECTOR DE POBLACIONES Y JEFE DE OFICINA DE POBLACIONES </t>
  </si>
  <si>
    <t>Articulación institucional para la atención diferencial de los indígenas del depto</t>
  </si>
  <si>
    <t>Adqusicion de bienes y servicios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</si>
  <si>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</si>
  <si>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</si>
  <si>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</si>
  <si>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0316 - 5 - 3 1 3 18 64 14 124 - 20</t>
  </si>
  <si>
    <t>201663000-0124</t>
  </si>
  <si>
    <t xml:space="preserve">Implementación de un  programa de atención integral a la población  afrodescendiente en el Departamento del Quindio </t>
  </si>
  <si>
    <t>Garantizar la protección de derechos y la atención integral con enfoque diferencial de las comunidades afrodescendientes asentadas en el
Departamento del Quindío.</t>
  </si>
  <si>
    <t>Implementar un programa articulado interinstitucional para la atencion integral con enfoque disferencial a la poblacion afro del departamento</t>
  </si>
  <si>
    <t>Capacitaciones dirigidas a comunidades Afros del Departamento</t>
  </si>
  <si>
    <t xml:space="preserve">Apoyo, acompañamiento y fortalecimiento en cuanto procesos de seguridad alimentaria, saneamiento basico, educación, salud y vivienda  </t>
  </si>
  <si>
    <t xml:space="preserve">Alto interes en apoyar y fortalecer la formulación de planes de etnodesarrollo en los municipios con presencia de comunidades afrodescendientes 
</t>
  </si>
  <si>
    <t>Compra de herramientas, materiales, insumos, etc.</t>
  </si>
  <si>
    <t>Sí a la diversidad sexual e identidad de género y su familia.</t>
  </si>
  <si>
    <t>Formular  la política pública departamental de diversidad sexual e identidad de género</t>
  </si>
  <si>
    <t>Política pública formulada e implementada</t>
  </si>
  <si>
    <t xml:space="preserve">0316 - 5 - 3 1 3 18 65 14 125 - 20
</t>
  </si>
  <si>
    <t>201663000-0125</t>
  </si>
  <si>
    <t>Fomulación e implementación de la politca pública  de diversidad sexual en el Departamento del Quindio</t>
  </si>
  <si>
    <t>Implementación de la política pública que garantice los derechos de las personas con diversidad sexual e identidad de género en el dpto del Quindío.</t>
  </si>
  <si>
    <t>Establecer políticas claras para la inclusión social de la población LGTBI</t>
  </si>
  <si>
    <t>Implementacion del plan de accion  de la politica publica de diversidad sexual e identidad de genero</t>
  </si>
  <si>
    <t>JEFE DE MUJER Y LA EQUIDAD</t>
  </si>
  <si>
    <t>Desarrollo de campañas talleres y proyectos relacionados con la promocion de derechos de poblacion LGTBI</t>
  </si>
  <si>
    <t>Altos espacios de atención, formación y reflexión, orientados al fortalecimiento de los entornos  sociales y educativos respecto a las personas con diversidad sexual</t>
  </si>
  <si>
    <t>Pendón,plegables. Folletos, manillas, etc</t>
  </si>
  <si>
    <t>Logistica operativa, refrigerios, sonido para celebracion de eventos relacionados con la equidad</t>
  </si>
  <si>
    <t>Mujeres constructoras de Familia y de paz.</t>
  </si>
  <si>
    <t>Revisar, ajustar  e  implementar  la política publica de equidad de género para la  mujer del departamento</t>
  </si>
  <si>
    <t>Política pública  de equidad de genero revisada, ajustada e implementada.</t>
  </si>
  <si>
    <t>201663000-0128</t>
  </si>
  <si>
    <t>Implementaciòn de la polìtica pùblica de equidad de género para la mujer en el Departamento del Quindìo</t>
  </si>
  <si>
    <t xml:space="preserve">Implementacion de programas y proyectos institucionalespara el acceso a las oportunidades Economicas sociales y culturales de mujeres en el departamento del Quindio 
</t>
  </si>
  <si>
    <t>Apropiación jurídica  por parte de la población e institucionalidad sobre las rutas de atención existentes</t>
  </si>
  <si>
    <t xml:space="preserve">Seguimiento al cumplimiento de los planes de acción de la Politica Publica de  Equidad de Género para la mujer
</t>
  </si>
  <si>
    <t>Apoyo en la consolidacion de espacios de participacion a traves de la socializacion de la normatividad existente</t>
  </si>
  <si>
    <t xml:space="preserve">Capacitacion  y concientización  para lograr la igualdad de género y empoderar a las mujeres 
</t>
  </si>
  <si>
    <t>0316 - 5 - 3 1 3 19 67 14 128 - 20</t>
  </si>
  <si>
    <t>Mejorar la articulación frente a la implementación de las políticas públicas de equidad y género</t>
  </si>
  <si>
    <t>Fortalecimiento y/o apoyo a unidades productivas y/o proyectos de emprendemiento de mujeres</t>
  </si>
  <si>
    <t xml:space="preserve">Desarrollo de actividades de impacto para la promocion de derechos y movilizacion social
</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</si>
  <si>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</si>
  <si>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</si>
  <si>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</si>
  <si>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</si>
  <si>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 xml:space="preserve">0316 - 5 - 3 1 3 19 67 14 129 - 20
</t>
  </si>
  <si>
    <t>201663000-0129</t>
  </si>
  <si>
    <t xml:space="preserve">Apoyo y bienestar integral a las personas mayores del Departamento del Quindio </t>
  </si>
  <si>
    <t>Altos índices de atención a los adultos mayores en el departamento del Quindío.</t>
  </si>
  <si>
    <t xml:space="preserve">                                                                                    Apoyar la elaboración ,seguimiento y evaluacion de los planes de accion de los municipios y depto de la Politica Publica de envejecimiento y vejez
                                                                                                                                                                                                                                  </t>
  </si>
  <si>
    <t>Apoyo  al  seguimiento de  la  ejecución presupuestal  de los recursos destinados   a la  política pública de Envejecimiento y vejez</t>
  </si>
  <si>
    <t xml:space="preserve">Apoyar el seguimiento y evaluacion de los planes de accion de los municipios y depto de la Politica Publica de envejecimiento y vejez
</t>
  </si>
  <si>
    <t xml:space="preserve">
Desarrollar estrategias de vigilancia y control que permitan garantizar el cumplimiento y reconocimiento de los derechos de las personas mayores</t>
  </si>
  <si>
    <t xml:space="preserve">
Apoyar asistencias técnicas grupales a los grupos de adultos mayores del depto, en deporte, cultura, recreación y motivación </t>
  </si>
  <si>
    <t xml:space="preserve">Realizar motivación e infundir  sentido de pertenencia y compromiso de parte del Consejo Departamental del  adulto mayor_x000D_
</t>
  </si>
  <si>
    <t>Logística Operativa: Sonido, logistica, refrigerios</t>
  </si>
  <si>
    <t>Apoyo a  eventos programados por la Secretaría dia de la celebracion de las personas de la tercera edad y el pensionado</t>
  </si>
  <si>
    <t>Crear el cabildo de adulto mayor del Departamento y apoyar la creación en once municipios del Quindío</t>
  </si>
  <si>
    <t>Número de Cabildos de Adulto Mayor creados.</t>
  </si>
  <si>
    <t>0316 - 5 - 3 1 3 19 67 14 129 - 20</t>
  </si>
  <si>
    <t xml:space="preserve">
Apoyar con actividades para la  creacion del cabildo de adulto mayoren en 6 municipios del Quindio
</t>
  </si>
  <si>
    <t xml:space="preserve">Apoyar 12 Centros de Bienestar del Departamento </t>
  </si>
  <si>
    <t>Centro de bienestar apoyados</t>
  </si>
  <si>
    <t>0316 - 5 - 3 1 3 19 67 14 129 - 06
0316 - 5 - 3 1 3 19 67 14 129 - 84</t>
  </si>
  <si>
    <t xml:space="preserve">Apoyar acciones que conlleven al conocimiento de la Ley 1276 del 2009: Nuevos Criterios de Atención Integral del Adulto  Mayor en los Centros Vida
</t>
  </si>
  <si>
    <t>Centros de Binestar del Adulto Mayor (CBA)</t>
  </si>
  <si>
    <t>Estampilla adulto mayor</t>
  </si>
  <si>
    <t>Superavit Adulto mayor</t>
  </si>
  <si>
    <t xml:space="preserve">Apoyar 14 Centros Vida del Departamento </t>
  </si>
  <si>
    <t>Centros vida apoyados</t>
  </si>
  <si>
    <t>CENTROS VIDA (DV)</t>
  </si>
  <si>
    <t>MARIA DEL CARMEN AGUIRRE BOTERO</t>
  </si>
  <si>
    <t>SECRETARIA DE FAMILIA</t>
  </si>
  <si>
    <t xml:space="preserve">PROYECTO Y ELABORO: </t>
  </si>
  <si>
    <t>Edad Económicamente
Activa (20-59 años)</t>
  </si>
  <si>
    <t>Edad Económicamente 
Activa (20-59 años)</t>
  </si>
  <si>
    <t>SEGUIMIENTO PLAN DE ACCIÓN
SECRETARÍA DE TECNOLOGIAS DE LA INFORMACIÓN Y LAS COMUNICACIONES
III TRIMESTRE 2019</t>
  </si>
  <si>
    <t xml:space="preserve">SEGUIMIENTO PLAN DE ACCIÓN 
PROMOTORA DE VIVIENDA DEL QUINDIO "PROVIQUINDIO"
III TRIMESTRE 2019
</t>
  </si>
  <si>
    <t>POBLACION</t>
  </si>
  <si>
    <t>ESTRATEGIA</t>
  </si>
  <si>
    <t>PROGRAMA</t>
  </si>
  <si>
    <t>SUBPROGRAMA</t>
  </si>
  <si>
    <t>META PRODUCTO PLAN DE DESARROLLO</t>
  </si>
  <si>
    <t>NO</t>
  </si>
  <si>
    <t>VALOR EN PESOS</t>
  </si>
  <si>
    <t>Infraestructura Sostenible para la Paz</t>
  </si>
  <si>
    <t>Mejora de la Infraestructura Vial del Departamento del Quindío</t>
  </si>
  <si>
    <t>0211101_4
0211102_3</t>
  </si>
  <si>
    <t>201663000-0171</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</si>
  <si>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</si>
  <si>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</si>
  <si>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Aumento de la cobertura  en los componentes de vivienda, infraestructura y equipamiento colectivo y comunitario Aumento de la cobertura  en los componentes de vivienda, infraestructura y equipamiento colectivo y comunitario.</t>
  </si>
  <si>
    <t>Mantener, mejorar y/o rehabilitar la infraestructura y vial del departamento</t>
  </si>
  <si>
    <t>IMPUESTO AL REGISTRO</t>
  </si>
  <si>
    <t>IR</t>
  </si>
  <si>
    <t>Leonardo Rodriguez Ospina</t>
  </si>
  <si>
    <t>Gerente General</t>
  </si>
  <si>
    <t>SUPERAVIT IMPUESTO AL REGISTRO</t>
  </si>
  <si>
    <t>Mejora de la Infraestructura  Social del Departamento del Quindío</t>
  </si>
  <si>
    <t xml:space="preserve">Desarrollo de Programas y Proyectos, en los componentes de vivienda, infraestructura, equipamiento colectivo y comunitario.
</t>
  </si>
  <si>
    <t>Construcción, mejoramiento y/o rehabilitación de la infraestructura de escenarios deportivos y/o recreativos.</t>
  </si>
  <si>
    <t>EPD</t>
  </si>
  <si>
    <t>IR.
EPD.
EMPRESTITO.</t>
  </si>
  <si>
    <t>Leonardo Rodriguez Ospina.
Claudia Andrea Londoño Celis</t>
  </si>
  <si>
    <t>Mantener, mejorar y/o rehabilitar la Infraestructura instituciones educativas en el departamento del Quindío.</t>
  </si>
  <si>
    <t>Apoyar la construcción, el mantenimiento, el mejoramiento y/o la rehabilitación de la infraestructura de dos (2) equipamientos públicos y colectivos del Departamento del Quindío.</t>
  </si>
  <si>
    <t>Numero de equipamientos públicos y colectivos apoyados</t>
  </si>
  <si>
    <t>Construcción, mantenimiento, mejoramiento y/o la rehabilitación de la infraestructura de equipamientos públicos y colectivos.</t>
  </si>
  <si>
    <t>53</t>
  </si>
  <si>
    <t>0211101_4
0211102_3
0211103_7</t>
  </si>
  <si>
    <t>Mejoramiento y/o construcción de vivienda urbana y rural.</t>
  </si>
  <si>
    <t>LEONARDO RODRIGUEZ OSPINA</t>
  </si>
  <si>
    <t>Gerente General - ProviQuindío.</t>
  </si>
  <si>
    <t>Proyectó: Diego Fernando Ramirez Restrepo</t>
  </si>
  <si>
    <t>Profesional Universitario - Contratista.</t>
  </si>
  <si>
    <t>SEGUIMIENTO PLAN DE ACCIÓN
SECRETARIA DEL INTERIOR
III TRIMESTRE 2019</t>
  </si>
  <si>
    <t>CÓDIGO</t>
  </si>
  <si>
    <t>FUENTE DE RECURSO</t>
  </si>
  <si>
    <t>FECHA DE TERMINACIÓN</t>
  </si>
  <si>
    <t>SEGURIDAD HUMANA</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</si>
  <si>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</si>
  <si>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</si>
  <si>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</si>
  <si>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</si>
  <si>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201663000-0028</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</si>
  <si>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</si>
  <si>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</si>
  <si>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</si>
  <si>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</si>
  <si>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 xml:space="preserve">
Recurso Ordinario
</t>
  </si>
  <si>
    <t>SECRETARIO DEL INTERIOR</t>
  </si>
  <si>
    <t>Superavit
Fondos de seguridad 5%</t>
  </si>
  <si>
    <t>Fortalecer 10 programas de prevención y superación del Sistema de responsabilidad penal para adolescentes</t>
  </si>
  <si>
    <t>Número de programas de prevención y superación fortalecidos</t>
  </si>
  <si>
    <t>Apoyo para iniciativas,actividades y/o proyectos productivos dirigidoa a población de infancia y adolescencia</t>
  </si>
  <si>
    <t xml:space="preserve">
Recurso Ordinario
</t>
  </si>
  <si>
    <t>Apoyar la construcción, refacción o adecuación de  seis (6) estaciones de policía y/o guarniciones militares y/o instituciones carcelarias</t>
  </si>
  <si>
    <t>Número de estaciones de policía y/o guarniciones militares y/o instituciones carcelarias apoyadas</t>
  </si>
  <si>
    <t xml:space="preserve">Adquisición de materiales para la construcción </t>
  </si>
  <si>
    <t>Adquisición de terrenos para construcción  de UBICAR (Unidad Básica de carabineros)</t>
  </si>
  <si>
    <t>Adecuación y modernización sistema Circuito Cerrado de TV  (CCTV) Centro de Atención Especializa Especializada (CAE)</t>
  </si>
  <si>
    <t xml:space="preserve">Intervención en obras menores </t>
  </si>
  <si>
    <t>Dotar cinco (5) organismos de seguridad de del departamento con elementos tecnológicos y logísticos que faciliten su operatividad y capacidad de respuesta</t>
  </si>
  <si>
    <t>Número de organismos de seguridad y/o de régimen carcelario dotados</t>
  </si>
  <si>
    <t>Financiación del proyecto de tecnología en seguridad</t>
  </si>
  <si>
    <t>Fondos de seguridad 5%</t>
  </si>
  <si>
    <t xml:space="preserve">Financiación y/o coofinaciación de proyectos de móvilidad </t>
  </si>
  <si>
    <t>Suministro de combustible</t>
  </si>
  <si>
    <t>Arrendamientos de oficinas para organismos de seguridad</t>
  </si>
  <si>
    <t>0309 - 5 - 3 1 4 23 75 18 28 - 20</t>
  </si>
  <si>
    <t xml:space="preserve">Adecuación de tecnología en salas de organismos de seguridad </t>
  </si>
  <si>
    <t xml:space="preserve">Juliana
 Hénandez </t>
  </si>
  <si>
    <t>Suministro de alimentación</t>
  </si>
  <si>
    <t>Alejandro Agudelo</t>
  </si>
  <si>
    <t>0309 - 5 - 3 1 4 23 75 18 28 - 42</t>
  </si>
  <si>
    <t>Pago a fuentes humanas</t>
  </si>
  <si>
    <t>Adquisición de bienes muebles necesarios para el funcionamiento de la diferentes iniciativas o programas de los oraganismos de seguridad del departamento</t>
  </si>
  <si>
    <t>0309 - 5 - 3 1 4 23 75 18 28 - 92</t>
  </si>
  <si>
    <t>Adquisición de bienes inmuebles para los organismos de seguridad</t>
  </si>
  <si>
    <t>Adquisición de bienes y suministro, para material de intendencia y logística</t>
  </si>
  <si>
    <t>Impresos y publicidad.</t>
  </si>
  <si>
    <t>Servicios de apoyo en procesos tecnológicos de seguridad en el departamento</t>
  </si>
  <si>
    <t>Servicios de apoyo en estudios financieros y ecónomicos de los diferentes procesos para los organismos de seguridad</t>
  </si>
  <si>
    <t>Servicios de apoyo para los procesos de adquisición de bienes y servicios con cargo a los organismos de seguridad del departamento</t>
  </si>
  <si>
    <t xml:space="preserve">Prestación de Servicios y/o suministro de logística, material de intendencia o demás programas y/o estrategias relacionados con los organismos de seguridad </t>
  </si>
  <si>
    <t>Apoyar 3 observatorios locales del delito</t>
  </si>
  <si>
    <t>Número de observatorios del delito apoyados</t>
  </si>
  <si>
    <t>Levantamiento de información, investigación y análisis de hechos y conductas delicitas en el departamento del Quindío</t>
  </si>
  <si>
    <t>Dotación tecnologíca, de comunicaciones   y/o logistica para los programas, proyectos  o estrategías de pevención y seguridad en el departamento del Quindío</t>
  </si>
  <si>
    <t>CONVIVENCIA, JUSTICIA Y CULTURA DE PAZ</t>
  </si>
  <si>
    <t>Apoyar la implementación de treinta y seis (36) programas de prevención del delito y mediación de conflictos en comunidades focalizadas del departamento</t>
  </si>
  <si>
    <t>Programas de prevención del delito y mediación de conflictos apoyados</t>
  </si>
  <si>
    <t>201663000-0029</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</si>
  <si>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</si>
  <si>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</si>
  <si>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</si>
  <si>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Intervenciones psicosocilales, y/o de formación productiva integrales en los 11 barrios focalizados </t>
  </si>
  <si>
    <t xml:space="preserve">
20
</t>
  </si>
  <si>
    <t xml:space="preserve">
Recurso 
ordinario
</t>
  </si>
  <si>
    <t xml:space="preserve">SECRETARIO DEL INTERIOR
</t>
  </si>
  <si>
    <t xml:space="preserve">
92</t>
  </si>
  <si>
    <t>Implementación de programas ludicos,culturales y/o deportivos  para población vulnerable en areas focalizadas</t>
  </si>
  <si>
    <t xml:space="preserve">
Recurso 
ordinario
</t>
  </si>
  <si>
    <t xml:space="preserve">Generación y/o apoyo a programas de intervención social y/o de seguridad </t>
  </si>
  <si>
    <t>0309 - 5 - 3 1 4 23 76 18 29 - 20</t>
  </si>
  <si>
    <t>Logística, refrigerios,transporte y/o combustible</t>
  </si>
  <si>
    <t>Atencion integral de Barrios con situacion critica de convivencia en los 12 Municipios  del Departamento</t>
  </si>
  <si>
    <t>Municipios con atencion integral</t>
  </si>
  <si>
    <t xml:space="preserve">Intervenciones Psicosociales y/o de formación productiva integrales en los cinco municipios focalizados </t>
  </si>
  <si>
    <t>0309 - 5 - 3 1 4 23 76 18 29 - 92</t>
  </si>
  <si>
    <t>Elaboración y/o difusión de campañas de intervención social y prevención del delito en los municipios del departamento</t>
  </si>
  <si>
    <t xml:space="preserve">
Superavit
Fondos de seguridad 5%</t>
  </si>
  <si>
    <t xml:space="preserve">Recurso 
ordinario
</t>
  </si>
  <si>
    <t>Actualizar e implementar el Plan Integral de Seguridad y Convivencia Ciudadana (PISCC)</t>
  </si>
  <si>
    <t>Plan integral de seguridad y convivencia ciudadana actualizado e implementado</t>
  </si>
  <si>
    <t>Seguimiento y ejecución de los objetivos del PISCC</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</si>
  <si>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</si>
  <si>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</si>
  <si>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</si>
  <si>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</si>
  <si>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201663000-0030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</si>
  <si>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</si>
  <si>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</si>
  <si>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</si>
  <si>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Capacitación en el tema de formulación de proyectos a las mesas de participación efectiva de victimas y Organizaciones de victimas en los 12 municipios del Departamento</t>
  </si>
  <si>
    <t xml:space="preserve">598
</t>
  </si>
  <si>
    <t xml:space="preserve">
167</t>
  </si>
  <si>
    <t xml:space="preserve">
150</t>
  </si>
  <si>
    <t xml:space="preserve">
200</t>
  </si>
  <si>
    <t xml:space="preserve">
658</t>
  </si>
  <si>
    <t xml:space="preserve">20
88
</t>
  </si>
  <si>
    <t>Iván Aguirre Franco
María A. Berrio</t>
  </si>
  <si>
    <t>Socialización de rutas de protección a las organizaciones de victimas de los 12 municipios del Departamento</t>
  </si>
  <si>
    <t>Apoyo a municipios priorizados para reparacion colectiva</t>
  </si>
  <si>
    <t>Brindar informacion y orientación a las victimas del conflicto de los 12 municipios del departamento</t>
  </si>
  <si>
    <t>Socialización del decreto de corresponsabilidad a las mesas de participación efectiva de victimas en los 12 municipios</t>
  </si>
  <si>
    <t>Brindar asistencia y capacitacion a las organizaciones con enfoque diferencial y mesas de participación efectiva de victimas en los 12 municipios del Departamento en la ley de victimas y restitución de tierras y sus enfoques reglamentarios</t>
  </si>
  <si>
    <t xml:space="preserve">Apoyo a iniciativas que aportan a la Memoria Historica en el Departamento </t>
  </si>
  <si>
    <t xml:space="preserve">Capacitación a las mesas de participación de victimas en los 12 municipios en el tema de protocolo de participación
</t>
  </si>
  <si>
    <t>Realizar jornadas de prevencion a vulneraciones de DDHH y DIH a las mesas de participación efectiva de victimas en los 12 municipios del Departamento</t>
  </si>
  <si>
    <t>Apoyo a proyectos productivos población víctima</t>
  </si>
  <si>
    <t>Superavit ordinario</t>
  </si>
  <si>
    <t>Logística y/o refrigerios</t>
  </si>
  <si>
    <t>Apoyar  la atención humanitaria inmediata a la población víctima del conflicto en los 12 municipios</t>
  </si>
  <si>
    <t>Número de municipios apoyados en la atención humanitaria inmediata</t>
  </si>
  <si>
    <t>Concurrir, complementar y subsidiar los kits de ayuda  humanitaria inmediata en los 12 municipios del Quindio</t>
  </si>
  <si>
    <t xml:space="preserve">Apoyar los procesos de retorno y reubicación de las victimas del conflicto armado, en caso de ser requerido </t>
  </si>
  <si>
    <t xml:space="preserve">Fortalecer el Comité departamental de justicia transicional y la mesa de participación efectiva de las víctimas del conflicto </t>
  </si>
  <si>
    <t>Número de instancias de participación fortalecidas</t>
  </si>
  <si>
    <t>0309 - 5 - 3 1 4 24 78 14 30 - 20</t>
  </si>
  <si>
    <t xml:space="preserve">Garantias para Sesiones comité ejecutivo y ética mesa de victimas </t>
  </si>
  <si>
    <t>Garantias para Sesiones plenario mesa departamental de  victimas</t>
  </si>
  <si>
    <t>0309 - 5 - 3 1 4 24 78 14 30 - 88</t>
  </si>
  <si>
    <t xml:space="preserve">Apoyo al Plan de Trabajo de la mesa Departamental de Victimas </t>
  </si>
  <si>
    <t xml:space="preserve">Garantias para representates de la mesa departamental de victimas para asistir a las Sesiones del  Comité Departamental de Justicia Transicional </t>
  </si>
  <si>
    <t>Garantias para representates de la mesa departamental de victimas para asistir a las Sesiones de los subcomites departamentales de justicia transcional</t>
  </si>
  <si>
    <t xml:space="preserve">Apoyar la construcción y la actualización de los Planes de Acción Territorial de victimas PAT municipales y  el PAT departamental </t>
  </si>
  <si>
    <t>Número de Planes acción territorial de víctimas apoyados</t>
  </si>
  <si>
    <t>Procesos de articulación asistencia y atención a los municipios y su población víctima Sesiones de Comites y Subcomites</t>
  </si>
  <si>
    <t xml:space="preserve">Brindar asistencia a los 12 municipios del Departamento para las actualizaciones de los PAT municipales de manera armonica con el PAT departamental. </t>
  </si>
  <si>
    <t xml:space="preserve">
Diseñar e implementar el sistema de información para la prevención, atención, asistencia y reparación integral a las víctimas del conflicto armado interno </t>
  </si>
  <si>
    <t>Sistema de información diseñado e implementado</t>
  </si>
  <si>
    <t>Seguimiento a implementación  de la Herramienta de Gestión Local en los 12 municipios del Departamento</t>
  </si>
  <si>
    <t>Implementación del Plan Operativo de Sistemas de Información POSI</t>
  </si>
  <si>
    <t>Apoyo a procesos de caracterización de los municipios, cuando sea requerido por estos</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</si>
  <si>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</si>
  <si>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</si>
  <si>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</si>
  <si>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201663000-0032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</si>
  <si>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</si>
  <si>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</si>
  <si>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</si>
  <si>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 xml:space="preserve">Actualización e implementación del plan integral de prevención de vulneración de DDHH  </t>
  </si>
  <si>
    <t xml:space="preserve">
437</t>
  </si>
  <si>
    <t xml:space="preserve">
325</t>
  </si>
  <si>
    <t xml:space="preserve">
212</t>
  </si>
  <si>
    <t xml:space="preserve">
180</t>
  </si>
  <si>
    <t xml:space="preserve">
120</t>
  </si>
  <si>
    <t xml:space="preserve">
762</t>
  </si>
  <si>
    <t>Realizar jornadas de socialización en rutas de protección a Juntas de Acción Comunal en los 12 municipios del Departamento</t>
  </si>
  <si>
    <t xml:space="preserve">Apoyar en los doce (12) municipios la articulación institucional para la prevención a las violaciones DDHH  e infracciones al DIH </t>
  </si>
  <si>
    <t xml:space="preserve">Número de municipios apoyados </t>
  </si>
  <si>
    <t>0309 - 5 - 3 1 4 24 79 14 32 - 20</t>
  </si>
  <si>
    <t>Foro de Derechos Humanos</t>
  </si>
  <si>
    <t>Superavít ordinario</t>
  </si>
  <si>
    <t>Iván Aguirre Franco</t>
  </si>
  <si>
    <t>Realizar jornadas de capacitación para la  prevencion y sensibilizacion de los Derechos Humanos en los 12 municipios del Departamento</t>
  </si>
  <si>
    <t>María A. Berrio</t>
  </si>
  <si>
    <t xml:space="preserve">Papeleria </t>
  </si>
  <si>
    <t xml:space="preserve">Actualizar e Implementar el plan lucha contra la trata de personas
</t>
  </si>
  <si>
    <t>Programa de atención integral a victimas de trata de personas actualizado e  implementado</t>
  </si>
  <si>
    <t>0309 - 5 - 3 1 4 24 79 14 32 - 88</t>
  </si>
  <si>
    <t xml:space="preserve">Jornadas de prevención del delito de trata de personas  en los 12 municipios del Departamento </t>
  </si>
  <si>
    <t xml:space="preserve">Realizar jornadas de prevención y sensibilización del delito de trata de personas en terminal aérea y terrestre
</t>
  </si>
  <si>
    <t>Ayuda Humanitaria para victimas de trata de personas</t>
  </si>
  <si>
    <t>PREPARADOS PARA LA PAZ</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</si>
  <si>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</si>
  <si>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</si>
  <si>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 xml:space="preserve">Promoción de sociedades pacíficas e inclusivas para el desarrollo sostenible,facilitar el acceso a la justicia para todos y crear instituciones eficaces, responsables e inclusivas a toodos los niveles (ODS 16). 
</t>
  </si>
  <si>
    <t xml:space="preserve">1. Factores generadores  de expresión de valores,actidudes,tradiciones y patrones de comporatmiento de respeto a la vida,los DDHH y la libertad de expresón 
2. Creación de una cultura en DDHH e igualdad y no discriminación 
</t>
  </si>
  <si>
    <t>Asistencia Tecnica para la formulación y actualización de planes de DDHH en los municipios del Depto</t>
  </si>
  <si>
    <t>Iván Aguirre Franco
María A. Berrio</t>
  </si>
  <si>
    <t>201663000-0034</t>
  </si>
  <si>
    <t>Construcción de la Paz Territorial en el Departamento del Quindio</t>
  </si>
  <si>
    <t>Apoyar el seguimiento de los planes de DDHH de los 12 municipios del Departamento.</t>
  </si>
  <si>
    <t>Superavít Ordinario</t>
  </si>
  <si>
    <t>Acompañamiento a Comites Municipales de Derechos Humanos que estén creados y funcionando.</t>
  </si>
  <si>
    <t>Fortalecer Consejo Departamental de Paz</t>
  </si>
  <si>
    <t xml:space="preserve">Apoyar y articular en los doce (12) municipios  del departamento las actuaciones institucionales en procura de la garantía de la construcción de paz </t>
  </si>
  <si>
    <t>Número de municipios apoyados y articulados</t>
  </si>
  <si>
    <t>0309 - 5 - 3 1 4 24 80 14 34 - 20</t>
  </si>
  <si>
    <t>Fortalecer Consejo Departamental de Paz, Reconciliación, Convivencia, DDHH y DIH.</t>
  </si>
  <si>
    <t>Foro DDHH.</t>
  </si>
  <si>
    <t>0309 - 5 - 3 1 4 24 80 14 34 - 88</t>
  </si>
  <si>
    <t>Socialización de implementación de los acuerdos en el Departamento.</t>
  </si>
  <si>
    <t xml:space="preserve">Semana por la paz </t>
  </si>
  <si>
    <t>Logistica y Refrigerios</t>
  </si>
  <si>
    <t>Papeleria</t>
  </si>
  <si>
    <t>Apoyo para la Politica de Reintegrados</t>
  </si>
  <si>
    <t>Acciones en pro de la construcción de paz</t>
  </si>
  <si>
    <t>EL QUINDIO DEPARTAMENTO RESILIENTE</t>
  </si>
  <si>
    <t>QUINDIO PROTEGIENDO EL FUTURO</t>
  </si>
  <si>
    <t xml:space="preserve">Realizar catorce (14) estudios de riesgo y análisis de vulnerabilidad en  los municipios del departamento </t>
  </si>
  <si>
    <t>Número de estudios de riesgo analizados</t>
  </si>
  <si>
    <t>0309 - 5 - 3 1 4 25 81 12 36 - 20
0309 - 5 - 3 1 4 25 81 12 36 - 88
0309 - 5 - 3 1 4 25 81 12 36 - 163</t>
  </si>
  <si>
    <t>201663000-0036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</si>
  <si>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</si>
  <si>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</si>
  <si>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</si>
  <si>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</si>
  <si>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Faber Mosquera Alvarez</t>
  </si>
  <si>
    <t xml:space="preserve">Apoyar a ciento cincuenta (150) instituciones educativas del departamento en la formulación de Planes Escolares de Gestión del Riesgo (PGERD) </t>
  </si>
  <si>
    <t xml:space="preserve">Número de instituciones educativas apoyadas en la formulación de los PGERD  </t>
  </si>
  <si>
    <t>Conocimiento manejo y reducción del riesgo en el departamento</t>
  </si>
  <si>
    <t xml:space="preserve">Formulación de los planes escolares de gestión del riesgo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</si>
  <si>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</si>
  <si>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</si>
  <si>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Apoyo en formacion y capacitación de gestión del riesgo</t>
  </si>
  <si>
    <t>Fortalecimiento instituciones de socorro</t>
  </si>
  <si>
    <t xml:space="preserve">Adquisición tecnología (cámara térmica, Dron)
</t>
  </si>
  <si>
    <t xml:space="preserve">
1956</t>
  </si>
  <si>
    <t>Material didáctico</t>
  </si>
  <si>
    <t xml:space="preserve">
2700</t>
  </si>
  <si>
    <t xml:space="preserve">
950</t>
  </si>
  <si>
    <t>Servicios de simulador sismico</t>
  </si>
  <si>
    <t>Organización de foros, talleres, eventos, y/o actividades</t>
  </si>
  <si>
    <t xml:space="preserve">Realizar 10 intervenciones en  áreas vulnerables del departamento </t>
  </si>
  <si>
    <t>Número de intervenciones en áreas vulnerables realizadas</t>
  </si>
  <si>
    <t xml:space="preserve">Intervenciones, obras de ingenieria y/o análisis vulnerabilidad </t>
  </si>
  <si>
    <t>Orden Nacional (UNGRD)</t>
  </si>
  <si>
    <t xml:space="preserve">Fortalecer el comité departamental de gestión del riesgo de desastres </t>
  </si>
  <si>
    <t>Comité departamental de gestión del riesgo de desastres fortalecido</t>
  </si>
  <si>
    <t>Mantenimiento red de comunicaciones</t>
  </si>
  <si>
    <t>Procesos de atención a PQRS y servicios demandados por la de la comunidad</t>
  </si>
  <si>
    <t xml:space="preserve">Actualización y desarrollo de  tecnologías en gestión del riesgo </t>
  </si>
  <si>
    <t>Formacion y capacitacion en el manejo del riesgo</t>
  </si>
  <si>
    <t>Servicios y atención  de manejo de riesgos</t>
  </si>
  <si>
    <t xml:space="preserve">Fortalecimiento  a las instituciones del comité de manejo
</t>
  </si>
  <si>
    <t>FORTALECIMIENTO INSTITUCIONAL PARA LA GESTIÓN DEL RIESGO DE DESASTRES COMO UNA ESTRATEGIA DE DESARROLLO</t>
  </si>
  <si>
    <t>Poner en funcionamiento operativo la sala de crisis del Departamento</t>
  </si>
  <si>
    <t>Sala de crisis del departamento funcionando</t>
  </si>
  <si>
    <t>0309 - 5 - 3 1 4 25 82 12 38 - 20</t>
  </si>
  <si>
    <t>201663000-0038</t>
  </si>
  <si>
    <t>Apoyo institucional en la gestión del riesgo  en el Departamento del Quindio</t>
  </si>
  <si>
    <t xml:space="preserve">Lograr que las ciudadaes y los asentamientos humanos sean inclusivos, resilientes y sostenibles (ODS-objetivo 11)
</t>
  </si>
  <si>
    <t xml:space="preserve">1. Cumplimiento de los protocolos para la preparación y manejo de la emergencia.
2. Destinación de recursos en el ambito local para la atención de las emergencias.
</t>
  </si>
  <si>
    <t xml:space="preserve">Adquisición y/o mantenimiento  de equipos de  comunicación y/o tecnología   </t>
  </si>
  <si>
    <t xml:space="preserve">Articulación y coordinación para el manejo de  desastres en la sala de crisis del departamento </t>
  </si>
  <si>
    <t>Fortalecer  la dotación de la bodega estratégica de la Unidad Departamental de la Gestión del Riesgo de Desastres UDEGER</t>
  </si>
  <si>
    <t>Unidad Departamental de la Gestión del Riesgo de Desastre UDEGER dotada</t>
  </si>
  <si>
    <t xml:space="preserve">Apoyo para la entrega de ayuda humanitaria </t>
  </si>
  <si>
    <t>Suministro de ayudas  Humanitaria</t>
  </si>
  <si>
    <t>PODER CIUDADANO</t>
  </si>
  <si>
    <t>QUINDIO SI A LA PARTICIPACIÓN</t>
  </si>
  <si>
    <t>Desarrollar estrategias tendientes a promover la participación ciudadana en el departamento</t>
  </si>
  <si>
    <t>Estrategias de participación desarrolladas</t>
  </si>
  <si>
    <t>0309 - 5 - 3 1 5 27 85 16 39 - 20
0309 - 5 - 3 1 5 27 85 16 39 - 88</t>
  </si>
  <si>
    <t>201663000-0039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</si>
  <si>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</si>
  <si>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</si>
  <si>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</si>
  <si>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estrategías de participación</t>
  </si>
  <si>
    <t>20
88</t>
  </si>
  <si>
    <t xml:space="preserve">Celebración de la semana de participación </t>
  </si>
  <si>
    <t>Realización de eventos para el  fortalecimiento a la participación ciudadana y control social</t>
  </si>
  <si>
    <t xml:space="preserve">Logística, transporte y/o refrigerios </t>
  </si>
  <si>
    <t>Material y piezas promocionales como estrategías de participación</t>
  </si>
  <si>
    <t>Servicios de Apoyo para eventos de formación,capacitación</t>
  </si>
  <si>
    <t xml:space="preserve">Apoyo a estrategías y/o programas de promoción y fortalecimiento de la participación ciudadana </t>
  </si>
  <si>
    <t xml:space="preserve">Adquisición de equipos tecnológicos y/o muebles logísticos para el mejoramiento de la atención al ciudadano
</t>
  </si>
  <si>
    <t>Creación y puesta en funcionamiento  del Consejo departamental de participación Ciudadana</t>
  </si>
  <si>
    <t xml:space="preserve">Consejo departamental creado y funcionando </t>
  </si>
  <si>
    <t>Servicios de apoyo a la operatividad del consejo de participación ciudadana</t>
  </si>
  <si>
    <t>Material pedagogíco y/o promocional relacionado con el consejo de participación</t>
  </si>
  <si>
    <t>Juliana Hénandez</t>
  </si>
  <si>
    <t xml:space="preserve">Servicios de Apoyo para eventos de formación, capacitación y/o formulación de políticas publicas 
</t>
  </si>
  <si>
    <t>Sandra Gaviria</t>
  </si>
  <si>
    <t>Prestación de servicio de transporte</t>
  </si>
  <si>
    <t xml:space="preserve">Logística y/o refrigerios </t>
  </si>
  <si>
    <t>Apoyar  la comisión para la Coordinación y Seguimiento de los procesos electorales del departamento del Quindío  según el numero de eventos que se presenten</t>
  </si>
  <si>
    <t xml:space="preserve">N° de procesos electorales apoyados </t>
  </si>
  <si>
    <t xml:space="preserve">Apoyo insumos logísticos, transporte,suminsitro de combustible y/o alimentación para la celebración de los comicios electorales </t>
  </si>
  <si>
    <t>Diseñar e implementar la Escuela de Liderazgo democrático</t>
  </si>
  <si>
    <t>Escuela de liderazgo diseñada e implementada</t>
  </si>
  <si>
    <t xml:space="preserve">Estructuración e implementación   de la escuela de liderazgo </t>
  </si>
  <si>
    <t xml:space="preserve">Logística, transporte, impresos y/o refrigerios </t>
  </si>
  <si>
    <t>Formular e implementar la política pública departamental de libertad religiosa en desarrollo  del árticulo 244 de la ley  1753 "por medio de la cual  se expide  el Plan Nacional de Desarrollo 2014-2018 TODOS POR UN NUIEVO PAÍS"</t>
  </si>
  <si>
    <t xml:space="preserve">Politica pública formulada e implementada </t>
  </si>
  <si>
    <t>Servicios de apoyo para la operatividad  del comité de libertad religiosa</t>
  </si>
  <si>
    <t xml:space="preserve">Realización de eventos y/o encuentros de libertad religiosa </t>
  </si>
  <si>
    <t>Materíal pedagógico y/o promocional relacionado</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</si>
  <si>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</si>
  <si>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</si>
  <si>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</si>
  <si>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0309 - 5 - 3 1 5 27 86 16 40 - 20</t>
  </si>
  <si>
    <t>201663000-0040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</si>
  <si>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</si>
  <si>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</si>
  <si>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Mejoramiento en  los procesos de inspección, vigilancia y control realizados a los organismos comunales.
</t>
  </si>
  <si>
    <t>Servicios como apoyo al fortalecimiento de los organismos  comunales</t>
  </si>
  <si>
    <t xml:space="preserve">Celebración día comunal
</t>
  </si>
  <si>
    <t>20</t>
  </si>
  <si>
    <t>Recurso Ordianrio</t>
  </si>
  <si>
    <t>Apoyo a eventos de carácter municipal, departamental y/o  nacional</t>
  </si>
  <si>
    <t>Apoyo para fortalecimiento de programas de los organismos comunales</t>
  </si>
  <si>
    <t>VEEDURIAS Y RENDICIÓN DE CUENTAS</t>
  </si>
  <si>
    <t>Implementar un (1) programa de fortalecimiento de las veedurías ciudadanas del departamento</t>
  </si>
  <si>
    <t>Programa de fortalecimiento implementado</t>
  </si>
  <si>
    <t>0309 - 5 - 3 1 5 26 84 16 42 - 20</t>
  </si>
  <si>
    <t>201663000-0042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</si>
  <si>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</si>
  <si>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</si>
  <si>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</si>
  <si>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</si>
  <si>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Suministro de logística  y/o refrigerios </t>
  </si>
  <si>
    <t xml:space="preserve">Organización de eventos, foros, actividades entre otros  para la promoción y el fortalecimiento del control social y las veedurías ciudadanas. 
</t>
  </si>
  <si>
    <t xml:space="preserve">Difusión en medios masivos  de comunicación (radio impresos entre otros) para la promoción y el fortalecimiento del control social y las  veedurias ciudadanas  </t>
  </si>
  <si>
    <t>Prestación de servicios de transporte</t>
  </si>
  <si>
    <t>JORGE ANDRÉS BUITRAGO MONCALEANO</t>
  </si>
  <si>
    <t>Secretario del Interior</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</si>
</sst>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dd/mm/yy;@"/>
    <numFmt numFmtId="166" formatCode="_(* #,##0_);_(* \(#,##0\);_(* &quot;-&quot;??_);_(@_)"/>
    <numFmt numFmtId="167" formatCode="dd/mm/yyyy;@"/>
    <numFmt numFmtId="168" formatCode="_(&quot;$&quot;* #,##0.00_);_(&quot;$&quot;* \(#,##0.00\);_(&quot;$&quot;* &quot;-&quot;??_);_(@_)"/>
    <numFmt numFmtId="169" formatCode="&quot;$&quot;\ #,##0"/>
    <numFmt numFmtId="170" formatCode="0.0"/>
    <numFmt numFmtId="171" formatCode="_ [$€-2]\ * #,##0.00_ ;_ [$€-2]\ * \-#,##0.00_ ;_ [$€-2]\ * &quot;-&quot;??_ "/>
    <numFmt numFmtId="172" formatCode="_-&quot;$&quot;* #,##0.00_-;\-&quot;$&quot;* #,##0.00_-;_-&quot;$&quot;* &quot;-&quot;??_-;_-@_-"/>
    <numFmt numFmtId="173" formatCode="0_ ;\-0\ "/>
    <numFmt numFmtId="174" formatCode="_-* #,##0_-;\-* #,##0_-;_-* &quot;-&quot;_-;_-@_-"/>
    <numFmt numFmtId="175" formatCode="_-&quot;$&quot;\ * #,##0.00_-;\-&quot;$&quot;\ * #,##0.00_-;_-&quot;$&quot;\ * &quot;-&quot;??_-;_-@_-"/>
    <numFmt numFmtId="176" formatCode="_(&quot;$&quot;\ * #,##0_);_(&quot;$&quot;\ * \(#,##0\);_(&quot;$&quot;\ * &quot;-&quot;??_);_(@_)"/>
    <numFmt numFmtId="177" formatCode="_-* #,##0.00_-;\-* #,##0.00_-;_-* &quot;-&quot;??_-;_-@_-"/>
    <numFmt numFmtId="178" formatCode="&quot;$&quot;#,##0"/>
    <numFmt numFmtId="179" formatCode="&quot;$&quot;#,##0.00"/>
    <numFmt numFmtId="180" formatCode="d/mm/yyyy;@"/>
    <numFmt numFmtId="181" formatCode="#,##0.0"/>
    <numFmt numFmtId="182" formatCode="_-&quot;$&quot;* #,##0_-;\-&quot;$&quot;* #,##0_-;_-&quot;$&quot;* &quot;-&quot;_-;_-@_-"/>
    <numFmt numFmtId="183" formatCode="0.0%"/>
    <numFmt numFmtId="184" formatCode="_(* #,##0.00_);_(* \(#,##0.00\);_(* &quot;-&quot;_);_(@_)"/>
    <numFmt numFmtId="185" formatCode="#,##0.00_);\-#,##0.00"/>
    <numFmt numFmtId="186" formatCode="_(&quot;$&quot;* #,##0_);_(&quot;$&quot;* \(#,##0\);_(&quot;$&quot;* &quot;-&quot;_);_(@_)"/>
    <numFmt numFmtId="187" formatCode="&quot;$&quot;\ #,##0.00"/>
    <numFmt numFmtId="188" formatCode="_-* #,##0.00\ _€_-;\-* #,##0.00\ _€_-;_-* &quot;-&quot;??\ _€_-;_-@_-"/>
    <numFmt numFmtId="189" formatCode="#,##0.00;[Red]#,##0.00"/>
    <numFmt numFmtId="190" formatCode="#,##0;[Red]#,##0"/>
    <numFmt numFmtId="191" formatCode="0;[Red]0"/>
    <numFmt numFmtId="192" formatCode="_-[$$-240A]* #,##0.00_-;\-[$$-240A]* #,##0.00_-;_-[$$-240A]* &quot;-&quot;??_-;_-@_-"/>
    <numFmt numFmtId="193" formatCode="_-[$$-240A]* #,##0.00_-;\-[$$-240A]* #,##0.00_-;_-[$$-240A]* &quot;-&quot;_-;_-@_-"/>
    <numFmt numFmtId="194" formatCode="_-[$$-240A]* #,##0_-;\-[$$-240A]* #,##0_-;_-[$$-240A]* &quot;-&quot;??_-;_-@_-"/>
    <numFmt numFmtId="195" formatCode="#,##0.000"/>
  </numFmts>
  <fonts count="50" x14ac:knownFonts="1">
    <font>
      <sz val="11"/>
      <color theme="1"/>
      <name val="Calibri"/>
      <family val="2"/>
      <scheme val="minor"/>
    </font>
    <font>
      <sz val="11"/>
      <color theme="1"/>
      <name val="Calibri"/>
      <family val="2"/>
      <scheme val="minor"/>
    </font>
    <font>
      <b/>
      <sz val="14"/>
      <color theme="1"/>
      <name val="Arial"/>
      <family val="2"/>
    </font>
    <font>
      <b/>
      <sz val="10"/>
      <name val="Arial"/>
      <family val="2"/>
    </font>
    <font>
      <b/>
      <sz val="11"/>
      <name val="Arial"/>
      <family val="2"/>
    </font>
    <font>
      <sz val="12"/>
      <color theme="1"/>
      <name val="Arial"/>
      <family val="2"/>
    </font>
    <font>
      <b/>
      <sz val="12"/>
      <color theme="1"/>
      <name val="Arial"/>
      <family val="2"/>
    </font>
    <font>
      <b/>
      <sz val="12"/>
      <name val="Arial"/>
      <family val="2"/>
    </font>
    <font>
      <b/>
      <sz val="8"/>
      <name val="Arial"/>
      <family val="2"/>
    </font>
    <font>
      <sz val="12"/>
      <name val="Arial"/>
      <family val="2"/>
    </font>
    <font>
      <sz val="12"/>
      <color rgb="FFFF0000"/>
      <name val="Arial"/>
      <family val="2"/>
    </font>
    <font>
      <sz val="12"/>
      <color rgb="FF000000"/>
      <name val="Arial"/>
      <family val="2"/>
    </font>
    <font>
      <b/>
      <sz val="12"/>
      <color rgb="FFFF0000"/>
      <name val="Arial"/>
      <family val="2"/>
    </font>
    <font>
      <b/>
      <sz val="14"/>
      <color indexed="8"/>
      <name val="Arial"/>
      <family val="2"/>
    </font>
    <font>
      <sz val="12"/>
      <color indexed="8"/>
      <name val="Arial"/>
      <family val="2"/>
    </font>
    <font>
      <b/>
      <sz val="12"/>
      <color indexed="8"/>
      <name val="Arial"/>
      <family val="2"/>
    </font>
    <font>
      <sz val="11"/>
      <color indexed="8"/>
      <name val="Calibri"/>
      <family val="2"/>
    </font>
    <font>
      <b/>
      <sz val="9"/>
      <name val="Calibri"/>
      <family val="2"/>
      <scheme val="minor"/>
    </font>
    <font>
      <sz val="10"/>
      <color theme="1"/>
      <name val="Arial"/>
      <family val="2"/>
    </font>
    <font>
      <sz val="11"/>
      <color rgb="FFFF0000"/>
      <name val="Calibri"/>
      <family val="2"/>
      <scheme val="minor"/>
    </font>
    <font>
      <b/>
      <sz val="10"/>
      <color theme="1"/>
      <name val="Arial"/>
      <family val="2"/>
    </font>
    <font>
      <b/>
      <sz val="10"/>
      <color indexed="8"/>
      <name val="Arial"/>
      <family val="2"/>
    </font>
    <font>
      <sz val="11"/>
      <color theme="1"/>
      <name val="Arial"/>
      <family val="2"/>
    </font>
    <font>
      <sz val="11"/>
      <name val="Arial"/>
      <family val="2"/>
    </font>
    <font>
      <b/>
      <sz val="11"/>
      <color theme="1"/>
      <name val="Arial"/>
      <family val="2"/>
    </font>
    <font>
      <sz val="11"/>
      <name val="Calibri"/>
      <family val="2"/>
      <scheme val="minor"/>
    </font>
    <font>
      <b/>
      <sz val="14"/>
      <name val="Arial"/>
      <family val="2"/>
    </font>
    <font>
      <sz val="10"/>
      <name val="Arial"/>
      <family val="2"/>
    </font>
    <font>
      <sz val="9"/>
      <color indexed="81"/>
      <name val="Tahoma"/>
      <family val="2"/>
    </font>
    <font>
      <b/>
      <sz val="9"/>
      <color indexed="81"/>
      <name val="Tahoma"/>
      <family val="2"/>
    </font>
    <font>
      <b/>
      <sz val="11"/>
      <name val="Calibri"/>
      <family val="2"/>
      <scheme val="minor"/>
    </font>
    <font>
      <sz val="12"/>
      <name val="Calibri"/>
      <family val="2"/>
      <scheme val="minor"/>
    </font>
    <font>
      <sz val="8"/>
      <name val="Calibri"/>
      <family val="2"/>
      <scheme val="minor"/>
    </font>
    <font>
      <b/>
      <sz val="11"/>
      <color indexed="8"/>
      <name val="Arial"/>
      <family val="2"/>
    </font>
    <font>
      <b/>
      <sz val="9"/>
      <color theme="1"/>
      <name val="Calibri"/>
      <family val="2"/>
      <scheme val="minor"/>
    </font>
    <font>
      <sz val="11"/>
      <color theme="0"/>
      <name val="Arial"/>
      <family val="2"/>
    </font>
    <font>
      <sz val="11"/>
      <color rgb="FF000000"/>
      <name val="Arial"/>
      <family val="2"/>
    </font>
    <font>
      <b/>
      <sz val="11"/>
      <color theme="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4"/>
      <name val="Arial"/>
      <family val="2"/>
    </font>
    <font>
      <sz val="6.35"/>
      <color indexed="8"/>
      <name val="Times New Roman"/>
      <family val="1"/>
    </font>
    <font>
      <sz val="12"/>
      <color rgb="FFFF0000"/>
      <name val="Calibri"/>
      <family val="2"/>
      <scheme val="minor"/>
    </font>
    <font>
      <sz val="11"/>
      <color indexed="8"/>
      <name val="Arial"/>
      <family val="2"/>
    </font>
    <font>
      <sz val="12"/>
      <name val="Arial Narrow"/>
      <family val="2"/>
    </font>
    <font>
      <b/>
      <sz val="12"/>
      <name val="Arial Narrow"/>
      <family val="2"/>
    </font>
    <font>
      <i/>
      <sz val="12"/>
      <name val="Arial Narrow"/>
      <family val="2"/>
    </font>
    <font>
      <b/>
      <sz val="9"/>
      <name val="Arial"/>
      <family val="2"/>
    </font>
    <font>
      <sz val="11"/>
      <color rgb="FFFF0000"/>
      <name val="Arial"/>
      <family val="2"/>
    </font>
  </fonts>
  <fills count="29">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FFFF"/>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theme="3" tint="0.79998168889431442"/>
        <bgColor indexed="64"/>
      </patternFill>
    </fill>
    <fill>
      <patternFill patternType="solid">
        <fgColor indexed="57"/>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DBDBDB"/>
        <bgColor rgb="FF000000"/>
      </patternFill>
    </fill>
    <fill>
      <patternFill patternType="solid">
        <fgColor theme="2" tint="-0.249977111117893"/>
        <bgColor indexed="64"/>
      </patternFill>
    </fill>
    <fill>
      <patternFill patternType="solid">
        <fgColor rgb="FFFFC00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E0C316"/>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theme="2" tint="-9.9978637043366805E-2"/>
        <bgColor indexed="64"/>
      </patternFill>
    </fill>
  </fills>
  <borders count="9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indexed="64"/>
      </left>
      <right/>
      <top/>
      <bottom style="medium">
        <color indexed="64"/>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right style="thin">
        <color indexed="64"/>
      </right>
      <top/>
      <bottom style="medium">
        <color indexed="64"/>
      </bottom>
      <diagonal/>
    </border>
    <border>
      <left style="thin">
        <color auto="1"/>
      </left>
      <right style="thin">
        <color indexed="64"/>
      </right>
      <top/>
      <bottom style="medium">
        <color indexed="64"/>
      </bottom>
      <diagonal/>
    </border>
    <border>
      <left style="thin">
        <color rgb="FF000000"/>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rgb="FF000000"/>
      </right>
      <top/>
      <bottom/>
      <diagonal/>
    </border>
    <border>
      <left style="thin">
        <color rgb="FF000000"/>
      </left>
      <right style="thin">
        <color rgb="FF000000"/>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rgb="FF000000"/>
      </top>
      <bottom/>
      <diagonal/>
    </border>
    <border>
      <left style="thin">
        <color rgb="FF000000"/>
      </left>
      <right style="thin">
        <color indexed="64"/>
      </right>
      <top/>
      <bottom style="medium">
        <color indexed="64"/>
      </bottom>
      <diagonal/>
    </border>
    <border>
      <left style="thin">
        <color indexed="64"/>
      </left>
      <right style="thin">
        <color indexed="64"/>
      </right>
      <top style="medium">
        <color indexed="64"/>
      </top>
      <bottom/>
      <diagonal/>
    </border>
    <border>
      <left style="thin">
        <color auto="1"/>
      </left>
      <right style="thin">
        <color rgb="FF000000"/>
      </right>
      <top style="thin">
        <color auto="1"/>
      </top>
      <bottom/>
      <diagonal/>
    </border>
    <border>
      <left style="thin">
        <color auto="1"/>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indexed="64"/>
      </bottom>
      <diagonal/>
    </border>
    <border>
      <left style="thin">
        <color indexed="64"/>
      </left>
      <right style="thin">
        <color rgb="FF000000"/>
      </right>
      <top style="thin">
        <color rgb="FF000000"/>
      </top>
      <bottom/>
      <diagonal/>
    </border>
    <border>
      <left style="thin">
        <color auto="1"/>
      </left>
      <right/>
      <top style="thin">
        <color rgb="FF000000"/>
      </top>
      <bottom/>
      <diagonal/>
    </border>
    <border>
      <left style="thin">
        <color rgb="FF000000"/>
      </left>
      <right/>
      <top/>
      <bottom style="thin">
        <color rgb="FF000000"/>
      </bottom>
      <diagonal/>
    </border>
    <border>
      <left style="thin">
        <color rgb="FF000000"/>
      </left>
      <right/>
      <top style="thin">
        <color indexed="64"/>
      </top>
      <bottom/>
      <diagonal/>
    </border>
    <border>
      <left style="thin">
        <color rgb="FF000000"/>
      </left>
      <right/>
      <top/>
      <bottom style="thin">
        <color indexed="64"/>
      </bottom>
      <diagonal/>
    </border>
    <border>
      <left style="thin">
        <color rgb="FF000000"/>
      </left>
      <right style="thin">
        <color indexed="64"/>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indexed="64"/>
      </right>
      <top/>
      <bottom style="thin">
        <color rgb="FF000000"/>
      </bottom>
      <diagonal/>
    </border>
  </borders>
  <cellStyleXfs count="29">
    <xf numFmtId="0" fontId="0"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171" fontId="1" fillId="0" borderId="0"/>
    <xf numFmtId="41" fontId="1" fillId="0" borderId="0" applyFont="0" applyFill="0" applyBorder="0" applyAlignment="0" applyProtection="0"/>
    <xf numFmtId="171" fontId="1" fillId="0" borderId="0"/>
    <xf numFmtId="174" fontId="1" fillId="0" borderId="0" applyFont="0" applyFill="0" applyBorder="0" applyAlignment="0" applyProtection="0"/>
    <xf numFmtId="175"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0" fontId="1" fillId="0" borderId="0"/>
    <xf numFmtId="43" fontId="16" fillId="0" borderId="0" applyFon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27" fillId="0" borderId="0"/>
    <xf numFmtId="0" fontId="27" fillId="0" borderId="0"/>
    <xf numFmtId="0" fontId="27" fillId="0" borderId="0"/>
    <xf numFmtId="9" fontId="16" fillId="0" borderId="0" applyFont="0" applyFill="0" applyBorder="0" applyAlignment="0" applyProtection="0"/>
    <xf numFmtId="42" fontId="1" fillId="0" borderId="0" applyFont="0" applyFill="0" applyBorder="0" applyAlignment="0" applyProtection="0"/>
    <xf numFmtId="0" fontId="1" fillId="0" borderId="0"/>
    <xf numFmtId="0" fontId="27" fillId="0" borderId="0"/>
    <xf numFmtId="188" fontId="1" fillId="0" borderId="0" applyFont="0" applyFill="0" applyBorder="0" applyAlignment="0" applyProtection="0"/>
    <xf numFmtId="9" fontId="16" fillId="0" borderId="0" applyFont="0" applyFill="0" applyBorder="0" applyAlignment="0" applyProtection="0"/>
    <xf numFmtId="171" fontId="1" fillId="0" borderId="0"/>
  </cellStyleXfs>
  <cellXfs count="5586">
    <xf numFmtId="0" fontId="0" fillId="0" borderId="0" xfId="0"/>
    <xf numFmtId="0" fontId="2" fillId="0" borderId="0" xfId="0" applyFont="1" applyAlignment="1">
      <alignment horizontal="center" vertical="center" wrapText="1"/>
    </xf>
    <xf numFmtId="0" fontId="3" fillId="0" borderId="0" xfId="0" applyFont="1" applyBorder="1" applyAlignment="1">
      <alignment vertical="center"/>
    </xf>
    <xf numFmtId="0" fontId="4" fillId="0" borderId="2" xfId="0" applyFont="1" applyBorder="1" applyAlignment="1">
      <alignment horizontal="center" wrapText="1"/>
    </xf>
    <xf numFmtId="0" fontId="5" fillId="0" borderId="0" xfId="0" applyFont="1"/>
    <xf numFmtId="0" fontId="3" fillId="0" borderId="0" xfId="0" applyFont="1" applyBorder="1" applyAlignment="1">
      <alignment horizontal="left" vertical="center"/>
    </xf>
    <xf numFmtId="164" fontId="4" fillId="0" borderId="2" xfId="0" applyNumberFormat="1" applyFont="1" applyBorder="1" applyAlignment="1">
      <alignment horizontal="left"/>
    </xf>
    <xf numFmtId="17" fontId="4" fillId="0" borderId="2" xfId="0" applyNumberFormat="1" applyFont="1" applyBorder="1" applyAlignment="1">
      <alignment horizontal="left"/>
    </xf>
    <xf numFmtId="0" fontId="2" fillId="0" borderId="3" xfId="0" applyFont="1" applyBorder="1" applyAlignment="1">
      <alignment horizontal="center" vertical="center" wrapText="1"/>
    </xf>
    <xf numFmtId="3" fontId="4" fillId="2" borderId="2" xfId="0" applyNumberFormat="1" applyFont="1" applyFill="1" applyBorder="1" applyAlignment="1">
      <alignment horizontal="left" vertical="center" wrapText="1"/>
    </xf>
    <xf numFmtId="0" fontId="5" fillId="0" borderId="0" xfId="0" applyFont="1" applyAlignment="1">
      <alignment wrapText="1"/>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5"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3" borderId="2" xfId="0" applyFont="1" applyFill="1" applyBorder="1" applyAlignment="1">
      <alignment vertical="center" wrapText="1"/>
    </xf>
    <xf numFmtId="4" fontId="8" fillId="5" borderId="2" xfId="0" applyNumberFormat="1" applyFont="1" applyFill="1" applyBorder="1" applyAlignment="1">
      <alignment horizontal="center" vertical="center" wrapText="1"/>
    </xf>
    <xf numFmtId="9" fontId="8" fillId="5" borderId="2" xfId="2" applyFont="1" applyFill="1" applyBorder="1" applyAlignment="1">
      <alignment horizontal="center" vertical="center" wrapText="1"/>
    </xf>
    <xf numFmtId="0" fontId="8" fillId="5" borderId="2" xfId="0" applyFont="1" applyFill="1" applyBorder="1" applyAlignment="1">
      <alignment horizontal="center" vertical="center" wrapText="1"/>
    </xf>
    <xf numFmtId="1" fontId="6" fillId="6" borderId="4" xfId="0" applyNumberFormat="1" applyFont="1" applyFill="1" applyBorder="1" applyAlignment="1">
      <alignment horizontal="left" vertical="center" wrapText="1"/>
    </xf>
    <xf numFmtId="0" fontId="6" fillId="6" borderId="5" xfId="0" applyFont="1" applyFill="1" applyBorder="1" applyAlignment="1">
      <alignment vertical="center"/>
    </xf>
    <xf numFmtId="0" fontId="6" fillId="6" borderId="5" xfId="0" applyFont="1" applyFill="1" applyBorder="1" applyAlignment="1">
      <alignment horizontal="justify" vertical="center"/>
    </xf>
    <xf numFmtId="0" fontId="6" fillId="6" borderId="5" xfId="0" applyFont="1" applyFill="1" applyBorder="1" applyAlignment="1">
      <alignment horizontal="center" vertical="center"/>
    </xf>
    <xf numFmtId="9" fontId="6" fillId="6" borderId="5" xfId="3" applyFont="1" applyFill="1" applyBorder="1" applyAlignment="1">
      <alignment horizontal="center" vertical="center"/>
    </xf>
    <xf numFmtId="3" fontId="5" fillId="6" borderId="5" xfId="0" applyNumberFormat="1" applyFont="1" applyFill="1" applyBorder="1" applyAlignment="1">
      <alignment vertical="center"/>
    </xf>
    <xf numFmtId="3" fontId="6" fillId="6" borderId="5" xfId="0" applyNumberFormat="1" applyFont="1" applyFill="1" applyBorder="1" applyAlignment="1">
      <alignment horizontal="right" vertical="center"/>
    </xf>
    <xf numFmtId="166" fontId="6" fillId="6" borderId="5" xfId="0" applyNumberFormat="1" applyFont="1" applyFill="1" applyBorder="1" applyAlignment="1">
      <alignment horizontal="center" vertical="center"/>
    </xf>
    <xf numFmtId="0" fontId="6" fillId="6" borderId="2" xfId="0" applyFont="1" applyFill="1" applyBorder="1" applyAlignment="1">
      <alignment horizontal="center" vertical="center"/>
    </xf>
    <xf numFmtId="0" fontId="6" fillId="6" borderId="2" xfId="0" applyFont="1" applyFill="1" applyBorder="1" applyAlignment="1">
      <alignment vertical="center"/>
    </xf>
    <xf numFmtId="0" fontId="6" fillId="6" borderId="2" xfId="0" applyFont="1" applyFill="1" applyBorder="1" applyAlignment="1">
      <alignment horizontal="justify" vertical="center"/>
    </xf>
    <xf numFmtId="0" fontId="5" fillId="7" borderId="4" xfId="0" applyFont="1" applyFill="1" applyBorder="1" applyAlignment="1">
      <alignment vertical="center" wrapText="1"/>
    </xf>
    <xf numFmtId="0" fontId="6" fillId="8" borderId="8" xfId="0" applyFont="1" applyFill="1" applyBorder="1" applyAlignment="1">
      <alignment horizontal="left" vertical="center"/>
    </xf>
    <xf numFmtId="1" fontId="6" fillId="8" borderId="9" xfId="0" applyNumberFormat="1" applyFont="1" applyFill="1" applyBorder="1" applyAlignment="1">
      <alignment horizontal="left" vertical="center"/>
    </xf>
    <xf numFmtId="0" fontId="6" fillId="8" borderId="5" xfId="0" applyFont="1" applyFill="1" applyBorder="1" applyAlignment="1">
      <alignment vertical="center"/>
    </xf>
    <xf numFmtId="0" fontId="6" fillId="8" borderId="5" xfId="0" applyFont="1" applyFill="1" applyBorder="1" applyAlignment="1">
      <alignment horizontal="justify" vertical="center"/>
    </xf>
    <xf numFmtId="0" fontId="6" fillId="8" borderId="5" xfId="0" applyFont="1" applyFill="1" applyBorder="1" applyAlignment="1">
      <alignment horizontal="center" vertical="center"/>
    </xf>
    <xf numFmtId="9" fontId="6" fillId="8" borderId="5" xfId="3" applyFont="1" applyFill="1" applyBorder="1" applyAlignment="1">
      <alignment horizontal="center" vertical="center"/>
    </xf>
    <xf numFmtId="3" fontId="5" fillId="8" borderId="5" xfId="0" applyNumberFormat="1" applyFont="1" applyFill="1" applyBorder="1" applyAlignment="1">
      <alignment vertical="center"/>
    </xf>
    <xf numFmtId="3" fontId="6" fillId="8" borderId="5" xfId="0" applyNumberFormat="1" applyFont="1" applyFill="1" applyBorder="1" applyAlignment="1">
      <alignment horizontal="right" vertical="center"/>
    </xf>
    <xf numFmtId="166" fontId="6" fillId="8" borderId="5" xfId="0" applyNumberFormat="1" applyFont="1" applyFill="1" applyBorder="1" applyAlignment="1">
      <alignment horizontal="center" vertical="center"/>
    </xf>
    <xf numFmtId="0" fontId="6" fillId="8" borderId="0" xfId="0" applyFont="1" applyFill="1" applyBorder="1" applyAlignment="1">
      <alignment vertical="center"/>
    </xf>
    <xf numFmtId="0" fontId="6" fillId="8" borderId="0" xfId="0" applyFont="1" applyFill="1" applyAlignment="1">
      <alignment vertical="center"/>
    </xf>
    <xf numFmtId="0" fontId="6" fillId="8" borderId="2" xfId="0" applyFont="1" applyFill="1" applyBorder="1" applyAlignment="1">
      <alignment vertical="center"/>
    </xf>
    <xf numFmtId="167" fontId="6" fillId="8" borderId="2" xfId="0" applyNumberFormat="1" applyFont="1" applyFill="1" applyBorder="1" applyAlignment="1">
      <alignment vertical="center"/>
    </xf>
    <xf numFmtId="0" fontId="6" fillId="8" borderId="2" xfId="0" applyFont="1" applyFill="1" applyBorder="1" applyAlignment="1">
      <alignment horizontal="justify" vertical="center"/>
    </xf>
    <xf numFmtId="0" fontId="5" fillId="7" borderId="0" xfId="0" applyFont="1" applyFill="1"/>
    <xf numFmtId="0" fontId="5" fillId="7" borderId="14" xfId="0" applyFont="1" applyFill="1" applyBorder="1" applyAlignment="1">
      <alignment vertical="center" wrapText="1"/>
    </xf>
    <xf numFmtId="1" fontId="6" fillId="9" borderId="8" xfId="0" applyNumberFormat="1" applyFont="1" applyFill="1" applyBorder="1" applyAlignment="1">
      <alignment horizontal="left" vertical="center" wrapText="1"/>
    </xf>
    <xf numFmtId="1" fontId="6" fillId="9" borderId="9" xfId="0" applyNumberFormat="1" applyFont="1" applyFill="1" applyBorder="1" applyAlignment="1">
      <alignment vertical="center"/>
    </xf>
    <xf numFmtId="0" fontId="6" fillId="9" borderId="1" xfId="0" applyFont="1" applyFill="1" applyBorder="1" applyAlignment="1">
      <alignment vertical="center"/>
    </xf>
    <xf numFmtId="0" fontId="6" fillId="9" borderId="2" xfId="0" applyFont="1" applyFill="1" applyBorder="1" applyAlignment="1">
      <alignment horizontal="justify" vertical="center"/>
    </xf>
    <xf numFmtId="0" fontId="6" fillId="9" borderId="2" xfId="0" applyFont="1" applyFill="1" applyBorder="1" applyAlignment="1">
      <alignment vertical="center"/>
    </xf>
    <xf numFmtId="0" fontId="6" fillId="9" borderId="2" xfId="0" applyFont="1" applyFill="1" applyBorder="1" applyAlignment="1">
      <alignment horizontal="center" vertical="center"/>
    </xf>
    <xf numFmtId="9" fontId="6" fillId="9" borderId="2" xfId="3" applyFont="1" applyFill="1" applyBorder="1" applyAlignment="1">
      <alignment horizontal="center" vertical="center"/>
    </xf>
    <xf numFmtId="3" fontId="5" fillId="9" borderId="2" xfId="0" applyNumberFormat="1" applyFont="1" applyFill="1" applyBorder="1" applyAlignment="1">
      <alignment vertical="center"/>
    </xf>
    <xf numFmtId="3" fontId="6" fillId="9" borderId="2" xfId="0" applyNumberFormat="1" applyFont="1" applyFill="1" applyBorder="1" applyAlignment="1">
      <alignment horizontal="right" vertical="center"/>
    </xf>
    <xf numFmtId="166" fontId="6" fillId="9" borderId="11" xfId="0" applyNumberFormat="1" applyFont="1" applyFill="1" applyBorder="1" applyAlignment="1">
      <alignment horizontal="center" vertical="center"/>
    </xf>
    <xf numFmtId="0" fontId="6" fillId="9" borderId="11" xfId="0" applyFont="1" applyFill="1" applyBorder="1" applyAlignment="1">
      <alignment vertical="center"/>
    </xf>
    <xf numFmtId="167" fontId="6" fillId="9" borderId="2" xfId="0" applyNumberFormat="1" applyFont="1" applyFill="1" applyBorder="1" applyAlignment="1">
      <alignment vertical="center"/>
    </xf>
    <xf numFmtId="166" fontId="5" fillId="7" borderId="16" xfId="0" applyNumberFormat="1" applyFont="1" applyFill="1" applyBorder="1" applyAlignment="1">
      <alignment vertical="center" wrapText="1"/>
    </xf>
    <xf numFmtId="166" fontId="5" fillId="7" borderId="17" xfId="0" applyNumberFormat="1" applyFont="1" applyFill="1" applyBorder="1" applyAlignment="1">
      <alignment vertical="center" wrapText="1"/>
    </xf>
    <xf numFmtId="1" fontId="5" fillId="7" borderId="2" xfId="0" applyNumberFormat="1" applyFont="1" applyFill="1" applyBorder="1" applyAlignment="1">
      <alignment horizontal="center" vertical="center" wrapText="1"/>
    </xf>
    <xf numFmtId="0" fontId="5" fillId="7" borderId="16" xfId="0" applyFont="1" applyFill="1" applyBorder="1" applyAlignment="1">
      <alignment vertical="center" wrapText="1"/>
    </xf>
    <xf numFmtId="166" fontId="5" fillId="7" borderId="18" xfId="0" applyNumberFormat="1" applyFont="1" applyFill="1" applyBorder="1" applyAlignment="1">
      <alignment vertical="center" wrapText="1"/>
    </xf>
    <xf numFmtId="166" fontId="5" fillId="7" borderId="19" xfId="0" applyNumberFormat="1" applyFont="1" applyFill="1" applyBorder="1" applyAlignment="1">
      <alignment vertical="center" wrapText="1"/>
    </xf>
    <xf numFmtId="0" fontId="5" fillId="7" borderId="0" xfId="0" applyFont="1" applyFill="1" applyAlignment="1">
      <alignment wrapText="1"/>
    </xf>
    <xf numFmtId="0" fontId="5" fillId="7" borderId="2" xfId="0" applyFont="1" applyFill="1" applyBorder="1" applyAlignment="1">
      <alignment horizontal="center" vertical="center" wrapText="1"/>
    </xf>
    <xf numFmtId="0" fontId="5" fillId="7" borderId="2" xfId="0" applyFont="1" applyFill="1" applyBorder="1" applyAlignment="1">
      <alignment horizontal="justify" vertical="center" wrapText="1"/>
    </xf>
    <xf numFmtId="9" fontId="5" fillId="7" borderId="2" xfId="3" applyFont="1" applyFill="1" applyBorder="1" applyAlignment="1">
      <alignment horizontal="center" vertical="center" wrapText="1"/>
    </xf>
    <xf numFmtId="3" fontId="5" fillId="7" borderId="2" xfId="0" applyNumberFormat="1" applyFont="1" applyFill="1" applyBorder="1" applyAlignment="1">
      <alignment horizontal="center" vertical="center" wrapText="1"/>
    </xf>
    <xf numFmtId="0" fontId="5" fillId="7" borderId="2" xfId="0" applyFont="1" applyFill="1" applyBorder="1" applyAlignment="1">
      <alignment horizontal="left" vertical="center" wrapText="1"/>
    </xf>
    <xf numFmtId="166" fontId="5" fillId="7" borderId="6" xfId="0" applyNumberFormat="1" applyFont="1" applyFill="1" applyBorder="1" applyAlignment="1">
      <alignment horizontal="right" vertical="center" wrapText="1"/>
    </xf>
    <xf numFmtId="166" fontId="5" fillId="7" borderId="7" xfId="0" applyNumberFormat="1" applyFont="1" applyFill="1" applyBorder="1" applyAlignment="1">
      <alignment horizontal="right" vertical="center" wrapText="1"/>
    </xf>
    <xf numFmtId="166" fontId="9" fillId="0" borderId="2" xfId="0" applyNumberFormat="1" applyFont="1" applyBorder="1" applyAlignment="1">
      <alignment horizontal="center" vertical="center"/>
    </xf>
    <xf numFmtId="3" fontId="5" fillId="0" borderId="2" xfId="0" applyNumberFormat="1" applyFont="1" applyBorder="1" applyAlignment="1">
      <alignment horizontal="center" vertical="center"/>
    </xf>
    <xf numFmtId="9" fontId="5" fillId="0" borderId="2" xfId="0" applyNumberFormat="1" applyFont="1" applyBorder="1" applyAlignment="1">
      <alignment horizontal="center" vertical="center"/>
    </xf>
    <xf numFmtId="3" fontId="5" fillId="0" borderId="2" xfId="0" applyNumberFormat="1" applyFont="1" applyBorder="1" applyAlignment="1">
      <alignment horizontal="center" vertical="center" wrapText="1"/>
    </xf>
    <xf numFmtId="3" fontId="5" fillId="0" borderId="2" xfId="0" applyNumberFormat="1" applyFont="1" applyBorder="1" applyAlignment="1">
      <alignment horizontal="left" vertical="center" wrapText="1"/>
    </xf>
    <xf numFmtId="14" fontId="5" fillId="7" borderId="2" xfId="0" applyNumberFormat="1" applyFont="1" applyFill="1" applyBorder="1" applyAlignment="1">
      <alignment horizontal="center" vertical="center"/>
    </xf>
    <xf numFmtId="14" fontId="9" fillId="7" borderId="2" xfId="0" applyNumberFormat="1" applyFont="1" applyFill="1" applyBorder="1" applyAlignment="1">
      <alignment horizontal="center" vertical="center"/>
    </xf>
    <xf numFmtId="0" fontId="5" fillId="7" borderId="0" xfId="0" applyFont="1" applyFill="1" applyAlignment="1">
      <alignment horizontal="center" vertical="center" wrapText="1"/>
    </xf>
    <xf numFmtId="1" fontId="6" fillId="8" borderId="8" xfId="0" applyNumberFormat="1" applyFont="1" applyFill="1" applyBorder="1" applyAlignment="1">
      <alignment horizontal="left" vertical="center"/>
    </xf>
    <xf numFmtId="0" fontId="6" fillId="8" borderId="9" xfId="0" applyFont="1" applyFill="1" applyBorder="1" applyAlignment="1">
      <alignment vertical="center"/>
    </xf>
    <xf numFmtId="0" fontId="6" fillId="8" borderId="1" xfId="0" applyFont="1" applyFill="1" applyBorder="1" applyAlignment="1">
      <alignment vertical="center"/>
    </xf>
    <xf numFmtId="0" fontId="6" fillId="8" borderId="2" xfId="0" applyFont="1" applyFill="1" applyBorder="1" applyAlignment="1">
      <alignment horizontal="center" vertical="center"/>
    </xf>
    <xf numFmtId="9" fontId="6" fillId="8" borderId="2" xfId="3" applyFont="1" applyFill="1" applyBorder="1" applyAlignment="1">
      <alignment horizontal="center" vertical="center"/>
    </xf>
    <xf numFmtId="3" fontId="5" fillId="8" borderId="2" xfId="0" applyNumberFormat="1" applyFont="1" applyFill="1" applyBorder="1" applyAlignment="1">
      <alignment vertical="center"/>
    </xf>
    <xf numFmtId="3" fontId="6" fillId="8" borderId="2" xfId="0" applyNumberFormat="1" applyFont="1" applyFill="1" applyBorder="1" applyAlignment="1">
      <alignment horizontal="right" vertical="center"/>
    </xf>
    <xf numFmtId="166" fontId="6" fillId="8" borderId="2" xfId="0" applyNumberFormat="1" applyFont="1" applyFill="1" applyBorder="1" applyAlignment="1">
      <alignment horizontal="center" vertical="center"/>
    </xf>
    <xf numFmtId="166" fontId="6" fillId="8" borderId="8" xfId="0" applyNumberFormat="1" applyFont="1" applyFill="1" applyBorder="1" applyAlignment="1">
      <alignment horizontal="center" vertical="center"/>
    </xf>
    <xf numFmtId="1" fontId="6" fillId="9" borderId="8" xfId="0" applyNumberFormat="1" applyFont="1" applyFill="1" applyBorder="1" applyAlignment="1">
      <alignment horizontal="left" vertical="center" wrapText="1" indent="1"/>
    </xf>
    <xf numFmtId="1" fontId="6" fillId="9" borderId="9" xfId="0" applyNumberFormat="1" applyFont="1" applyFill="1" applyBorder="1" applyAlignment="1">
      <alignment horizontal="left" vertical="center" wrapText="1"/>
    </xf>
    <xf numFmtId="166" fontId="6" fillId="9" borderId="11" xfId="0" applyNumberFormat="1" applyFont="1" applyFill="1" applyBorder="1" applyAlignment="1">
      <alignment horizontal="center" vertical="center" wrapText="1"/>
    </xf>
    <xf numFmtId="166" fontId="6" fillId="9" borderId="4" xfId="0" applyNumberFormat="1" applyFont="1" applyFill="1" applyBorder="1" applyAlignment="1">
      <alignment horizontal="center" vertical="center" wrapText="1"/>
    </xf>
    <xf numFmtId="1" fontId="6" fillId="9" borderId="2" xfId="0" applyNumberFormat="1" applyFont="1" applyFill="1" applyBorder="1" applyAlignment="1">
      <alignment horizontal="left" vertical="center" wrapText="1"/>
    </xf>
    <xf numFmtId="166" fontId="9" fillId="7" borderId="2" xfId="4" applyNumberFormat="1" applyFont="1" applyFill="1" applyBorder="1" applyAlignment="1">
      <alignment horizontal="center" vertical="center"/>
    </xf>
    <xf numFmtId="166" fontId="9" fillId="7" borderId="8" xfId="4" applyNumberFormat="1" applyFont="1" applyFill="1" applyBorder="1" applyAlignment="1">
      <alignment horizontal="center" vertical="center"/>
    </xf>
    <xf numFmtId="1" fontId="5" fillId="7" borderId="6" xfId="0" applyNumberFormat="1" applyFont="1" applyFill="1" applyBorder="1" applyAlignment="1">
      <alignment horizontal="center" vertical="center" wrapText="1"/>
    </xf>
    <xf numFmtId="1" fontId="5" fillId="7" borderId="16" xfId="0" applyNumberFormat="1" applyFont="1" applyFill="1" applyBorder="1" applyAlignment="1">
      <alignment horizontal="center" vertical="center" wrapText="1"/>
    </xf>
    <xf numFmtId="43" fontId="5" fillId="7" borderId="2" xfId="1" applyFont="1" applyFill="1" applyBorder="1" applyAlignment="1">
      <alignment vertical="center"/>
    </xf>
    <xf numFmtId="168" fontId="5" fillId="7" borderId="2" xfId="0" applyNumberFormat="1" applyFont="1" applyFill="1" applyBorder="1" applyAlignment="1">
      <alignment vertical="center"/>
    </xf>
    <xf numFmtId="168" fontId="5" fillId="7" borderId="8" xfId="0" applyNumberFormat="1" applyFont="1" applyFill="1" applyBorder="1" applyAlignment="1">
      <alignment vertical="center"/>
    </xf>
    <xf numFmtId="0" fontId="5" fillId="7" borderId="22" xfId="0" applyFont="1" applyFill="1" applyBorder="1" applyAlignment="1">
      <alignment vertical="center" wrapText="1"/>
    </xf>
    <xf numFmtId="41" fontId="5" fillId="7" borderId="11" xfId="0" applyNumberFormat="1" applyFont="1" applyFill="1" applyBorder="1" applyAlignment="1">
      <alignment vertical="center"/>
    </xf>
    <xf numFmtId="41" fontId="5" fillId="7" borderId="4" xfId="0" applyNumberFormat="1" applyFont="1" applyFill="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7" fillId="0" borderId="30" xfId="0" applyFont="1" applyBorder="1" applyAlignment="1">
      <alignment vertical="center"/>
    </xf>
    <xf numFmtId="43" fontId="7" fillId="0" borderId="31" xfId="4" applyFont="1" applyBorder="1" applyAlignment="1">
      <alignment vertical="center"/>
    </xf>
    <xf numFmtId="0" fontId="6" fillId="0" borderId="30" xfId="0" applyFont="1" applyBorder="1" applyAlignment="1">
      <alignment horizontal="justify" vertical="center"/>
    </xf>
    <xf numFmtId="166" fontId="6" fillId="0" borderId="31" xfId="4" applyNumberFormat="1" applyFont="1" applyBorder="1"/>
    <xf numFmtId="169" fontId="7" fillId="0" borderId="32" xfId="0" applyNumberFormat="1" applyFont="1" applyBorder="1" applyAlignment="1">
      <alignment vertical="center"/>
    </xf>
    <xf numFmtId="0" fontId="6" fillId="7" borderId="33" xfId="0" applyFont="1" applyFill="1" applyBorder="1" applyAlignment="1">
      <alignment horizontal="justify" vertical="center"/>
    </xf>
    <xf numFmtId="0" fontId="6" fillId="7" borderId="29" xfId="0" applyFont="1" applyFill="1" applyBorder="1" applyAlignment="1">
      <alignment horizontal="justify" vertical="center"/>
    </xf>
    <xf numFmtId="0" fontId="6" fillId="0" borderId="29" xfId="0" applyFont="1" applyBorder="1" applyAlignment="1">
      <alignment horizontal="right" vertical="center"/>
    </xf>
    <xf numFmtId="165" fontId="6" fillId="0" borderId="29" xfId="0" applyNumberFormat="1" applyFont="1" applyBorder="1" applyAlignment="1">
      <alignment horizontal="center" vertical="center"/>
    </xf>
    <xf numFmtId="0" fontId="6" fillId="0" borderId="30" xfId="0" applyFont="1" applyBorder="1" applyAlignment="1">
      <alignment horizontal="left" vertical="center"/>
    </xf>
    <xf numFmtId="0" fontId="6" fillId="0" borderId="0" xfId="0" applyFont="1" applyAlignment="1">
      <alignment vertical="center"/>
    </xf>
    <xf numFmtId="3" fontId="5" fillId="0" borderId="0" xfId="0" applyNumberFormat="1" applyFont="1"/>
    <xf numFmtId="166" fontId="5" fillId="0" borderId="0" xfId="0" applyNumberFormat="1" applyFont="1" applyAlignment="1">
      <alignment horizontal="center"/>
    </xf>
    <xf numFmtId="169" fontId="5" fillId="0" borderId="0" xfId="0" applyNumberFormat="1" applyFont="1"/>
    <xf numFmtId="3" fontId="6" fillId="7" borderId="5" xfId="0" applyNumberFormat="1" applyFont="1" applyFill="1" applyBorder="1" applyAlignment="1">
      <alignment vertical="center"/>
    </xf>
    <xf numFmtId="0" fontId="6" fillId="0" borderId="5" xfId="0" applyFont="1" applyBorder="1"/>
    <xf numFmtId="0" fontId="6" fillId="0" borderId="0" xfId="0" applyFont="1"/>
    <xf numFmtId="1" fontId="6" fillId="9" borderId="1" xfId="0" applyNumberFormat="1" applyFont="1" applyFill="1" applyBorder="1" applyAlignment="1">
      <alignment horizontal="center" vertical="center" wrapText="1"/>
    </xf>
    <xf numFmtId="0" fontId="5" fillId="0" borderId="0" xfId="0" applyFont="1" applyAlignment="1">
      <alignment horizontal="center"/>
    </xf>
    <xf numFmtId="0" fontId="6" fillId="0" borderId="5" xfId="0" applyFont="1" applyBorder="1" applyAlignment="1">
      <alignment horizontal="center"/>
    </xf>
    <xf numFmtId="0" fontId="6" fillId="0" borderId="0" xfId="0" applyFont="1" applyAlignment="1">
      <alignment horizontal="center"/>
    </xf>
    <xf numFmtId="0" fontId="5" fillId="0" borderId="0" xfId="0" applyFont="1" applyAlignment="1">
      <alignmen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14" fillId="0" borderId="0" xfId="0" applyFont="1"/>
    <xf numFmtId="0" fontId="15" fillId="0" borderId="7" xfId="0" applyFont="1" applyBorder="1" applyAlignment="1">
      <alignment horizontal="justify" vertical="center"/>
    </xf>
    <xf numFmtId="0" fontId="15" fillId="0" borderId="3" xfId="0" applyFont="1" applyBorder="1" applyAlignment="1">
      <alignment horizontal="justify" vertical="center"/>
    </xf>
    <xf numFmtId="10" fontId="7" fillId="0" borderId="3" xfId="6" applyNumberFormat="1" applyFont="1" applyBorder="1" applyAlignment="1">
      <alignment horizontal="center" vertical="center"/>
    </xf>
    <xf numFmtId="0" fontId="15" fillId="0" borderId="3" xfId="0" applyFont="1" applyBorder="1" applyAlignment="1">
      <alignment vertical="center"/>
    </xf>
    <xf numFmtId="1" fontId="15" fillId="11" borderId="11" xfId="0" applyNumberFormat="1" applyFont="1" applyFill="1" applyBorder="1" applyAlignment="1">
      <alignment horizontal="center" vertical="center" wrapText="1"/>
    </xf>
    <xf numFmtId="0" fontId="15" fillId="11" borderId="13" xfId="0" applyFont="1" applyFill="1" applyBorder="1" applyAlignment="1">
      <alignment vertical="center" wrapText="1"/>
    </xf>
    <xf numFmtId="0" fontId="15" fillId="13" borderId="9" xfId="0" applyFont="1" applyFill="1" applyBorder="1" applyAlignment="1">
      <alignment vertical="center"/>
    </xf>
    <xf numFmtId="0" fontId="15" fillId="13" borderId="9" xfId="0" applyFont="1" applyFill="1" applyBorder="1" applyAlignment="1">
      <alignment horizontal="justify" vertical="center"/>
    </xf>
    <xf numFmtId="0" fontId="15" fillId="13" borderId="9" xfId="0" applyFont="1" applyFill="1" applyBorder="1" applyAlignment="1">
      <alignment horizontal="center" vertical="center"/>
    </xf>
    <xf numFmtId="10" fontId="7" fillId="13" borderId="9" xfId="6" applyNumberFormat="1" applyFont="1" applyFill="1" applyBorder="1" applyAlignment="1">
      <alignment horizontal="center" vertical="center"/>
    </xf>
    <xf numFmtId="43" fontId="15" fillId="13" borderId="9" xfId="7" applyFont="1" applyFill="1" applyBorder="1" applyAlignment="1">
      <alignment horizontal="justify" vertical="center"/>
    </xf>
    <xf numFmtId="169" fontId="15" fillId="13" borderId="9" xfId="0" applyNumberFormat="1" applyFont="1" applyFill="1" applyBorder="1" applyAlignment="1">
      <alignment horizontal="center" vertical="center"/>
    </xf>
    <xf numFmtId="1" fontId="15" fillId="13" borderId="9" xfId="0" applyNumberFormat="1" applyFont="1" applyFill="1" applyBorder="1" applyAlignment="1">
      <alignment horizontal="center" vertical="center"/>
    </xf>
    <xf numFmtId="1" fontId="4" fillId="14" borderId="2" xfId="0" applyNumberFormat="1" applyFont="1" applyFill="1" applyBorder="1" applyAlignment="1">
      <alignment horizontal="center" vertical="center" wrapText="1"/>
    </xf>
    <xf numFmtId="1" fontId="15" fillId="2" borderId="5" xfId="0" applyNumberFormat="1" applyFont="1" applyFill="1" applyBorder="1" applyAlignment="1">
      <alignment vertical="center" wrapText="1"/>
    </xf>
    <xf numFmtId="1" fontId="15" fillId="2" borderId="10" xfId="0" applyNumberFormat="1" applyFont="1" applyFill="1" applyBorder="1" applyAlignment="1">
      <alignment vertical="center" wrapText="1"/>
    </xf>
    <xf numFmtId="1" fontId="15" fillId="11" borderId="7" xfId="0" applyNumberFormat="1" applyFont="1" applyFill="1" applyBorder="1" applyAlignment="1">
      <alignment horizontal="center" vertical="center"/>
    </xf>
    <xf numFmtId="0" fontId="15" fillId="11" borderId="3" xfId="0" applyFont="1" applyFill="1" applyBorder="1" applyAlignment="1">
      <alignment vertical="center"/>
    </xf>
    <xf numFmtId="0" fontId="15" fillId="11" borderId="3" xfId="0" applyFont="1" applyFill="1" applyBorder="1" applyAlignment="1">
      <alignment horizontal="justify" vertical="center"/>
    </xf>
    <xf numFmtId="10" fontId="7" fillId="11" borderId="3" xfId="6" applyNumberFormat="1" applyFont="1" applyFill="1" applyBorder="1" applyAlignment="1">
      <alignment horizontal="center" vertical="center"/>
    </xf>
    <xf numFmtId="43" fontId="15" fillId="11" borderId="3" xfId="7" applyFont="1" applyFill="1" applyBorder="1" applyAlignment="1">
      <alignment horizontal="justify" vertical="center"/>
    </xf>
    <xf numFmtId="169" fontId="15" fillId="11" borderId="3" xfId="0" applyNumberFormat="1" applyFont="1" applyFill="1" applyBorder="1" applyAlignment="1">
      <alignment horizontal="center" vertical="center"/>
    </xf>
    <xf numFmtId="1" fontId="15" fillId="11" borderId="3" xfId="0" applyNumberFormat="1" applyFont="1" applyFill="1" applyBorder="1" applyAlignment="1">
      <alignment horizontal="center" vertical="center"/>
    </xf>
    <xf numFmtId="0" fontId="15" fillId="11" borderId="3" xfId="0" applyFont="1" applyFill="1" applyBorder="1" applyAlignment="1">
      <alignment horizontal="center" vertical="center"/>
    </xf>
    <xf numFmtId="167" fontId="15" fillId="11" borderId="3" xfId="0" applyNumberFormat="1" applyFont="1" applyFill="1" applyBorder="1" applyAlignment="1">
      <alignment vertical="center"/>
    </xf>
    <xf numFmtId="1" fontId="15" fillId="2" borderId="15" xfId="0" applyNumberFormat="1" applyFont="1" applyFill="1" applyBorder="1" applyAlignment="1">
      <alignment vertical="center" wrapText="1"/>
    </xf>
    <xf numFmtId="0" fontId="15" fillId="2" borderId="4" xfId="0" applyFont="1" applyFill="1" applyBorder="1" applyAlignment="1">
      <alignment vertical="center" wrapText="1"/>
    </xf>
    <xf numFmtId="0" fontId="15" fillId="2" borderId="5" xfId="0" applyFont="1" applyFill="1" applyBorder="1" applyAlignment="1">
      <alignment vertical="center" wrapText="1"/>
    </xf>
    <xf numFmtId="0" fontId="15" fillId="2" borderId="10" xfId="0" applyFont="1" applyFill="1" applyBorder="1" applyAlignment="1">
      <alignment vertical="center" wrapText="1"/>
    </xf>
    <xf numFmtId="1" fontId="15" fillId="15" borderId="8" xfId="0" applyNumberFormat="1" applyFont="1" applyFill="1" applyBorder="1" applyAlignment="1">
      <alignment horizontal="left" vertical="center" wrapText="1" indent="1"/>
    </xf>
    <xf numFmtId="0" fontId="15" fillId="15" borderId="9" xfId="0" applyFont="1" applyFill="1" applyBorder="1" applyAlignment="1">
      <alignment vertical="center"/>
    </xf>
    <xf numFmtId="0" fontId="15" fillId="15" borderId="9" xfId="0" applyFont="1" applyFill="1" applyBorder="1" applyAlignment="1">
      <alignment horizontal="justify" vertical="center"/>
    </xf>
    <xf numFmtId="10" fontId="7" fillId="15" borderId="9" xfId="6" applyNumberFormat="1" applyFont="1" applyFill="1" applyBorder="1" applyAlignment="1">
      <alignment horizontal="center" vertical="center"/>
    </xf>
    <xf numFmtId="43" fontId="15" fillId="15" borderId="9" xfId="7" applyFont="1" applyFill="1" applyBorder="1" applyAlignment="1">
      <alignment horizontal="justify" vertical="center"/>
    </xf>
    <xf numFmtId="169" fontId="15" fillId="15" borderId="9" xfId="0" applyNumberFormat="1" applyFont="1" applyFill="1" applyBorder="1" applyAlignment="1">
      <alignment horizontal="center" vertical="center"/>
    </xf>
    <xf numFmtId="169" fontId="15" fillId="15" borderId="5" xfId="0" applyNumberFormat="1" applyFont="1" applyFill="1" applyBorder="1" applyAlignment="1">
      <alignment horizontal="center" vertical="center"/>
    </xf>
    <xf numFmtId="1" fontId="15" fillId="15" borderId="5" xfId="0" applyNumberFormat="1" applyFont="1" applyFill="1" applyBorder="1" applyAlignment="1">
      <alignment horizontal="center" vertical="center"/>
    </xf>
    <xf numFmtId="0" fontId="15" fillId="15" borderId="5" xfId="0" applyFont="1" applyFill="1" applyBorder="1" applyAlignment="1">
      <alignment horizontal="center" vertical="center"/>
    </xf>
    <xf numFmtId="0" fontId="15" fillId="15" borderId="9" xfId="0" applyFont="1" applyFill="1" applyBorder="1" applyAlignment="1">
      <alignment horizontal="center" vertical="center"/>
    </xf>
    <xf numFmtId="167" fontId="15" fillId="15" borderId="9" xfId="0" applyNumberFormat="1" applyFont="1" applyFill="1" applyBorder="1" applyAlignment="1">
      <alignment vertical="center"/>
    </xf>
    <xf numFmtId="1" fontId="15" fillId="0" borderId="15" xfId="0" applyNumberFormat="1" applyFont="1" applyBorder="1" applyAlignment="1">
      <alignment vertical="center" wrapText="1"/>
    </xf>
    <xf numFmtId="0" fontId="15" fillId="0" borderId="14" xfId="0" applyFont="1" applyBorder="1" applyAlignment="1">
      <alignment vertical="center" wrapText="1"/>
    </xf>
    <xf numFmtId="0" fontId="15" fillId="0" borderId="15"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14" fillId="0" borderId="10" xfId="0" applyFont="1" applyBorder="1" applyAlignment="1">
      <alignment vertical="center" wrapText="1"/>
    </xf>
    <xf numFmtId="43" fontId="14" fillId="0" borderId="2" xfId="7" applyFont="1" applyFill="1" applyBorder="1" applyAlignment="1">
      <alignment horizontal="center" vertical="center" wrapText="1"/>
    </xf>
    <xf numFmtId="1" fontId="14" fillId="0" borderId="2" xfId="0" applyNumberFormat="1" applyFont="1" applyBorder="1" applyAlignment="1">
      <alignment horizontal="center" vertical="center" wrapText="1"/>
    </xf>
    <xf numFmtId="0" fontId="14" fillId="0" borderId="2" xfId="0" applyFont="1" applyBorder="1" applyAlignment="1">
      <alignment horizontal="center" vertical="center"/>
    </xf>
    <xf numFmtId="9" fontId="14" fillId="0" borderId="2" xfId="2" applyFont="1" applyBorder="1" applyAlignment="1">
      <alignment horizontal="center" vertical="center"/>
    </xf>
    <xf numFmtId="3" fontId="14" fillId="0" borderId="2" xfId="0" applyNumberFormat="1" applyFont="1" applyBorder="1" applyAlignment="1">
      <alignment horizontal="center" vertical="center" wrapText="1"/>
    </xf>
    <xf numFmtId="0" fontId="10" fillId="0" borderId="0" xfId="0" applyFont="1" applyAlignment="1">
      <alignment horizontal="justify" vertical="center" wrapText="1"/>
    </xf>
    <xf numFmtId="0" fontId="14" fillId="0" borderId="14" xfId="0" applyFont="1" applyBorder="1" applyAlignment="1">
      <alignment vertical="center" wrapText="1"/>
    </xf>
    <xf numFmtId="0" fontId="14" fillId="0" borderId="15" xfId="0" applyFont="1" applyBorder="1" applyAlignment="1">
      <alignment vertical="center" wrapText="1"/>
    </xf>
    <xf numFmtId="3" fontId="14" fillId="0" borderId="2" xfId="0" applyNumberFormat="1" applyFont="1" applyBorder="1" applyAlignment="1">
      <alignment horizontal="justify" vertical="center" wrapText="1"/>
    </xf>
    <xf numFmtId="43" fontId="14" fillId="0" borderId="6" xfId="7" applyFont="1" applyFill="1" applyBorder="1" applyAlignment="1">
      <alignment horizontal="center" vertical="center" wrapText="1"/>
    </xf>
    <xf numFmtId="1" fontId="14" fillId="0" borderId="6" xfId="0" applyNumberFormat="1" applyFont="1" applyBorder="1" applyAlignment="1">
      <alignment horizontal="center" vertical="center" wrapText="1"/>
    </xf>
    <xf numFmtId="0" fontId="14" fillId="0" borderId="0" xfId="0" applyFont="1" applyAlignment="1">
      <alignment horizontal="justify" vertical="center" wrapText="1"/>
    </xf>
    <xf numFmtId="1" fontId="14" fillId="0" borderId="13" xfId="0" applyNumberFormat="1" applyFont="1" applyBorder="1" applyAlignment="1">
      <alignment horizontal="center" vertical="center" wrapText="1"/>
    </xf>
    <xf numFmtId="0" fontId="15" fillId="2" borderId="14" xfId="0" applyFont="1" applyFill="1" applyBorder="1" applyAlignment="1">
      <alignment vertical="center" wrapText="1"/>
    </xf>
    <xf numFmtId="0" fontId="15" fillId="2" borderId="15" xfId="0" applyFont="1" applyFill="1" applyBorder="1" applyAlignment="1">
      <alignment vertical="center" wrapText="1"/>
    </xf>
    <xf numFmtId="0" fontId="14" fillId="2" borderId="14" xfId="0" applyFont="1" applyFill="1" applyBorder="1" applyAlignment="1">
      <alignment vertical="center" wrapText="1"/>
    </xf>
    <xf numFmtId="0" fontId="14" fillId="2" borderId="15" xfId="0" applyFont="1" applyFill="1" applyBorder="1" applyAlignment="1">
      <alignment vertical="center" wrapText="1"/>
    </xf>
    <xf numFmtId="10" fontId="9" fillId="0" borderId="2" xfId="6" applyNumberFormat="1" applyFont="1" applyBorder="1" applyAlignment="1">
      <alignment horizontal="center" vertical="center" wrapText="1"/>
    </xf>
    <xf numFmtId="0" fontId="14" fillId="0" borderId="2" xfId="0" applyFont="1" applyBorder="1" applyAlignment="1">
      <alignment vertical="center"/>
    </xf>
    <xf numFmtId="165" fontId="14" fillId="0" borderId="2" xfId="0" applyNumberFormat="1" applyFont="1" applyBorder="1" applyAlignment="1">
      <alignment horizontal="center" vertical="center" wrapText="1"/>
    </xf>
    <xf numFmtId="165" fontId="14" fillId="0" borderId="8" xfId="0" applyNumberFormat="1" applyFont="1" applyBorder="1" applyAlignment="1">
      <alignment horizontal="center" vertical="center" wrapText="1"/>
    </xf>
    <xf numFmtId="0" fontId="14" fillId="2" borderId="11" xfId="0" applyFont="1" applyFill="1" applyBorder="1" applyAlignment="1">
      <alignment vertical="center" wrapText="1"/>
    </xf>
    <xf numFmtId="10" fontId="9" fillId="2" borderId="2" xfId="6" applyNumberFormat="1" applyFont="1" applyFill="1" applyBorder="1" applyAlignment="1">
      <alignment horizontal="center" vertical="center" wrapText="1"/>
    </xf>
    <xf numFmtId="43" fontId="14" fillId="0" borderId="8" xfId="7" applyFont="1" applyFill="1" applyBorder="1" applyAlignment="1">
      <alignment horizontal="center" vertical="center" wrapText="1"/>
    </xf>
    <xf numFmtId="1" fontId="14" fillId="2" borderId="8"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43" fontId="9" fillId="0" borderId="2" xfId="7" applyFont="1" applyFill="1" applyBorder="1" applyAlignment="1">
      <alignment horizontal="right" vertical="center"/>
    </xf>
    <xf numFmtId="43" fontId="9" fillId="0" borderId="8" xfId="7" applyFont="1" applyFill="1" applyBorder="1" applyAlignment="1">
      <alignment horizontal="right" vertical="center"/>
    </xf>
    <xf numFmtId="0" fontId="10" fillId="0" borderId="0" xfId="0" applyFont="1"/>
    <xf numFmtId="0" fontId="14" fillId="2" borderId="13" xfId="0" applyFont="1" applyFill="1" applyBorder="1" applyAlignment="1">
      <alignment vertical="center" wrapText="1"/>
    </xf>
    <xf numFmtId="1" fontId="15" fillId="2" borderId="15" xfId="0"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37" xfId="0" applyFont="1" applyBorder="1" applyAlignment="1">
      <alignment horizontal="center" vertical="center" wrapText="1"/>
    </xf>
    <xf numFmtId="43" fontId="14" fillId="7" borderId="2" xfId="7"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0" fontId="15" fillId="2" borderId="28" xfId="0" applyFont="1" applyFill="1" applyBorder="1"/>
    <xf numFmtId="0" fontId="14" fillId="2" borderId="29" xfId="0" applyFont="1" applyFill="1" applyBorder="1"/>
    <xf numFmtId="0" fontId="14" fillId="2" borderId="29" xfId="0" applyFont="1" applyFill="1" applyBorder="1" applyAlignment="1">
      <alignment horizontal="justify"/>
    </xf>
    <xf numFmtId="0" fontId="14" fillId="2" borderId="29" xfId="0" applyFont="1" applyFill="1" applyBorder="1" applyAlignment="1">
      <alignment horizontal="justify" vertical="center" wrapText="1"/>
    </xf>
    <xf numFmtId="0" fontId="14" fillId="2" borderId="29" xfId="0" applyFont="1" applyFill="1" applyBorder="1" applyAlignment="1">
      <alignment horizontal="justify" vertical="center"/>
    </xf>
    <xf numFmtId="1" fontId="14" fillId="2" borderId="29" xfId="0" applyNumberFormat="1" applyFont="1" applyFill="1" applyBorder="1" applyAlignment="1">
      <alignment horizontal="justify" vertical="center"/>
    </xf>
    <xf numFmtId="1" fontId="14" fillId="2" borderId="33" xfId="0" applyNumberFormat="1" applyFont="1" applyFill="1" applyBorder="1" applyAlignment="1">
      <alignment horizontal="justify" vertical="center"/>
    </xf>
    <xf numFmtId="10" fontId="9" fillId="2" borderId="30" xfId="6" applyNumberFormat="1" applyFont="1" applyFill="1" applyBorder="1" applyAlignment="1">
      <alignment horizontal="center" vertical="center"/>
    </xf>
    <xf numFmtId="43" fontId="15" fillId="2" borderId="31" xfId="7" applyFont="1" applyFill="1" applyBorder="1" applyAlignment="1">
      <alignment horizontal="justify" vertical="center"/>
    </xf>
    <xf numFmtId="0" fontId="14" fillId="2" borderId="28" xfId="0" applyFont="1" applyFill="1" applyBorder="1" applyAlignment="1">
      <alignment horizontal="justify" vertical="center" wrapText="1"/>
    </xf>
    <xf numFmtId="0" fontId="14" fillId="2" borderId="30" xfId="0" applyFont="1" applyFill="1" applyBorder="1" applyAlignment="1">
      <alignment horizontal="justify" vertical="center" wrapText="1"/>
    </xf>
    <xf numFmtId="43" fontId="15" fillId="0" borderId="39" xfId="7" applyFont="1" applyBorder="1" applyAlignment="1">
      <alignment horizontal="center" vertical="center"/>
    </xf>
    <xf numFmtId="1" fontId="14" fillId="2" borderId="28" xfId="0" applyNumberFormat="1" applyFont="1" applyFill="1" applyBorder="1" applyAlignment="1">
      <alignment horizontal="center" vertical="center"/>
    </xf>
    <xf numFmtId="1" fontId="14" fillId="2" borderId="29" xfId="0" applyNumberFormat="1" applyFont="1" applyFill="1" applyBorder="1" applyAlignment="1">
      <alignment horizontal="center" vertical="center"/>
    </xf>
    <xf numFmtId="1" fontId="14" fillId="2" borderId="29" xfId="0" applyNumberFormat="1" applyFont="1" applyFill="1" applyBorder="1" applyAlignment="1">
      <alignment horizontal="center" vertical="center" textRotation="180" wrapText="1"/>
    </xf>
    <xf numFmtId="1" fontId="14" fillId="2" borderId="33" xfId="0" applyNumberFormat="1" applyFont="1" applyFill="1" applyBorder="1" applyAlignment="1">
      <alignment horizontal="center" vertical="center"/>
    </xf>
    <xf numFmtId="44" fontId="15" fillId="2" borderId="40" xfId="5" applyFont="1" applyFill="1" applyBorder="1" applyAlignment="1">
      <alignment horizontal="center" vertical="center"/>
    </xf>
    <xf numFmtId="1" fontId="14" fillId="2" borderId="40" xfId="0" applyNumberFormat="1" applyFont="1" applyFill="1" applyBorder="1" applyAlignment="1">
      <alignment horizontal="center" vertical="center"/>
    </xf>
    <xf numFmtId="167" fontId="14" fillId="2" borderId="29" xfId="0" applyNumberFormat="1" applyFont="1" applyFill="1" applyBorder="1" applyAlignment="1">
      <alignment horizontal="center" vertical="center"/>
    </xf>
    <xf numFmtId="167" fontId="14" fillId="2" borderId="33" xfId="0" applyNumberFormat="1" applyFont="1" applyFill="1" applyBorder="1" applyAlignment="1">
      <alignment horizontal="center" vertical="center"/>
    </xf>
    <xf numFmtId="0" fontId="14" fillId="2" borderId="41" xfId="0" applyFont="1" applyFill="1" applyBorder="1" applyAlignment="1">
      <alignment horizontal="justify" vertical="center"/>
    </xf>
    <xf numFmtId="0" fontId="14" fillId="2" borderId="0" xfId="0" applyFont="1" applyFill="1"/>
    <xf numFmtId="0" fontId="14" fillId="2" borderId="0" xfId="0" applyFont="1" applyFill="1" applyAlignment="1">
      <alignment horizontal="justify"/>
    </xf>
    <xf numFmtId="0" fontId="14" fillId="2" borderId="0" xfId="0" applyFont="1" applyFill="1" applyAlignment="1">
      <alignment horizontal="justify" vertical="center"/>
    </xf>
    <xf numFmtId="10" fontId="9" fillId="2" borderId="0" xfId="6" applyNumberFormat="1" applyFont="1" applyFill="1" applyAlignment="1">
      <alignment horizontal="center" vertical="center"/>
    </xf>
    <xf numFmtId="169" fontId="14" fillId="0" borderId="0" xfId="0" applyNumberFormat="1" applyFont="1" applyAlignment="1">
      <alignment horizontal="justify" vertical="center"/>
    </xf>
    <xf numFmtId="169" fontId="14" fillId="0" borderId="0" xfId="0" applyNumberFormat="1" applyFont="1" applyAlignment="1">
      <alignment horizontal="center" vertical="center"/>
    </xf>
    <xf numFmtId="1" fontId="14" fillId="2" borderId="0" xfId="0" applyNumberFormat="1" applyFont="1" applyFill="1" applyAlignment="1">
      <alignment horizontal="center" vertical="center"/>
    </xf>
    <xf numFmtId="0" fontId="14" fillId="2" borderId="0" xfId="0" applyFont="1" applyFill="1" applyAlignment="1">
      <alignment horizontal="center" vertical="center"/>
    </xf>
    <xf numFmtId="169" fontId="14" fillId="2" borderId="0" xfId="0" applyNumberFormat="1" applyFont="1" applyFill="1" applyAlignment="1">
      <alignment horizontal="center" vertical="center"/>
    </xf>
    <xf numFmtId="169" fontId="14" fillId="2" borderId="0" xfId="0" applyNumberFormat="1" applyFont="1" applyFill="1" applyAlignment="1">
      <alignment horizontal="justify" vertical="center"/>
    </xf>
    <xf numFmtId="43" fontId="9" fillId="0" borderId="0" xfId="1" applyNumberFormat="1" applyFont="1" applyFill="1" applyBorder="1" applyAlignment="1">
      <alignment horizontal="right" vertical="center" wrapText="1"/>
    </xf>
    <xf numFmtId="0" fontId="15" fillId="2" borderId="0" xfId="0" applyFont="1" applyFill="1"/>
    <xf numFmtId="0" fontId="14" fillId="0" borderId="0" xfId="0" applyFont="1" applyAlignment="1">
      <alignment horizontal="justify"/>
    </xf>
    <xf numFmtId="10" fontId="9" fillId="0" borderId="0" xfId="6" applyNumberFormat="1" applyFont="1" applyAlignment="1">
      <alignment horizontal="center"/>
    </xf>
    <xf numFmtId="43" fontId="14" fillId="0" borderId="0" xfId="0" applyNumberFormat="1" applyFont="1"/>
    <xf numFmtId="0" fontId="14" fillId="0" borderId="0" xfId="0" applyFont="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5" fillId="7" borderId="11" xfId="0" applyFont="1" applyFill="1" applyBorder="1" applyAlignment="1">
      <alignment horizontal="center" vertical="center" wrapText="1"/>
    </xf>
    <xf numFmtId="0" fontId="5" fillId="7" borderId="15" xfId="0" applyFont="1" applyFill="1" applyBorder="1" applyAlignment="1">
      <alignment horizontal="center" vertical="center" wrapText="1"/>
    </xf>
    <xf numFmtId="1" fontId="4" fillId="14" borderId="9" xfId="0" applyNumberFormat="1" applyFont="1" applyFill="1" applyBorder="1" applyAlignment="1">
      <alignment horizontal="center" vertical="center" wrapText="1"/>
    </xf>
    <xf numFmtId="0" fontId="14" fillId="0" borderId="8" xfId="0" applyFont="1" applyBorder="1" applyAlignment="1">
      <alignment horizontal="justify" vertical="center" wrapText="1"/>
    </xf>
    <xf numFmtId="1" fontId="14" fillId="0" borderId="1" xfId="0" applyNumberFormat="1" applyFont="1" applyBorder="1" applyAlignment="1">
      <alignment horizontal="center" vertical="center" wrapText="1"/>
    </xf>
    <xf numFmtId="1" fontId="14" fillId="0" borderId="1" xfId="0" applyNumberFormat="1" applyFont="1" applyBorder="1" applyAlignment="1">
      <alignment vertical="center" wrapText="1"/>
    </xf>
    <xf numFmtId="43" fontId="9" fillId="7" borderId="2" xfId="7" applyFont="1" applyFill="1" applyBorder="1" applyAlignment="1">
      <alignment horizontal="center" vertical="center" wrapText="1"/>
    </xf>
    <xf numFmtId="43" fontId="9" fillId="7" borderId="2" xfId="7" applyFont="1" applyFill="1" applyBorder="1" applyAlignment="1" applyProtection="1">
      <alignment horizontal="right" vertical="center" wrapText="1"/>
    </xf>
    <xf numFmtId="1" fontId="14" fillId="0" borderId="9"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0" fillId="7" borderId="0" xfId="0" applyFont="1" applyFill="1"/>
    <xf numFmtId="1" fontId="14" fillId="0" borderId="5"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7" borderId="0" xfId="0" applyFont="1" applyFill="1"/>
    <xf numFmtId="0" fontId="15" fillId="2" borderId="0" xfId="0" applyFont="1" applyFill="1" applyBorder="1" applyAlignment="1">
      <alignment vertical="center" wrapText="1"/>
    </xf>
    <xf numFmtId="0" fontId="14" fillId="2" borderId="49" xfId="0" applyFont="1" applyFill="1" applyBorder="1" applyAlignment="1">
      <alignment vertical="center" wrapText="1"/>
    </xf>
    <xf numFmtId="0" fontId="14" fillId="2" borderId="0" xfId="0" applyFont="1" applyFill="1" applyBorder="1" applyAlignment="1">
      <alignment vertical="center" wrapText="1"/>
    </xf>
    <xf numFmtId="1" fontId="14" fillId="0" borderId="50" xfId="0" applyNumberFormat="1" applyFont="1" applyBorder="1" applyAlignment="1">
      <alignment horizontal="center" vertical="center" wrapText="1"/>
    </xf>
    <xf numFmtId="1" fontId="15" fillId="2" borderId="0" xfId="0" applyNumberFormat="1" applyFont="1" applyFill="1" applyBorder="1" applyAlignment="1">
      <alignment vertical="center" wrapText="1"/>
    </xf>
    <xf numFmtId="0" fontId="11" fillId="7" borderId="0" xfId="0" applyFont="1" applyFill="1"/>
    <xf numFmtId="0" fontId="14" fillId="2" borderId="33" xfId="0" applyFont="1" applyFill="1" applyBorder="1" applyAlignment="1">
      <alignment horizontal="justify"/>
    </xf>
    <xf numFmtId="0" fontId="14" fillId="2" borderId="33" xfId="0" applyFont="1" applyFill="1" applyBorder="1" applyAlignment="1">
      <alignment horizontal="justify" vertical="center" wrapText="1"/>
    </xf>
    <xf numFmtId="0" fontId="14" fillId="2" borderId="33" xfId="0" applyFont="1" applyFill="1" applyBorder="1" applyAlignment="1">
      <alignment horizontal="justify" vertical="center"/>
    </xf>
    <xf numFmtId="10" fontId="9" fillId="2" borderId="41" xfId="6" applyNumberFormat="1" applyFont="1" applyFill="1" applyBorder="1" applyAlignment="1">
      <alignment horizontal="center" vertical="center"/>
    </xf>
    <xf numFmtId="43" fontId="15" fillId="2" borderId="39" xfId="7" applyFont="1" applyFill="1" applyBorder="1" applyAlignment="1">
      <alignment horizontal="justify" vertical="center"/>
    </xf>
    <xf numFmtId="0" fontId="14" fillId="2" borderId="32" xfId="0" applyFont="1" applyFill="1" applyBorder="1" applyAlignment="1">
      <alignment horizontal="justify" vertical="center" wrapText="1"/>
    </xf>
    <xf numFmtId="0" fontId="14" fillId="2" borderId="41" xfId="0" applyFont="1" applyFill="1" applyBorder="1" applyAlignment="1">
      <alignment horizontal="justify" vertical="center" wrapText="1"/>
    </xf>
    <xf numFmtId="0" fontId="6" fillId="0" borderId="2" xfId="0" applyFont="1" applyBorder="1" applyAlignment="1">
      <alignment horizontal="center" vertical="center"/>
    </xf>
    <xf numFmtId="0" fontId="20" fillId="0" borderId="56" xfId="0" applyFont="1" applyBorder="1" applyAlignment="1">
      <alignment vertical="center"/>
    </xf>
    <xf numFmtId="0" fontId="20" fillId="0" borderId="57" xfId="0" applyFont="1" applyBorder="1" applyAlignment="1">
      <alignment vertical="center"/>
    </xf>
    <xf numFmtId="0" fontId="20" fillId="0" borderId="2" xfId="0" applyFont="1" applyBorder="1" applyAlignment="1">
      <alignment horizontal="left" vertical="center"/>
    </xf>
    <xf numFmtId="164" fontId="20" fillId="0" borderId="34" xfId="0" applyNumberFormat="1" applyFont="1" applyBorder="1" applyAlignment="1">
      <alignment horizontal="left" vertical="center"/>
    </xf>
    <xf numFmtId="0" fontId="20" fillId="0" borderId="2" xfId="0" applyFont="1" applyBorder="1" applyAlignment="1">
      <alignment vertical="center"/>
    </xf>
    <xf numFmtId="17" fontId="20" fillId="0" borderId="34" xfId="0" applyNumberFormat="1" applyFont="1" applyBorder="1" applyAlignment="1">
      <alignment horizontal="left" vertical="center"/>
    </xf>
    <xf numFmtId="3" fontId="21" fillId="2" borderId="34" xfId="0" applyNumberFormat="1" applyFont="1" applyFill="1" applyBorder="1" applyAlignment="1">
      <alignment horizontal="left" vertical="center" wrapText="1"/>
    </xf>
    <xf numFmtId="0" fontId="6" fillId="0" borderId="9" xfId="0" applyFont="1" applyBorder="1" applyAlignment="1">
      <alignment horizontal="justify" vertical="center" wrapText="1"/>
    </xf>
    <xf numFmtId="0" fontId="6" fillId="0" borderId="0" xfId="0" applyFont="1" applyAlignment="1">
      <alignment horizontal="center" vertical="center"/>
    </xf>
    <xf numFmtId="0" fontId="7" fillId="5" borderId="2" xfId="0" applyFont="1" applyFill="1" applyBorder="1" applyAlignment="1">
      <alignment horizontal="center" vertical="center" wrapText="1"/>
    </xf>
    <xf numFmtId="41" fontId="7" fillId="5" borderId="2" xfId="9"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10" xfId="0" applyFont="1" applyFill="1" applyBorder="1"/>
    <xf numFmtId="0" fontId="6" fillId="16" borderId="10" xfId="0" applyFont="1" applyFill="1" applyBorder="1" applyAlignment="1">
      <alignment horizontal="center" vertical="center" wrapText="1"/>
    </xf>
    <xf numFmtId="0" fontId="6" fillId="16" borderId="9" xfId="0" applyFont="1" applyFill="1" applyBorder="1" applyAlignment="1">
      <alignment horizontal="justify" vertical="center" wrapText="1"/>
    </xf>
    <xf numFmtId="0" fontId="6" fillId="16" borderId="9" xfId="0" applyFont="1" applyFill="1" applyBorder="1" applyAlignment="1">
      <alignment vertical="center" wrapText="1"/>
    </xf>
    <xf numFmtId="0" fontId="6" fillId="16" borderId="9" xfId="0" applyFont="1" applyFill="1" applyBorder="1" applyAlignment="1">
      <alignment horizontal="center" vertical="center" wrapText="1"/>
    </xf>
    <xf numFmtId="2" fontId="6" fillId="16" borderId="9" xfId="0" applyNumberFormat="1" applyFont="1" applyFill="1" applyBorder="1" applyAlignment="1">
      <alignment horizontal="right" vertical="center" wrapText="1"/>
    </xf>
    <xf numFmtId="41" fontId="6" fillId="16" borderId="9" xfId="9" applyFont="1" applyFill="1" applyBorder="1" applyAlignment="1">
      <alignment horizontal="right" vertical="center" wrapText="1"/>
    </xf>
    <xf numFmtId="1" fontId="6" fillId="16" borderId="9" xfId="0" applyNumberFormat="1" applyFont="1" applyFill="1" applyBorder="1" applyAlignment="1">
      <alignment horizontal="center" vertical="center" wrapText="1"/>
    </xf>
    <xf numFmtId="0" fontId="6" fillId="16" borderId="9" xfId="0" applyFont="1" applyFill="1" applyBorder="1" applyAlignment="1">
      <alignment horizontal="center" vertical="center" wrapText="1"/>
    </xf>
    <xf numFmtId="0" fontId="5" fillId="7" borderId="63"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5" xfId="0" applyFont="1" applyFill="1" applyBorder="1"/>
    <xf numFmtId="0" fontId="5" fillId="7" borderId="10" xfId="0" applyFont="1" applyFill="1" applyBorder="1"/>
    <xf numFmtId="0" fontId="6" fillId="9" borderId="2" xfId="0" applyFont="1" applyFill="1" applyBorder="1" applyAlignment="1">
      <alignment horizontal="center" vertical="center" wrapText="1"/>
    </xf>
    <xf numFmtId="0" fontId="5" fillId="9" borderId="9" xfId="0" applyFont="1" applyFill="1" applyBorder="1" applyAlignment="1">
      <alignment horizontal="justify" vertical="center" wrapText="1"/>
    </xf>
    <xf numFmtId="0" fontId="5" fillId="9" borderId="9" xfId="0" applyFont="1" applyFill="1" applyBorder="1" applyAlignment="1">
      <alignment vertical="center" wrapText="1"/>
    </xf>
    <xf numFmtId="0" fontId="5" fillId="9" borderId="9" xfId="0" applyFont="1" applyFill="1" applyBorder="1" applyAlignment="1">
      <alignment horizontal="center" vertical="center" wrapText="1"/>
    </xf>
    <xf numFmtId="2" fontId="5" fillId="9" borderId="9" xfId="0" applyNumberFormat="1" applyFont="1" applyFill="1" applyBorder="1" applyAlignment="1">
      <alignment horizontal="right" vertical="center" wrapText="1"/>
    </xf>
    <xf numFmtId="41" fontId="5" fillId="9" borderId="9" xfId="9" applyFont="1" applyFill="1" applyBorder="1" applyAlignment="1">
      <alignment horizontal="right" vertical="center" wrapText="1"/>
    </xf>
    <xf numFmtId="1" fontId="5" fillId="9" borderId="9" xfId="0" applyNumberFormat="1" applyFont="1" applyFill="1" applyBorder="1" applyAlignment="1">
      <alignment horizontal="center" vertical="center" wrapText="1"/>
    </xf>
    <xf numFmtId="0" fontId="5" fillId="9" borderId="9" xfId="0" applyFont="1" applyFill="1" applyBorder="1" applyAlignment="1">
      <alignment horizontal="center" vertical="center" wrapText="1"/>
    </xf>
    <xf numFmtId="0" fontId="22" fillId="7" borderId="63" xfId="0" applyFont="1" applyFill="1" applyBorder="1" applyAlignment="1">
      <alignment vertical="center" wrapText="1"/>
    </xf>
    <xf numFmtId="0" fontId="22" fillId="7" borderId="0" xfId="0" applyFont="1" applyFill="1" applyBorder="1" applyAlignment="1">
      <alignment vertical="center" textRotation="90" wrapText="1"/>
    </xf>
    <xf numFmtId="0" fontId="22" fillId="7" borderId="15" xfId="0" applyFont="1" applyFill="1" applyBorder="1" applyAlignment="1">
      <alignment vertical="center" textRotation="90" wrapText="1"/>
    </xf>
    <xf numFmtId="0" fontId="22" fillId="7" borderId="13" xfId="0" applyFont="1" applyFill="1" applyBorder="1" applyAlignment="1">
      <alignment vertical="center" wrapText="1"/>
    </xf>
    <xf numFmtId="0" fontId="23" fillId="7" borderId="0" xfId="0" applyFont="1" applyFill="1" applyBorder="1" applyAlignment="1">
      <alignment vertical="center" textRotation="90" wrapText="1"/>
    </xf>
    <xf numFmtId="0" fontId="23" fillId="7" borderId="15" xfId="0" applyFont="1" applyFill="1" applyBorder="1" applyAlignment="1">
      <alignment vertical="center" textRotation="90" wrapText="1"/>
    </xf>
    <xf numFmtId="43" fontId="23" fillId="7" borderId="8" xfId="1" applyFont="1" applyFill="1" applyBorder="1" applyAlignment="1">
      <alignment vertical="center" wrapText="1"/>
    </xf>
    <xf numFmtId="43" fontId="23" fillId="7" borderId="2" xfId="1" applyFont="1" applyFill="1" applyBorder="1" applyAlignment="1">
      <alignment vertical="center" wrapText="1"/>
    </xf>
    <xf numFmtId="1" fontId="23" fillId="7" borderId="10" xfId="11" applyNumberFormat="1" applyFont="1" applyFill="1" applyBorder="1" applyAlignment="1">
      <alignment horizontal="center" vertical="center" wrapText="1"/>
    </xf>
    <xf numFmtId="0" fontId="23" fillId="7" borderId="11" xfId="0" applyFont="1" applyFill="1" applyBorder="1" applyAlignment="1">
      <alignment horizontal="justify" vertical="center" wrapText="1"/>
    </xf>
    <xf numFmtId="0" fontId="23" fillId="7" borderId="11" xfId="0" applyFont="1" applyFill="1" applyBorder="1" applyAlignment="1">
      <alignment horizontal="center" vertical="center" wrapText="1"/>
    </xf>
    <xf numFmtId="3" fontId="23" fillId="7" borderId="11" xfId="0" applyNumberFormat="1" applyFont="1" applyFill="1" applyBorder="1" applyAlignment="1">
      <alignment horizontal="center" vertical="center" wrapText="1"/>
    </xf>
    <xf numFmtId="43" fontId="23" fillId="7" borderId="4" xfId="1" applyFont="1" applyFill="1" applyBorder="1" applyAlignment="1">
      <alignment horizontal="center" vertical="center" wrapText="1"/>
    </xf>
    <xf numFmtId="165" fontId="23" fillId="7" borderId="4" xfId="0" applyNumberFormat="1" applyFont="1" applyFill="1" applyBorder="1" applyAlignment="1">
      <alignment horizontal="center" vertical="center" wrapText="1"/>
    </xf>
    <xf numFmtId="165" fontId="23" fillId="7" borderId="11" xfId="0" applyNumberFormat="1" applyFont="1" applyFill="1" applyBorder="1" applyAlignment="1">
      <alignment horizontal="center" vertical="center" wrapText="1"/>
    </xf>
    <xf numFmtId="0" fontId="22" fillId="7" borderId="0" xfId="0" applyFont="1" applyFill="1"/>
    <xf numFmtId="0" fontId="23" fillId="7" borderId="13" xfId="0" applyFont="1" applyFill="1" applyBorder="1" applyAlignment="1">
      <alignment horizontal="center" vertical="center" wrapText="1"/>
    </xf>
    <xf numFmtId="3" fontId="23" fillId="7" borderId="13" xfId="0" applyNumberFormat="1" applyFont="1" applyFill="1" applyBorder="1" applyAlignment="1">
      <alignment horizontal="center" vertical="center" wrapText="1"/>
    </xf>
    <xf numFmtId="43" fontId="23" fillId="7" borderId="14" xfId="1" applyFont="1" applyFill="1" applyBorder="1" applyAlignment="1">
      <alignment horizontal="center" vertical="center" wrapText="1"/>
    </xf>
    <xf numFmtId="165" fontId="23" fillId="7" borderId="14" xfId="0" applyNumberFormat="1" applyFont="1" applyFill="1" applyBorder="1" applyAlignment="1">
      <alignment horizontal="center" vertical="center" wrapText="1"/>
    </xf>
    <xf numFmtId="165" fontId="23" fillId="7" borderId="13" xfId="0" applyNumberFormat="1" applyFont="1" applyFill="1" applyBorder="1" applyAlignment="1">
      <alignment horizontal="center" vertical="center" wrapText="1"/>
    </xf>
    <xf numFmtId="0" fontId="23" fillId="7" borderId="16" xfId="0" applyFont="1" applyFill="1" applyBorder="1" applyAlignment="1">
      <alignment horizontal="justify" vertical="center" wrapText="1"/>
    </xf>
    <xf numFmtId="43" fontId="23" fillId="7" borderId="9" xfId="1" applyFont="1" applyFill="1" applyBorder="1" applyAlignment="1">
      <alignment vertical="center" wrapText="1"/>
    </xf>
    <xf numFmtId="0" fontId="23" fillId="7" borderId="6" xfId="0" applyFont="1" applyFill="1" applyBorder="1" applyAlignment="1">
      <alignment horizontal="center" vertical="center" wrapText="1"/>
    </xf>
    <xf numFmtId="3" fontId="23" fillId="7" borderId="6" xfId="0" applyNumberFormat="1" applyFont="1" applyFill="1" applyBorder="1" applyAlignment="1">
      <alignment horizontal="center" vertical="center" wrapText="1"/>
    </xf>
    <xf numFmtId="43" fontId="23" fillId="7" borderId="7" xfId="1" applyFont="1" applyFill="1" applyBorder="1" applyAlignment="1">
      <alignment horizontal="center" vertical="center" wrapText="1"/>
    </xf>
    <xf numFmtId="165" fontId="23" fillId="7" borderId="7" xfId="0" applyNumberFormat="1" applyFont="1" applyFill="1" applyBorder="1" applyAlignment="1">
      <alignment horizontal="center" vertical="center" wrapText="1"/>
    </xf>
    <xf numFmtId="165" fontId="23" fillId="7" borderId="6" xfId="0" applyNumberFormat="1" applyFont="1" applyFill="1" applyBorder="1" applyAlignment="1">
      <alignment horizontal="center" vertical="center" wrapText="1"/>
    </xf>
    <xf numFmtId="43" fontId="23" fillId="7" borderId="11" xfId="1" applyFont="1" applyFill="1" applyBorder="1" applyAlignment="1">
      <alignment horizontal="right" vertical="center" wrapText="1"/>
    </xf>
    <xf numFmtId="43" fontId="23" fillId="7" borderId="2" xfId="1" applyFont="1" applyFill="1" applyBorder="1" applyAlignment="1">
      <alignment horizontal="right" vertical="center" wrapText="1"/>
    </xf>
    <xf numFmtId="1" fontId="23" fillId="7" borderId="10" xfId="0" applyNumberFormat="1" applyFont="1" applyFill="1" applyBorder="1" applyAlignment="1">
      <alignment horizontal="center" vertical="center" wrapText="1"/>
    </xf>
    <xf numFmtId="1" fontId="23" fillId="7" borderId="50" xfId="0" applyNumberFormat="1" applyFont="1" applyFill="1" applyBorder="1" applyAlignment="1">
      <alignment horizontal="center" vertical="center" wrapText="1"/>
    </xf>
    <xf numFmtId="0" fontId="23" fillId="7" borderId="50" xfId="0" applyFont="1" applyFill="1" applyBorder="1" applyAlignment="1">
      <alignment horizontal="center" vertical="center"/>
    </xf>
    <xf numFmtId="0" fontId="23" fillId="7" borderId="16" xfId="0" applyFont="1" applyFill="1" applyBorder="1" applyAlignment="1">
      <alignment horizontal="justify" vertical="center"/>
    </xf>
    <xf numFmtId="0" fontId="23" fillId="0" borderId="6" xfId="0" applyFont="1" applyBorder="1" applyAlignment="1">
      <alignment horizontal="justify" vertical="center" wrapText="1"/>
    </xf>
    <xf numFmtId="1" fontId="23" fillId="7" borderId="15" xfId="0" applyNumberFormat="1" applyFont="1" applyFill="1" applyBorder="1" applyAlignment="1">
      <alignment horizontal="center" vertical="center" wrapText="1"/>
    </xf>
    <xf numFmtId="0" fontId="23" fillId="7" borderId="13" xfId="0" applyFont="1" applyFill="1" applyBorder="1" applyAlignment="1">
      <alignment horizontal="justify" vertical="center" wrapText="1"/>
    </xf>
    <xf numFmtId="0" fontId="23" fillId="7" borderId="6" xfId="0" applyFont="1" applyFill="1" applyBorder="1" applyAlignment="1">
      <alignment horizontal="justify" vertical="center" wrapText="1"/>
    </xf>
    <xf numFmtId="0" fontId="22" fillId="0" borderId="0" xfId="0" applyFont="1"/>
    <xf numFmtId="0" fontId="23" fillId="9" borderId="2" xfId="0" applyFont="1" applyFill="1" applyBorder="1" applyAlignment="1">
      <alignment horizontal="center" vertical="center" wrapText="1"/>
    </xf>
    <xf numFmtId="0" fontId="23" fillId="9" borderId="9" xfId="0" applyFont="1" applyFill="1" applyBorder="1" applyAlignment="1">
      <alignment horizontal="justify"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4" fontId="23" fillId="9" borderId="9" xfId="0" applyNumberFormat="1" applyFont="1" applyFill="1" applyBorder="1" applyAlignment="1">
      <alignment horizontal="right" vertical="center" wrapText="1"/>
    </xf>
    <xf numFmtId="43" fontId="23" fillId="9" borderId="3" xfId="1" applyFont="1" applyFill="1" applyBorder="1" applyAlignment="1">
      <alignment horizontal="right" vertical="center" wrapText="1"/>
    </xf>
    <xf numFmtId="1" fontId="23" fillId="9" borderId="3" xfId="0" applyNumberFormat="1" applyFont="1" applyFill="1" applyBorder="1" applyAlignment="1">
      <alignment horizontal="center" vertical="center" wrapText="1"/>
    </xf>
    <xf numFmtId="0" fontId="23" fillId="9" borderId="3" xfId="0" applyFont="1" applyFill="1" applyBorder="1" applyAlignment="1">
      <alignment horizontal="justify" vertical="center" wrapText="1"/>
    </xf>
    <xf numFmtId="43" fontId="23" fillId="9" borderId="9" xfId="1" applyFont="1" applyFill="1" applyBorder="1" applyAlignment="1">
      <alignment vertical="center" wrapText="1"/>
    </xf>
    <xf numFmtId="0" fontId="23" fillId="9" borderId="8" xfId="0" applyFont="1" applyFill="1" applyBorder="1" applyAlignment="1">
      <alignment vertical="center" wrapText="1"/>
    </xf>
    <xf numFmtId="0" fontId="23" fillId="9" borderId="34" xfId="0" applyFont="1" applyFill="1" applyBorder="1" applyAlignment="1">
      <alignment vertical="center" wrapText="1"/>
    </xf>
    <xf numFmtId="0" fontId="23" fillId="7" borderId="15" xfId="0" applyFont="1" applyFill="1" applyBorder="1" applyAlignment="1">
      <alignment vertical="center" wrapText="1"/>
    </xf>
    <xf numFmtId="0" fontId="23" fillId="7" borderId="2" xfId="0" applyFont="1" applyFill="1" applyBorder="1" applyAlignment="1">
      <alignment horizontal="justify" vertical="center" wrapText="1"/>
    </xf>
    <xf numFmtId="43" fontId="23" fillId="7" borderId="2" xfId="1" applyFont="1" applyFill="1" applyBorder="1" applyAlignment="1">
      <alignment horizontal="center" vertical="center" wrapText="1"/>
    </xf>
    <xf numFmtId="1" fontId="23" fillId="7" borderId="2" xfId="0" applyNumberFormat="1" applyFont="1" applyFill="1" applyBorder="1" applyAlignment="1">
      <alignment horizontal="center" vertical="center" wrapText="1"/>
    </xf>
    <xf numFmtId="43" fontId="23" fillId="9" borderId="9" xfId="1" applyFont="1" applyFill="1" applyBorder="1" applyAlignment="1">
      <alignment horizontal="right" vertical="center" wrapText="1"/>
    </xf>
    <xf numFmtId="1" fontId="23" fillId="9" borderId="9" xfId="0" applyNumberFormat="1" applyFont="1" applyFill="1" applyBorder="1" applyAlignment="1">
      <alignment horizontal="center" vertical="center" wrapText="1"/>
    </xf>
    <xf numFmtId="43" fontId="23" fillId="7" borderId="6" xfId="1" applyFont="1" applyFill="1" applyBorder="1" applyAlignment="1">
      <alignment horizontal="right" vertical="center" wrapText="1"/>
    </xf>
    <xf numFmtId="0" fontId="24" fillId="7" borderId="61"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24" fillId="7" borderId="10" xfId="0" applyFont="1" applyFill="1" applyBorder="1"/>
    <xf numFmtId="0" fontId="24" fillId="16" borderId="10" xfId="0" applyFont="1" applyFill="1" applyBorder="1" applyAlignment="1">
      <alignment horizontal="center" vertical="center" wrapText="1"/>
    </xf>
    <xf numFmtId="0" fontId="23" fillId="16" borderId="9" xfId="0" applyFont="1" applyFill="1" applyBorder="1" applyAlignment="1">
      <alignment horizontal="justify" vertical="center" wrapText="1"/>
    </xf>
    <xf numFmtId="0" fontId="23" fillId="16" borderId="9" xfId="0" applyFont="1" applyFill="1" applyBorder="1" applyAlignment="1">
      <alignment vertical="center" wrapText="1"/>
    </xf>
    <xf numFmtId="0" fontId="23" fillId="16" borderId="9" xfId="0" applyFont="1" applyFill="1" applyBorder="1" applyAlignment="1">
      <alignment horizontal="center" vertical="center" wrapText="1"/>
    </xf>
    <xf numFmtId="4" fontId="23" fillId="16" borderId="9" xfId="0" applyNumberFormat="1" applyFont="1" applyFill="1" applyBorder="1" applyAlignment="1">
      <alignment horizontal="right" vertical="center" wrapText="1"/>
    </xf>
    <xf numFmtId="43" fontId="23" fillId="16" borderId="9" xfId="1" applyFont="1" applyFill="1" applyBorder="1" applyAlignment="1">
      <alignment horizontal="right" vertical="center" wrapText="1"/>
    </xf>
    <xf numFmtId="1" fontId="23" fillId="16" borderId="9" xfId="0" applyNumberFormat="1" applyFont="1" applyFill="1" applyBorder="1" applyAlignment="1">
      <alignment horizontal="center" vertical="center" wrapText="1"/>
    </xf>
    <xf numFmtId="43" fontId="23" fillId="16" borderId="9" xfId="1" applyFont="1" applyFill="1" applyBorder="1" applyAlignment="1">
      <alignment vertical="center" wrapText="1"/>
    </xf>
    <xf numFmtId="0" fontId="23" fillId="16" borderId="8" xfId="0" applyFont="1" applyFill="1" applyBorder="1" applyAlignment="1">
      <alignment vertical="center" wrapText="1"/>
    </xf>
    <xf numFmtId="0" fontId="23" fillId="16" borderId="34" xfId="0" applyFont="1" applyFill="1" applyBorder="1" applyAlignment="1">
      <alignment vertical="center" wrapText="1"/>
    </xf>
    <xf numFmtId="0" fontId="24" fillId="7" borderId="63" xfId="0" applyFont="1" applyFill="1" applyBorder="1" applyAlignment="1">
      <alignment horizontal="center" vertical="center" wrapText="1"/>
    </xf>
    <xf numFmtId="0" fontId="24" fillId="7" borderId="0"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23" fillId="7" borderId="5" xfId="0" applyFont="1" applyFill="1" applyBorder="1"/>
    <xf numFmtId="0" fontId="23" fillId="7" borderId="10" xfId="0" applyFont="1" applyFill="1" applyBorder="1"/>
    <xf numFmtId="1" fontId="23" fillId="7" borderId="11" xfId="0" applyNumberFormat="1" applyFont="1" applyFill="1" applyBorder="1" applyAlignment="1">
      <alignment horizontal="center" vertical="center" wrapText="1"/>
    </xf>
    <xf numFmtId="43" fontId="23" fillId="7" borderId="19" xfId="1" applyFont="1" applyFill="1" applyBorder="1" applyAlignment="1">
      <alignment horizontal="right" vertical="center"/>
    </xf>
    <xf numFmtId="43" fontId="23" fillId="7" borderId="2" xfId="1" applyFont="1" applyFill="1" applyBorder="1" applyAlignment="1">
      <alignment horizontal="right" vertical="center"/>
    </xf>
    <xf numFmtId="0" fontId="23" fillId="0" borderId="50" xfId="0" applyFont="1" applyBorder="1" applyAlignment="1">
      <alignment horizontal="center" vertical="center"/>
    </xf>
    <xf numFmtId="0" fontId="23" fillId="7" borderId="8" xfId="0" applyFont="1" applyFill="1" applyBorder="1" applyAlignment="1">
      <alignment horizontal="justify" vertical="center" wrapText="1"/>
    </xf>
    <xf numFmtId="43" fontId="23" fillId="7" borderId="17" xfId="1" applyFont="1" applyFill="1" applyBorder="1" applyAlignment="1">
      <alignment horizontal="right" vertical="center" wrapText="1"/>
    </xf>
    <xf numFmtId="1" fontId="23" fillId="7" borderId="12" xfId="0" applyNumberFormat="1" applyFont="1" applyFill="1" applyBorder="1" applyAlignment="1">
      <alignment horizontal="center" vertical="center" wrapText="1"/>
    </xf>
    <xf numFmtId="0" fontId="23" fillId="7" borderId="4" xfId="0" applyFont="1" applyFill="1" applyBorder="1" applyAlignment="1">
      <alignment vertical="center" wrapText="1"/>
    </xf>
    <xf numFmtId="43" fontId="23" fillId="7" borderId="14" xfId="1" applyFont="1" applyFill="1" applyBorder="1" applyAlignment="1">
      <alignment horizontal="right" vertical="center" wrapText="1"/>
    </xf>
    <xf numFmtId="1" fontId="23" fillId="7" borderId="1" xfId="0" applyNumberFormat="1" applyFont="1" applyFill="1" applyBorder="1" applyAlignment="1">
      <alignment horizontal="center" vertical="center" wrapText="1"/>
    </xf>
    <xf numFmtId="0" fontId="22" fillId="7" borderId="63" xfId="0" applyFont="1" applyFill="1" applyBorder="1" applyAlignment="1">
      <alignment horizontal="center" vertical="center" wrapText="1"/>
    </xf>
    <xf numFmtId="0" fontId="22" fillId="7" borderId="0" xfId="0" applyFont="1" applyFill="1" applyBorder="1" applyAlignment="1">
      <alignment horizontal="center" vertical="center" wrapText="1"/>
    </xf>
    <xf numFmtId="0" fontId="22" fillId="7" borderId="13" xfId="0" applyFont="1" applyFill="1" applyBorder="1" applyAlignment="1">
      <alignment horizontal="center" vertical="center" wrapText="1"/>
    </xf>
    <xf numFmtId="43" fontId="23" fillId="9" borderId="9" xfId="1" applyFont="1" applyFill="1" applyBorder="1" applyAlignment="1">
      <alignment horizontal="justify" vertical="center" wrapText="1"/>
    </xf>
    <xf numFmtId="43" fontId="23" fillId="7" borderId="13" xfId="1" applyFont="1" applyFill="1" applyBorder="1" applyAlignment="1">
      <alignment horizontal="right" vertical="center" wrapText="1"/>
    </xf>
    <xf numFmtId="43" fontId="23" fillId="7" borderId="16" xfId="1" applyFont="1" applyFill="1" applyBorder="1" applyAlignment="1">
      <alignment vertical="center"/>
    </xf>
    <xf numFmtId="0" fontId="23" fillId="0" borderId="16" xfId="0" applyFont="1" applyBorder="1" applyAlignment="1">
      <alignment horizontal="center" vertical="center"/>
    </xf>
    <xf numFmtId="0" fontId="23" fillId="0" borderId="16" xfId="0" applyFont="1" applyBorder="1" applyAlignment="1">
      <alignment horizontal="justify" vertical="center" wrapText="1"/>
    </xf>
    <xf numFmtId="0" fontId="23" fillId="7" borderId="15" xfId="0" applyFont="1" applyFill="1" applyBorder="1" applyAlignment="1">
      <alignment horizontal="center" vertical="center" wrapText="1"/>
    </xf>
    <xf numFmtId="1" fontId="23" fillId="7" borderId="6" xfId="0" applyNumberFormat="1" applyFont="1" applyFill="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3" fillId="0" borderId="29" xfId="0" applyFont="1" applyBorder="1" applyAlignment="1">
      <alignment horizontal="center" vertical="center" wrapText="1"/>
    </xf>
    <xf numFmtId="173" fontId="23" fillId="0" borderId="29" xfId="0" applyNumberFormat="1" applyFont="1" applyBorder="1" applyAlignment="1">
      <alignment horizontal="center" vertical="center" wrapText="1"/>
    </xf>
    <xf numFmtId="0" fontId="23" fillId="0" borderId="29" xfId="0" applyFont="1" applyBorder="1" applyAlignment="1">
      <alignment horizontal="justify" vertical="center" wrapText="1"/>
    </xf>
    <xf numFmtId="0" fontId="23" fillId="0" borderId="29" xfId="0" applyFont="1" applyBorder="1"/>
    <xf numFmtId="10" fontId="23" fillId="0" borderId="29" xfId="0" applyNumberFormat="1" applyFont="1" applyBorder="1" applyAlignment="1">
      <alignment horizontal="center" vertical="center" wrapText="1"/>
    </xf>
    <xf numFmtId="4" fontId="4" fillId="0" borderId="31" xfId="0" applyNumberFormat="1" applyFont="1" applyBorder="1" applyAlignment="1">
      <alignment horizontal="right" vertical="center" wrapText="1"/>
    </xf>
    <xf numFmtId="0" fontId="23" fillId="0" borderId="30" xfId="0" applyFont="1" applyBorder="1" applyAlignment="1">
      <alignment horizontal="justify" vertical="center" wrapText="1"/>
    </xf>
    <xf numFmtId="1" fontId="23" fillId="0" borderId="28" xfId="0" applyNumberFormat="1" applyFont="1" applyBorder="1" applyAlignment="1">
      <alignment horizontal="center" vertical="center" wrapText="1"/>
    </xf>
    <xf numFmtId="0" fontId="23" fillId="0" borderId="29" xfId="0" applyFont="1" applyBorder="1" applyAlignment="1">
      <alignment horizontal="center" vertical="center" textRotation="180" wrapText="1"/>
    </xf>
    <xf numFmtId="49" fontId="23" fillId="0" borderId="29" xfId="0" applyNumberFormat="1" applyFont="1" applyBorder="1" applyAlignment="1">
      <alignment horizontal="center" vertical="center" textRotation="180" wrapText="1"/>
    </xf>
    <xf numFmtId="0" fontId="23" fillId="0" borderId="30" xfId="0" applyFont="1" applyBorder="1" applyAlignment="1">
      <alignment horizontal="center" vertical="center" textRotation="180" wrapText="1"/>
    </xf>
    <xf numFmtId="0" fontId="4" fillId="0" borderId="31" xfId="1" applyNumberFormat="1" applyFont="1" applyBorder="1" applyAlignment="1">
      <alignment horizontal="center" vertical="center" wrapText="1"/>
    </xf>
    <xf numFmtId="43" fontId="4" fillId="0" borderId="29" xfId="1" applyFont="1" applyBorder="1" applyAlignment="1">
      <alignment horizontal="center" vertical="center" wrapText="1"/>
    </xf>
    <xf numFmtId="43" fontId="4" fillId="0" borderId="31" xfId="1" applyFont="1" applyBorder="1" applyAlignment="1">
      <alignment horizontal="center" vertical="center" wrapText="1"/>
    </xf>
    <xf numFmtId="165" fontId="23" fillId="0" borderId="28" xfId="0" applyNumberFormat="1" applyFont="1" applyBorder="1" applyAlignment="1">
      <alignment horizontal="center" vertical="center" wrapText="1"/>
    </xf>
    <xf numFmtId="165" fontId="23" fillId="0" borderId="29" xfId="0" applyNumberFormat="1" applyFont="1" applyBorder="1" applyAlignment="1">
      <alignment horizontal="center" vertical="center" wrapText="1"/>
    </xf>
    <xf numFmtId="3" fontId="23" fillId="0" borderId="29" xfId="0" applyNumberFormat="1" applyFont="1" applyBorder="1" applyAlignment="1">
      <alignment horizontal="left" vertical="center" wrapText="1"/>
    </xf>
    <xf numFmtId="3" fontId="23" fillId="0" borderId="30" xfId="0" applyNumberFormat="1" applyFont="1" applyBorder="1" applyAlignment="1">
      <alignment horizontal="left" vertical="center" wrapText="1"/>
    </xf>
    <xf numFmtId="1" fontId="22" fillId="0" borderId="0" xfId="0" applyNumberFormat="1" applyFont="1"/>
    <xf numFmtId="0" fontId="23" fillId="0" borderId="0" xfId="0" applyFont="1"/>
    <xf numFmtId="0" fontId="23" fillId="7" borderId="0" xfId="0" applyFont="1" applyFill="1" applyAlignment="1">
      <alignment horizontal="justify" vertical="center"/>
    </xf>
    <xf numFmtId="0" fontId="23" fillId="7" borderId="0" xfId="0" applyFont="1" applyFill="1"/>
    <xf numFmtId="0" fontId="23" fillId="7" borderId="0" xfId="0" applyFont="1" applyFill="1" applyAlignment="1">
      <alignment horizontal="center"/>
    </xf>
    <xf numFmtId="170" fontId="23" fillId="7" borderId="0" xfId="0" applyNumberFormat="1" applyFont="1" applyFill="1" applyAlignment="1">
      <alignment horizontal="center" vertical="center"/>
    </xf>
    <xf numFmtId="169" fontId="23" fillId="7" borderId="0" xfId="0" applyNumberFormat="1" applyFont="1" applyFill="1" applyAlignment="1">
      <alignment vertical="center"/>
    </xf>
    <xf numFmtId="169" fontId="23" fillId="7" borderId="0" xfId="0" applyNumberFormat="1" applyFont="1" applyFill="1" applyAlignment="1">
      <alignment horizontal="center" vertical="center"/>
    </xf>
    <xf numFmtId="1" fontId="23" fillId="7" borderId="0" xfId="0" applyNumberFormat="1" applyFont="1" applyFill="1" applyAlignment="1">
      <alignment horizontal="center" vertical="center"/>
    </xf>
    <xf numFmtId="0" fontId="23" fillId="7" borderId="0" xfId="0" applyFont="1" applyFill="1" applyAlignment="1">
      <alignment horizontal="center" vertical="center"/>
    </xf>
    <xf numFmtId="167" fontId="23" fillId="0" borderId="0" xfId="0" applyNumberFormat="1" applyFont="1" applyAlignment="1">
      <alignment horizontal="right" vertical="center"/>
    </xf>
    <xf numFmtId="172" fontId="23" fillId="0" borderId="0" xfId="0" applyNumberFormat="1" applyFont="1" applyAlignment="1">
      <alignment horizontal="center"/>
    </xf>
    <xf numFmtId="167" fontId="23" fillId="0" borderId="0" xfId="0" applyNumberFormat="1" applyFont="1" applyAlignment="1">
      <alignment horizontal="center"/>
    </xf>
    <xf numFmtId="0" fontId="23" fillId="0" borderId="0" xfId="0" applyFont="1" applyAlignment="1">
      <alignment horizontal="justify" vertical="center"/>
    </xf>
    <xf numFmtId="0" fontId="19" fillId="0" borderId="0" xfId="0" applyFont="1"/>
    <xf numFmtId="0" fontId="25" fillId="0" borderId="0" xfId="0" applyFont="1"/>
    <xf numFmtId="0" fontId="25" fillId="0" borderId="0" xfId="0" applyFont="1" applyAlignment="1">
      <alignment horizontal="center"/>
    </xf>
    <xf numFmtId="172" fontId="25" fillId="0" borderId="0" xfId="0" applyNumberFormat="1" applyFont="1"/>
    <xf numFmtId="0" fontId="22" fillId="7" borderId="0" xfId="0" applyFont="1" applyFill="1" applyAlignment="1">
      <alignment horizontal="justify" vertical="center"/>
    </xf>
    <xf numFmtId="0" fontId="22" fillId="7" borderId="0" xfId="0" applyFont="1" applyFill="1" applyAlignment="1">
      <alignment horizontal="center"/>
    </xf>
    <xf numFmtId="170" fontId="22" fillId="7" borderId="0" xfId="0" applyNumberFormat="1" applyFont="1" applyFill="1" applyAlignment="1">
      <alignment horizontal="center" vertical="center"/>
    </xf>
    <xf numFmtId="169" fontId="22" fillId="7" borderId="0" xfId="0" applyNumberFormat="1" applyFont="1" applyFill="1" applyAlignment="1">
      <alignment vertical="center"/>
    </xf>
    <xf numFmtId="169" fontId="22" fillId="7" borderId="0" xfId="0" applyNumberFormat="1" applyFont="1" applyFill="1" applyAlignment="1">
      <alignment horizontal="center" vertical="center"/>
    </xf>
    <xf numFmtId="1" fontId="22" fillId="7" borderId="0" xfId="0" applyNumberFormat="1" applyFont="1" applyFill="1" applyAlignment="1">
      <alignment horizontal="center" vertical="center"/>
    </xf>
    <xf numFmtId="0" fontId="22" fillId="7" borderId="0" xfId="0" applyFont="1" applyFill="1" applyAlignment="1">
      <alignment horizontal="center" vertical="center"/>
    </xf>
    <xf numFmtId="167" fontId="22" fillId="0" borderId="0" xfId="0" applyNumberFormat="1" applyFont="1" applyAlignment="1">
      <alignment horizontal="right" vertical="center"/>
    </xf>
    <xf numFmtId="172" fontId="22" fillId="0" borderId="0" xfId="0" applyNumberFormat="1" applyFont="1" applyAlignment="1">
      <alignment horizontal="center"/>
    </xf>
    <xf numFmtId="167" fontId="22" fillId="0" borderId="0" xfId="0" applyNumberFormat="1" applyFont="1" applyAlignment="1">
      <alignment horizontal="center"/>
    </xf>
    <xf numFmtId="0" fontId="22" fillId="0" borderId="0" xfId="0" applyFont="1" applyAlignment="1">
      <alignment horizontal="justify" vertical="center"/>
    </xf>
    <xf numFmtId="0" fontId="5" fillId="0" borderId="0" xfId="0" applyFont="1" applyAlignment="1">
      <alignment horizontal="justify" vertical="center" wrapText="1"/>
    </xf>
    <xf numFmtId="2" fontId="5" fillId="0" borderId="0" xfId="0" applyNumberFormat="1" applyFont="1" applyAlignment="1">
      <alignment horizontal="right"/>
    </xf>
    <xf numFmtId="174" fontId="5" fillId="0" borderId="0" xfId="0" applyNumberFormat="1" applyFont="1" applyAlignment="1">
      <alignment horizontal="right"/>
    </xf>
    <xf numFmtId="0" fontId="5" fillId="0" borderId="0" xfId="0" applyFont="1" applyAlignment="1">
      <alignment horizontal="center" vertical="center" wrapText="1"/>
    </xf>
    <xf numFmtId="172" fontId="5" fillId="0" borderId="0" xfId="0" applyNumberFormat="1" applyFont="1" applyAlignment="1">
      <alignment vertical="center"/>
    </xf>
    <xf numFmtId="0" fontId="13" fillId="0" borderId="3" xfId="0" applyFont="1" applyBorder="1" applyAlignment="1">
      <alignment horizontal="center" vertical="center" wrapText="1"/>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11" borderId="13"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Border="1" applyAlignment="1">
      <alignment horizontal="justify"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6" xfId="0" applyFont="1" applyBorder="1" applyAlignment="1">
      <alignment horizontal="center" vertical="center" wrapText="1"/>
    </xf>
    <xf numFmtId="3" fontId="14" fillId="0" borderId="2" xfId="0" applyNumberFormat="1" applyFont="1" applyBorder="1" applyAlignment="1">
      <alignment horizontal="center" vertical="center"/>
    </xf>
    <xf numFmtId="43" fontId="14" fillId="0" borderId="2" xfId="7" applyFont="1" applyBorder="1" applyAlignment="1">
      <alignment horizontal="center" vertical="center" wrapText="1"/>
    </xf>
    <xf numFmtId="3" fontId="14" fillId="0" borderId="34" xfId="0" applyNumberFormat="1" applyFont="1" applyBorder="1" applyAlignment="1">
      <alignment horizontal="center" vertical="center" wrapText="1"/>
    </xf>
    <xf numFmtId="0" fontId="14" fillId="2" borderId="11" xfId="0" applyFont="1" applyFill="1" applyBorder="1" applyAlignment="1">
      <alignment horizontal="center" vertical="center" wrapText="1"/>
    </xf>
    <xf numFmtId="0" fontId="14" fillId="2" borderId="13" xfId="0" applyFont="1" applyFill="1" applyBorder="1" applyAlignment="1">
      <alignment horizontal="center" vertical="center" wrapText="1"/>
    </xf>
    <xf numFmtId="3" fontId="14" fillId="0" borderId="11" xfId="0" applyNumberFormat="1" applyFont="1" applyBorder="1" applyAlignment="1">
      <alignment horizontal="center" vertical="center"/>
    </xf>
    <xf numFmtId="165" fontId="14" fillId="0" borderId="11" xfId="0" applyNumberFormat="1" applyFont="1" applyBorder="1" applyAlignment="1">
      <alignment horizontal="center" vertical="center" wrapText="1"/>
    </xf>
    <xf numFmtId="10" fontId="9" fillId="2" borderId="11" xfId="6"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1" xfId="0" applyFont="1" applyBorder="1" applyAlignment="1">
      <alignment horizontal="justify" vertical="center" wrapText="1"/>
    </xf>
    <xf numFmtId="0" fontId="14" fillId="0" borderId="8"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1"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2" xfId="0" applyFont="1" applyBorder="1" applyAlignment="1">
      <alignment horizontal="justify" vertical="center" wrapText="1"/>
    </xf>
    <xf numFmtId="0" fontId="14" fillId="7" borderId="11" xfId="0" applyFont="1" applyFill="1" applyBorder="1" applyAlignment="1">
      <alignment horizontal="center" vertical="center" wrapText="1"/>
    </xf>
    <xf numFmtId="9" fontId="9" fillId="0" borderId="11" xfId="6" applyFont="1" applyBorder="1" applyAlignment="1">
      <alignment horizontal="center" vertical="center" wrapText="1"/>
    </xf>
    <xf numFmtId="43" fontId="14" fillId="0" borderId="11" xfId="7" applyFont="1" applyBorder="1" applyAlignment="1">
      <alignment horizontal="center" vertical="center" wrapText="1"/>
    </xf>
    <xf numFmtId="3" fontId="14" fillId="0" borderId="11" xfId="0" applyNumberFormat="1" applyFont="1" applyBorder="1" applyAlignment="1">
      <alignment horizontal="justify" vertical="center" wrapText="1"/>
    </xf>
    <xf numFmtId="0" fontId="14" fillId="0" borderId="6" xfId="0" applyFont="1" applyBorder="1" applyAlignment="1">
      <alignment horizontal="justify" vertical="center" wrapText="1"/>
    </xf>
    <xf numFmtId="0" fontId="15" fillId="11" borderId="0" xfId="0" applyFont="1" applyFill="1" applyBorder="1" applyAlignment="1">
      <alignment horizontal="center" vertical="center" wrapText="1"/>
    </xf>
    <xf numFmtId="43" fontId="15" fillId="2" borderId="31" xfId="1" applyFont="1" applyFill="1" applyBorder="1" applyAlignment="1">
      <alignment horizontal="center" vertical="center"/>
    </xf>
    <xf numFmtId="9" fontId="14" fillId="2" borderId="31" xfId="2" applyFont="1" applyFill="1" applyBorder="1" applyAlignment="1">
      <alignment horizontal="center" vertical="center"/>
    </xf>
    <xf numFmtId="1" fontId="4" fillId="17" borderId="2" xfId="0" applyNumberFormat="1" applyFont="1" applyFill="1" applyBorder="1" applyAlignment="1">
      <alignment horizontal="center" vertical="center" wrapText="1"/>
    </xf>
    <xf numFmtId="0" fontId="15" fillId="11" borderId="6" xfId="0" applyFont="1" applyFill="1" applyBorder="1" applyAlignment="1">
      <alignment horizontal="center" vertical="center" wrapText="1"/>
    </xf>
    <xf numFmtId="43" fontId="15" fillId="11" borderId="6" xfId="7" applyFont="1" applyFill="1" applyBorder="1" applyAlignment="1">
      <alignment horizontal="center" vertical="center" wrapText="1"/>
    </xf>
    <xf numFmtId="10" fontId="7" fillId="11" borderId="6" xfId="6" applyNumberFormat="1" applyFont="1" applyFill="1" applyBorder="1" applyAlignment="1">
      <alignment horizontal="center" vertical="center" wrapText="1"/>
    </xf>
    <xf numFmtId="0" fontId="4" fillId="17" borderId="2" xfId="0" applyFont="1" applyFill="1" applyBorder="1" applyAlignment="1">
      <alignment horizontal="center" vertical="center" wrapText="1"/>
    </xf>
    <xf numFmtId="0" fontId="15" fillId="11" borderId="7" xfId="0" applyFont="1" applyFill="1" applyBorder="1" applyAlignment="1">
      <alignment horizontal="center" vertical="center" wrapText="1"/>
    </xf>
    <xf numFmtId="0" fontId="15" fillId="11" borderId="3" xfId="0" applyFont="1" applyFill="1" applyBorder="1" applyAlignment="1">
      <alignment horizontal="center" vertical="center" wrapText="1"/>
    </xf>
    <xf numFmtId="43" fontId="14" fillId="0" borderId="2" xfId="1" applyFont="1" applyBorder="1" applyAlignment="1">
      <alignment horizontal="center" vertical="center"/>
    </xf>
    <xf numFmtId="43" fontId="15" fillId="2" borderId="40" xfId="1" applyFont="1" applyFill="1" applyBorder="1" applyAlignment="1">
      <alignment horizontal="center" vertical="center"/>
    </xf>
    <xf numFmtId="0" fontId="13" fillId="0" borderId="54" xfId="0" applyFont="1" applyBorder="1" applyAlignment="1">
      <alignment horizontal="center" vertical="center" wrapText="1"/>
    </xf>
    <xf numFmtId="0" fontId="14" fillId="0" borderId="54" xfId="0" applyFont="1" applyBorder="1"/>
    <xf numFmtId="0" fontId="3" fillId="0" borderId="56" xfId="0" applyFont="1" applyBorder="1" applyAlignment="1">
      <alignment vertical="center"/>
    </xf>
    <xf numFmtId="0" fontId="4" fillId="0" borderId="57" xfId="0" applyFont="1" applyBorder="1" applyAlignment="1">
      <alignment horizontal="center" wrapText="1"/>
    </xf>
    <xf numFmtId="0" fontId="13" fillId="0" borderId="0" xfId="0" applyFont="1" applyBorder="1" applyAlignment="1">
      <alignment horizontal="center" vertical="center" wrapText="1"/>
    </xf>
    <xf numFmtId="0" fontId="14" fillId="0" borderId="0" xfId="0" applyFont="1" applyBorder="1"/>
    <xf numFmtId="164" fontId="4" fillId="0" borderId="34" xfId="0" applyNumberFormat="1" applyFont="1" applyBorder="1" applyAlignment="1">
      <alignment horizontal="left"/>
    </xf>
    <xf numFmtId="17" fontId="4" fillId="0" borderId="34" xfId="0" applyNumberFormat="1" applyFont="1" applyBorder="1" applyAlignment="1">
      <alignment horizontal="left"/>
    </xf>
    <xf numFmtId="3" fontId="4" fillId="2" borderId="34" xfId="0" applyNumberFormat="1" applyFont="1" applyFill="1" applyBorder="1" applyAlignment="1">
      <alignment horizontal="left" vertical="center" wrapText="1"/>
    </xf>
    <xf numFmtId="0" fontId="15" fillId="0" borderId="66" xfId="0" applyFont="1" applyBorder="1" applyAlignment="1">
      <alignment vertical="center"/>
    </xf>
    <xf numFmtId="1" fontId="15" fillId="11" borderId="45" xfId="0" applyNumberFormat="1" applyFont="1" applyFill="1" applyBorder="1" applyAlignment="1">
      <alignment horizontal="center" vertical="center" wrapText="1"/>
    </xf>
    <xf numFmtId="0" fontId="15" fillId="17" borderId="60" xfId="0" applyFont="1" applyFill="1" applyBorder="1" applyAlignment="1">
      <alignment horizontal="justify" vertical="center"/>
    </xf>
    <xf numFmtId="1" fontId="15" fillId="13" borderId="68" xfId="0" applyNumberFormat="1" applyFont="1" applyFill="1" applyBorder="1" applyAlignment="1">
      <alignment horizontal="left" vertical="center" wrapText="1"/>
    </xf>
    <xf numFmtId="0" fontId="15" fillId="13" borderId="60" xfId="0" applyFont="1" applyFill="1" applyBorder="1" applyAlignment="1">
      <alignment horizontal="center" vertical="center"/>
    </xf>
    <xf numFmtId="1" fontId="15" fillId="2" borderId="59" xfId="0" applyNumberFormat="1" applyFont="1" applyFill="1" applyBorder="1" applyAlignment="1">
      <alignment vertical="center" wrapText="1"/>
    </xf>
    <xf numFmtId="0" fontId="15" fillId="11" borderId="66" xfId="0" applyFont="1" applyFill="1" applyBorder="1" applyAlignment="1">
      <alignment horizontal="justify" vertical="center"/>
    </xf>
    <xf numFmtId="1" fontId="15" fillId="2" borderId="45" xfId="0" applyNumberFormat="1" applyFont="1" applyFill="1" applyBorder="1" applyAlignment="1">
      <alignment vertical="center" wrapText="1"/>
    </xf>
    <xf numFmtId="0" fontId="15" fillId="15" borderId="60" xfId="0" applyFont="1" applyFill="1" applyBorder="1" applyAlignment="1">
      <alignment horizontal="justify" vertical="center"/>
    </xf>
    <xf numFmtId="1" fontId="15" fillId="0" borderId="45" xfId="0" applyNumberFormat="1" applyFont="1" applyBorder="1" applyAlignment="1">
      <alignment vertical="center" wrapText="1"/>
    </xf>
    <xf numFmtId="1" fontId="15" fillId="0" borderId="0" xfId="0" applyNumberFormat="1" applyFont="1" applyBorder="1" applyAlignment="1">
      <alignment vertical="center" wrapText="1"/>
    </xf>
    <xf numFmtId="0" fontId="15" fillId="0" borderId="0" xfId="0" applyFont="1" applyBorder="1" applyAlignment="1">
      <alignment vertical="center" wrapText="1"/>
    </xf>
    <xf numFmtId="3" fontId="5" fillId="0" borderId="35" xfId="0" applyNumberFormat="1" applyFont="1" applyBorder="1" applyAlignment="1">
      <alignment horizontal="center" vertical="center" wrapText="1"/>
    </xf>
    <xf numFmtId="0" fontId="14" fillId="0" borderId="0" xfId="0" applyFont="1" applyBorder="1" applyAlignment="1">
      <alignment vertical="center" wrapText="1"/>
    </xf>
    <xf numFmtId="0" fontId="14" fillId="0" borderId="0" xfId="0" applyFont="1" applyBorder="1" applyAlignment="1">
      <alignment horizontal="center" vertical="center" wrapText="1"/>
    </xf>
    <xf numFmtId="1" fontId="15" fillId="2" borderId="45" xfId="0" applyNumberFormat="1" applyFont="1" applyFill="1" applyBorder="1" applyAlignment="1">
      <alignment horizontal="center" vertical="center" wrapText="1"/>
    </xf>
    <xf numFmtId="1" fontId="15" fillId="2" borderId="0"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0" fillId="7" borderId="0" xfId="0" applyFont="1" applyFill="1" applyBorder="1" applyAlignment="1">
      <alignment horizontal="center"/>
    </xf>
    <xf numFmtId="0" fontId="4" fillId="0" borderId="57" xfId="0" applyFont="1" applyBorder="1" applyAlignment="1">
      <alignment vertical="center"/>
    </xf>
    <xf numFmtId="164" fontId="4" fillId="0" borderId="34" xfId="0" applyNumberFormat="1" applyFont="1" applyBorder="1" applyAlignment="1">
      <alignment horizontal="left" vertical="center"/>
    </xf>
    <xf numFmtId="17" fontId="4" fillId="0" borderId="34" xfId="0" applyNumberFormat="1" applyFont="1" applyBorder="1" applyAlignment="1">
      <alignment horizontal="left" vertical="center"/>
    </xf>
    <xf numFmtId="0" fontId="15" fillId="13" borderId="60" xfId="0" applyFont="1" applyFill="1" applyBorder="1" applyAlignment="1">
      <alignment horizontal="justify" vertical="center"/>
    </xf>
    <xf numFmtId="0" fontId="14" fillId="2" borderId="30" xfId="0" applyFont="1" applyFill="1" applyBorder="1" applyAlignment="1">
      <alignment horizontal="justify" vertical="center"/>
    </xf>
    <xf numFmtId="1" fontId="14" fillId="0" borderId="51" xfId="0" applyNumberFormat="1" applyFont="1" applyBorder="1" applyAlignment="1">
      <alignment horizontal="center" vertical="center" wrapText="1"/>
    </xf>
    <xf numFmtId="1" fontId="14" fillId="2" borderId="30" xfId="0" applyNumberFormat="1" applyFont="1" applyFill="1" applyBorder="1" applyAlignment="1">
      <alignment horizontal="center" vertical="center"/>
    </xf>
    <xf numFmtId="0" fontId="26" fillId="0" borderId="0" xfId="0" applyFont="1" applyAlignment="1">
      <alignment horizontal="center" vertical="center" wrapText="1"/>
    </xf>
    <xf numFmtId="0" fontId="4" fillId="0" borderId="0" xfId="0" applyFont="1" applyBorder="1"/>
    <xf numFmtId="0" fontId="4" fillId="0" borderId="2" xfId="0" applyFont="1" applyBorder="1" applyAlignment="1">
      <alignment horizontal="center" vertical="center" wrapText="1"/>
    </xf>
    <xf numFmtId="0" fontId="4" fillId="0" borderId="0" xfId="0" applyFont="1" applyBorder="1" applyAlignment="1">
      <alignment horizontal="left"/>
    </xf>
    <xf numFmtId="164" fontId="4" fillId="0" borderId="2" xfId="0" applyNumberFormat="1" applyFont="1" applyBorder="1" applyAlignment="1">
      <alignment horizontal="left" vertical="center"/>
    </xf>
    <xf numFmtId="17" fontId="4" fillId="0" borderId="2" xfId="0" applyNumberFormat="1" applyFont="1" applyBorder="1" applyAlignment="1">
      <alignment horizontal="left" vertical="center"/>
    </xf>
    <xf numFmtId="0" fontId="26" fillId="0" borderId="3" xfId="0" applyFont="1" applyBorder="1" applyAlignment="1">
      <alignment horizontal="center" vertical="center" wrapText="1"/>
    </xf>
    <xf numFmtId="0" fontId="23" fillId="0" borderId="0" xfId="0" applyFont="1" applyAlignment="1">
      <alignment wrapText="1"/>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3" borderId="2" xfId="0" applyFont="1" applyFill="1" applyBorder="1" applyAlignment="1">
      <alignment horizontal="center" vertical="center" wrapText="1"/>
    </xf>
    <xf numFmtId="0" fontId="7" fillId="3" borderId="10" xfId="0" applyFont="1" applyFill="1" applyBorder="1" applyAlignment="1">
      <alignment horizontal="center" vertical="center" wrapText="1"/>
    </xf>
    <xf numFmtId="165" fontId="7" fillId="5" borderId="2" xfId="0" applyNumberFormat="1" applyFont="1" applyFill="1" applyBorder="1" applyAlignment="1">
      <alignment horizontal="center" vertical="center" wrapText="1"/>
    </xf>
    <xf numFmtId="165" fontId="7" fillId="5" borderId="8" xfId="0" applyNumberFormat="1" applyFont="1" applyFill="1" applyBorder="1" applyAlignment="1">
      <alignment horizontal="center" vertical="center" wrapText="1"/>
    </xf>
    <xf numFmtId="1" fontId="7" fillId="6" borderId="68" xfId="0" applyNumberFormat="1" applyFont="1" applyFill="1" applyBorder="1" applyAlignment="1">
      <alignment horizontal="center" vertical="center" wrapText="1"/>
    </xf>
    <xf numFmtId="0" fontId="7" fillId="6" borderId="9" xfId="0" applyFont="1" applyFill="1" applyBorder="1" applyAlignment="1">
      <alignment vertical="center"/>
    </xf>
    <xf numFmtId="0" fontId="9" fillId="6" borderId="2" xfId="0" applyFont="1" applyFill="1" applyBorder="1"/>
    <xf numFmtId="0" fontId="9" fillId="6" borderId="8" xfId="0" applyFont="1" applyFill="1" applyBorder="1"/>
    <xf numFmtId="0" fontId="9" fillId="6" borderId="34" xfId="0" applyFont="1" applyFill="1" applyBorder="1"/>
    <xf numFmtId="1" fontId="7" fillId="8" borderId="9" xfId="0" applyNumberFormat="1" applyFont="1" applyFill="1" applyBorder="1" applyAlignment="1">
      <alignment horizontal="center" vertical="center"/>
    </xf>
    <xf numFmtId="1" fontId="7" fillId="8" borderId="2" xfId="0" applyNumberFormat="1" applyFont="1" applyFill="1" applyBorder="1" applyAlignment="1">
      <alignment horizontal="left" vertical="center"/>
    </xf>
    <xf numFmtId="0" fontId="9" fillId="8" borderId="2" xfId="0" applyFont="1" applyFill="1" applyBorder="1"/>
    <xf numFmtId="0" fontId="9" fillId="8" borderId="8" xfId="0" applyFont="1" applyFill="1" applyBorder="1"/>
    <xf numFmtId="0" fontId="9" fillId="8" borderId="34" xfId="0" applyFont="1" applyFill="1" applyBorder="1"/>
    <xf numFmtId="1" fontId="7" fillId="9" borderId="2" xfId="0" applyNumberFormat="1" applyFont="1" applyFill="1" applyBorder="1" applyAlignment="1">
      <alignment horizontal="left" vertical="center" wrapText="1" indent="1"/>
    </xf>
    <xf numFmtId="0" fontId="7" fillId="9" borderId="2" xfId="0" applyFont="1" applyFill="1" applyBorder="1" applyAlignment="1">
      <alignment horizontal="left" vertical="center"/>
    </xf>
    <xf numFmtId="0" fontId="9" fillId="9" borderId="2" xfId="0" applyFont="1" applyFill="1" applyBorder="1"/>
    <xf numFmtId="0" fontId="9" fillId="9" borderId="8" xfId="0" applyFont="1" applyFill="1" applyBorder="1"/>
    <xf numFmtId="0" fontId="9" fillId="9" borderId="34" xfId="0" applyFont="1" applyFill="1" applyBorder="1"/>
    <xf numFmtId="3" fontId="9" fillId="7" borderId="11" xfId="0" applyNumberFormat="1" applyFont="1" applyFill="1" applyBorder="1" applyAlignment="1">
      <alignment horizontal="center" vertical="center" wrapText="1"/>
    </xf>
    <xf numFmtId="3" fontId="9" fillId="7" borderId="13" xfId="0" applyNumberFormat="1" applyFont="1" applyFill="1" applyBorder="1" applyAlignment="1">
      <alignment horizontal="center" vertical="center" wrapText="1"/>
    </xf>
    <xf numFmtId="3" fontId="9" fillId="7" borderId="26" xfId="0" applyNumberFormat="1" applyFont="1" applyFill="1" applyBorder="1" applyAlignment="1">
      <alignment horizontal="center" vertical="center" wrapText="1"/>
    </xf>
    <xf numFmtId="0" fontId="7" fillId="0" borderId="28" xfId="0" applyFont="1" applyBorder="1" applyAlignment="1">
      <alignment vertical="center"/>
    </xf>
    <xf numFmtId="0" fontId="7" fillId="0" borderId="29" xfId="0" applyFont="1" applyBorder="1" applyAlignment="1">
      <alignment vertical="center"/>
    </xf>
    <xf numFmtId="43" fontId="7" fillId="0" borderId="30" xfId="4" applyFont="1" applyBorder="1" applyAlignment="1">
      <alignment vertical="center"/>
    </xf>
    <xf numFmtId="0" fontId="7" fillId="0" borderId="30" xfId="0" applyFont="1" applyBorder="1" applyAlignment="1">
      <alignment horizontal="justify" vertical="center"/>
    </xf>
    <xf numFmtId="43" fontId="7" fillId="0" borderId="32" xfId="4" applyFont="1" applyBorder="1" applyAlignment="1">
      <alignment vertical="center"/>
    </xf>
    <xf numFmtId="169" fontId="7" fillId="0" borderId="28" xfId="0" applyNumberFormat="1" applyFont="1" applyBorder="1" applyAlignment="1">
      <alignment vertical="center"/>
    </xf>
    <xf numFmtId="0" fontId="7" fillId="7" borderId="29" xfId="0" applyFont="1" applyFill="1" applyBorder="1" applyAlignment="1">
      <alignment horizontal="justify" vertical="center"/>
    </xf>
    <xf numFmtId="3" fontId="7" fillId="7" borderId="31" xfId="0" applyNumberFormat="1" applyFont="1" applyFill="1" applyBorder="1" applyAlignment="1">
      <alignment horizontal="center" vertical="center"/>
    </xf>
    <xf numFmtId="0" fontId="7" fillId="0" borderId="29" xfId="0" applyFont="1" applyBorder="1" applyAlignment="1">
      <alignment horizontal="right" vertical="center"/>
    </xf>
    <xf numFmtId="165" fontId="7" fillId="0" borderId="29" xfId="0" applyNumberFormat="1" applyFont="1" applyBorder="1" applyAlignment="1">
      <alignment horizontal="center" vertical="center"/>
    </xf>
    <xf numFmtId="0" fontId="7" fillId="0" borderId="30" xfId="0" applyFont="1" applyBorder="1" applyAlignment="1">
      <alignment horizontal="left" vertical="center"/>
    </xf>
    <xf numFmtId="0" fontId="4" fillId="0" borderId="0" xfId="0" applyFont="1" applyAlignment="1">
      <alignment vertical="center"/>
    </xf>
    <xf numFmtId="43" fontId="23" fillId="0" borderId="0" xfId="4" applyFont="1"/>
    <xf numFmtId="169" fontId="23" fillId="0" borderId="0" xfId="0" applyNumberFormat="1" applyFont="1"/>
    <xf numFmtId="0" fontId="7" fillId="0" borderId="5" xfId="0" applyFont="1" applyBorder="1"/>
    <xf numFmtId="0" fontId="23" fillId="0" borderId="5" xfId="0" applyFont="1" applyBorder="1"/>
    <xf numFmtId="0" fontId="7" fillId="0" borderId="0" xfId="0" applyFont="1"/>
    <xf numFmtId="0" fontId="7" fillId="4" borderId="9" xfId="0" applyFont="1" applyFill="1" applyBorder="1" applyAlignment="1">
      <alignment horizontal="center" vertical="center"/>
    </xf>
    <xf numFmtId="0" fontId="3" fillId="3" borderId="2"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3" fillId="17" borderId="2" xfId="0" applyFont="1" applyFill="1" applyBorder="1" applyAlignment="1">
      <alignment horizontal="center" vertical="center" wrapText="1"/>
    </xf>
    <xf numFmtId="0" fontId="2" fillId="0" borderId="54" xfId="0" applyFont="1" applyBorder="1" applyAlignment="1">
      <alignment horizontal="center" vertical="center" wrapText="1"/>
    </xf>
    <xf numFmtId="0" fontId="2" fillId="0" borderId="3" xfId="0" applyFont="1" applyBorder="1" applyAlignment="1">
      <alignment horizontal="center" vertical="center" wrapText="1"/>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2" fillId="0" borderId="0" xfId="0" applyFont="1" applyAlignment="1">
      <alignment horizontal="center" vertical="center" wrapText="1"/>
    </xf>
    <xf numFmtId="0" fontId="4" fillId="0" borderId="2" xfId="0" applyFont="1" applyBorder="1"/>
    <xf numFmtId="0" fontId="9" fillId="0" borderId="0" xfId="0" applyFont="1"/>
    <xf numFmtId="0" fontId="9" fillId="0" borderId="0" xfId="0" applyFont="1" applyAlignment="1">
      <alignment wrapText="1"/>
    </xf>
    <xf numFmtId="0" fontId="9" fillId="7" borderId="0" xfId="0" applyFont="1" applyFill="1"/>
    <xf numFmtId="0" fontId="7" fillId="0" borderId="7" xfId="0" applyFont="1" applyBorder="1" applyAlignment="1">
      <alignment vertical="center"/>
    </xf>
    <xf numFmtId="0" fontId="9" fillId="0" borderId="3" xfId="0" applyFont="1" applyBorder="1" applyAlignment="1">
      <alignment vertical="center"/>
    </xf>
    <xf numFmtId="0" fontId="7" fillId="0" borderId="3" xfId="0" applyFont="1" applyBorder="1" applyAlignment="1">
      <alignment horizontal="justify" vertical="center"/>
    </xf>
    <xf numFmtId="0" fontId="7" fillId="0" borderId="3" xfId="0" applyFont="1" applyBorder="1" applyAlignment="1">
      <alignment vertical="center"/>
    </xf>
    <xf numFmtId="43" fontId="9" fillId="0" borderId="3" xfId="1" applyFont="1" applyBorder="1" applyAlignment="1">
      <alignment vertical="center"/>
    </xf>
    <xf numFmtId="166" fontId="7" fillId="0" borderId="3" xfId="1" applyNumberFormat="1" applyFont="1" applyBorder="1" applyAlignment="1">
      <alignment horizontal="center" vertical="center"/>
    </xf>
    <xf numFmtId="0" fontId="7" fillId="0" borderId="3" xfId="1" applyNumberFormat="1" applyFont="1" applyBorder="1" applyAlignment="1">
      <alignment horizontal="center" vertical="center"/>
    </xf>
    <xf numFmtId="169" fontId="7" fillId="0" borderId="3" xfId="1" applyNumberFormat="1" applyFont="1" applyBorder="1" applyAlignment="1">
      <alignment horizontal="center" vertical="center"/>
    </xf>
    <xf numFmtId="9" fontId="7" fillId="0" borderId="3" xfId="1" applyNumberFormat="1" applyFont="1" applyBorder="1" applyAlignment="1">
      <alignment horizontal="center" vertical="center"/>
    </xf>
    <xf numFmtId="14" fontId="7" fillId="0" borderId="3" xfId="0" applyNumberFormat="1" applyFont="1" applyBorder="1" applyAlignment="1">
      <alignment vertical="center"/>
    </xf>
    <xf numFmtId="0" fontId="9" fillId="0" borderId="66" xfId="0" applyFont="1" applyBorder="1" applyAlignment="1">
      <alignment vertical="center"/>
    </xf>
    <xf numFmtId="0" fontId="9" fillId="7" borderId="0" xfId="0" applyFont="1" applyFill="1" applyAlignment="1">
      <alignment horizontal="center"/>
    </xf>
    <xf numFmtId="0" fontId="9" fillId="0" borderId="0" xfId="0" applyFont="1" applyAlignment="1">
      <alignment horizontal="center"/>
    </xf>
    <xf numFmtId="169" fontId="7" fillId="3" borderId="2" xfId="0" applyNumberFormat="1" applyFont="1" applyFill="1" applyBorder="1" applyAlignment="1">
      <alignment horizontal="center" vertical="center" wrapText="1"/>
    </xf>
    <xf numFmtId="166" fontId="7" fillId="3" borderId="11" xfId="1" applyNumberFormat="1" applyFont="1" applyFill="1" applyBorder="1" applyAlignment="1">
      <alignment horizontal="center" vertical="center" wrapText="1"/>
    </xf>
    <xf numFmtId="0" fontId="3" fillId="5" borderId="2" xfId="0" applyNumberFormat="1" applyFont="1" applyFill="1" applyBorder="1" applyAlignment="1">
      <alignment horizontal="center" vertical="center" wrapText="1"/>
    </xf>
    <xf numFmtId="169" fontId="3" fillId="5" borderId="2" xfId="0" applyNumberFormat="1" applyFont="1" applyFill="1" applyBorder="1" applyAlignment="1">
      <alignment vertical="center" wrapText="1"/>
    </xf>
    <xf numFmtId="169" fontId="3" fillId="5" borderId="2" xfId="0" applyNumberFormat="1" applyFont="1" applyFill="1" applyBorder="1" applyAlignment="1">
      <alignment horizontal="center" vertical="center" wrapText="1"/>
    </xf>
    <xf numFmtId="9" fontId="3" fillId="5" borderId="2" xfId="2" applyNumberFormat="1" applyFont="1" applyFill="1" applyBorder="1" applyAlignment="1">
      <alignment horizontal="center" vertical="center" wrapText="1"/>
    </xf>
    <xf numFmtId="0" fontId="3" fillId="5" borderId="11" xfId="0" applyNumberFormat="1" applyFont="1" applyFill="1" applyBorder="1" applyAlignment="1">
      <alignment horizontal="center" vertical="center" wrapText="1"/>
    </xf>
    <xf numFmtId="1" fontId="7" fillId="6" borderId="71" xfId="0" applyNumberFormat="1" applyFont="1" applyFill="1" applyBorder="1" applyAlignment="1">
      <alignment horizontal="center" vertical="center" wrapText="1"/>
    </xf>
    <xf numFmtId="0" fontId="7" fillId="6" borderId="9" xfId="0" applyFont="1" applyFill="1" applyBorder="1" applyAlignment="1">
      <alignment horizontal="left" vertical="center"/>
    </xf>
    <xf numFmtId="0" fontId="7" fillId="6" borderId="9" xfId="0" applyFont="1" applyFill="1" applyBorder="1" applyAlignment="1">
      <alignment horizontal="justify" vertical="center"/>
    </xf>
    <xf numFmtId="0" fontId="9" fillId="6" borderId="9" xfId="0" applyFont="1" applyFill="1" applyBorder="1" applyAlignment="1">
      <alignment horizontal="center" vertical="center"/>
    </xf>
    <xf numFmtId="170" fontId="7" fillId="6" borderId="9" xfId="0" applyNumberFormat="1" applyFont="1" applyFill="1" applyBorder="1" applyAlignment="1">
      <alignment horizontal="center" vertical="center"/>
    </xf>
    <xf numFmtId="43" fontId="9" fillId="6" borderId="9" xfId="1" applyFont="1" applyFill="1" applyBorder="1" applyAlignment="1">
      <alignment vertical="center"/>
    </xf>
    <xf numFmtId="169" fontId="7" fillId="6" borderId="9" xfId="0" applyNumberFormat="1" applyFont="1" applyFill="1" applyBorder="1" applyAlignment="1">
      <alignment horizontal="center" vertical="center"/>
    </xf>
    <xf numFmtId="1" fontId="7" fillId="6" borderId="9" xfId="0" applyNumberFormat="1" applyFont="1" applyFill="1" applyBorder="1" applyAlignment="1">
      <alignment horizontal="center" vertical="center"/>
    </xf>
    <xf numFmtId="0" fontId="7" fillId="6" borderId="9" xfId="0" applyFont="1" applyFill="1" applyBorder="1" applyAlignment="1">
      <alignment horizontal="center" vertical="center"/>
    </xf>
    <xf numFmtId="166" fontId="9" fillId="6" borderId="9" xfId="1" applyNumberFormat="1" applyFont="1" applyFill="1" applyBorder="1" applyAlignment="1">
      <alignment vertical="center"/>
    </xf>
    <xf numFmtId="166" fontId="7" fillId="6" borderId="9" xfId="1" applyNumberFormat="1" applyFont="1" applyFill="1" applyBorder="1" applyAlignment="1">
      <alignment vertical="center"/>
    </xf>
    <xf numFmtId="14" fontId="7" fillId="6" borderId="9" xfId="0" applyNumberFormat="1" applyFont="1" applyFill="1" applyBorder="1" applyAlignment="1">
      <alignment vertical="center"/>
    </xf>
    <xf numFmtId="0" fontId="9" fillId="6" borderId="60" xfId="0" applyFont="1" applyFill="1" applyBorder="1" applyAlignment="1">
      <alignment horizontal="justify" vertical="center"/>
    </xf>
    <xf numFmtId="1" fontId="7" fillId="8" borderId="1" xfId="0" applyNumberFormat="1" applyFont="1" applyFill="1" applyBorder="1" applyAlignment="1">
      <alignment horizontal="center" vertical="center"/>
    </xf>
    <xf numFmtId="0" fontId="7" fillId="8" borderId="2" xfId="0" applyFont="1" applyFill="1" applyBorder="1" applyAlignment="1">
      <alignment vertical="center"/>
    </xf>
    <xf numFmtId="0" fontId="7" fillId="8" borderId="3" xfId="0" applyFont="1" applyFill="1" applyBorder="1" applyAlignment="1">
      <alignment vertical="center"/>
    </xf>
    <xf numFmtId="0" fontId="7" fillId="8" borderId="3" xfId="0" applyFont="1" applyFill="1" applyBorder="1" applyAlignment="1">
      <alignment horizontal="justify" vertical="center"/>
    </xf>
    <xf numFmtId="0" fontId="9" fillId="8" borderId="3" xfId="0" applyFont="1" applyFill="1" applyBorder="1" applyAlignment="1">
      <alignment horizontal="center" vertical="center"/>
    </xf>
    <xf numFmtId="170" fontId="7" fillId="8" borderId="3" xfId="0" applyNumberFormat="1" applyFont="1" applyFill="1" applyBorder="1" applyAlignment="1">
      <alignment horizontal="center" vertical="center"/>
    </xf>
    <xf numFmtId="43" fontId="9" fillId="8" borderId="3" xfId="1" applyFont="1" applyFill="1" applyBorder="1" applyAlignment="1">
      <alignment vertical="center"/>
    </xf>
    <xf numFmtId="169" fontId="7" fillId="8" borderId="3" xfId="0" applyNumberFormat="1" applyFont="1" applyFill="1" applyBorder="1" applyAlignment="1">
      <alignment horizontal="center" vertical="center"/>
    </xf>
    <xf numFmtId="1" fontId="7" fillId="8" borderId="3" xfId="0" applyNumberFormat="1" applyFont="1" applyFill="1" applyBorder="1" applyAlignment="1">
      <alignment horizontal="center" vertical="center"/>
    </xf>
    <xf numFmtId="0" fontId="7" fillId="8" borderId="3" xfId="0" applyFont="1" applyFill="1" applyBorder="1" applyAlignment="1">
      <alignment horizontal="center" vertical="center"/>
    </xf>
    <xf numFmtId="166" fontId="9" fillId="8" borderId="3" xfId="1" applyNumberFormat="1" applyFont="1" applyFill="1" applyBorder="1" applyAlignment="1">
      <alignment vertical="center"/>
    </xf>
    <xf numFmtId="166" fontId="7" fillId="8" borderId="3" xfId="1" applyNumberFormat="1" applyFont="1" applyFill="1" applyBorder="1" applyAlignment="1">
      <alignment vertical="center"/>
    </xf>
    <xf numFmtId="0" fontId="7" fillId="8" borderId="3" xfId="1" applyNumberFormat="1" applyFont="1" applyFill="1" applyBorder="1" applyAlignment="1">
      <alignment horizontal="center" vertical="center"/>
    </xf>
    <xf numFmtId="169" fontId="7" fillId="8" borderId="3" xfId="1" applyNumberFormat="1" applyFont="1" applyFill="1" applyBorder="1" applyAlignment="1">
      <alignment horizontal="center" vertical="center"/>
    </xf>
    <xf numFmtId="9" fontId="7" fillId="8" borderId="3" xfId="1" applyNumberFormat="1" applyFont="1" applyFill="1" applyBorder="1" applyAlignment="1">
      <alignment horizontal="center" vertical="center"/>
    </xf>
    <xf numFmtId="14" fontId="7" fillId="8" borderId="3" xfId="0" applyNumberFormat="1" applyFont="1" applyFill="1" applyBorder="1" applyAlignment="1">
      <alignment vertical="center"/>
    </xf>
    <xf numFmtId="0" fontId="9" fillId="8" borderId="66" xfId="0" applyFont="1" applyFill="1" applyBorder="1" applyAlignment="1">
      <alignment horizontal="justify" vertical="center"/>
    </xf>
    <xf numFmtId="1" fontId="7" fillId="9" borderId="1" xfId="0" applyNumberFormat="1" applyFont="1" applyFill="1" applyBorder="1" applyAlignment="1">
      <alignment horizontal="center" vertical="center" wrapText="1"/>
    </xf>
    <xf numFmtId="0" fontId="7" fillId="9" borderId="2" xfId="0" applyFont="1" applyFill="1" applyBorder="1" applyAlignment="1">
      <alignment vertical="center"/>
    </xf>
    <xf numFmtId="0" fontId="7" fillId="9" borderId="9" xfId="0" applyFont="1" applyFill="1" applyBorder="1" applyAlignment="1">
      <alignment vertical="center"/>
    </xf>
    <xf numFmtId="0" fontId="7" fillId="9" borderId="9" xfId="0" applyFont="1" applyFill="1" applyBorder="1" applyAlignment="1">
      <alignment horizontal="justify" vertical="center"/>
    </xf>
    <xf numFmtId="0" fontId="7" fillId="9" borderId="5" xfId="0" applyFont="1" applyFill="1" applyBorder="1" applyAlignment="1">
      <alignment vertical="center"/>
    </xf>
    <xf numFmtId="0" fontId="9" fillId="9" borderId="9" xfId="0" applyFont="1" applyFill="1" applyBorder="1" applyAlignment="1">
      <alignment horizontal="center" vertical="center"/>
    </xf>
    <xf numFmtId="170" fontId="7" fillId="9" borderId="9" xfId="0" applyNumberFormat="1" applyFont="1" applyFill="1" applyBorder="1" applyAlignment="1">
      <alignment horizontal="center" vertical="center"/>
    </xf>
    <xf numFmtId="43" fontId="9" fillId="9" borderId="9" xfId="1" applyFont="1" applyFill="1" applyBorder="1" applyAlignment="1">
      <alignment vertical="center"/>
    </xf>
    <xf numFmtId="169" fontId="7" fillId="9" borderId="9" xfId="0" applyNumberFormat="1" applyFont="1" applyFill="1" applyBorder="1" applyAlignment="1">
      <alignment horizontal="center" vertical="center"/>
    </xf>
    <xf numFmtId="1" fontId="7" fillId="9" borderId="9" xfId="0" applyNumberFormat="1" applyFont="1" applyFill="1" applyBorder="1" applyAlignment="1">
      <alignment horizontal="center" vertical="center"/>
    </xf>
    <xf numFmtId="0" fontId="7" fillId="9" borderId="9" xfId="0" applyFont="1" applyFill="1" applyBorder="1" applyAlignment="1">
      <alignment horizontal="center" vertical="center"/>
    </xf>
    <xf numFmtId="166" fontId="9" fillId="9" borderId="9" xfId="1" applyNumberFormat="1" applyFont="1" applyFill="1" applyBorder="1" applyAlignment="1">
      <alignment vertical="center"/>
    </xf>
    <xf numFmtId="166" fontId="7" fillId="9" borderId="9" xfId="1" applyNumberFormat="1" applyFont="1" applyFill="1" applyBorder="1" applyAlignment="1">
      <alignment vertical="center"/>
    </xf>
    <xf numFmtId="0" fontId="7" fillId="9" borderId="9" xfId="1" applyNumberFormat="1" applyFont="1" applyFill="1" applyBorder="1" applyAlignment="1">
      <alignment horizontal="center" vertical="center"/>
    </xf>
    <xf numFmtId="169" fontId="7" fillId="9" borderId="9" xfId="1" applyNumberFormat="1" applyFont="1" applyFill="1" applyBorder="1" applyAlignment="1">
      <alignment horizontal="center" vertical="center"/>
    </xf>
    <xf numFmtId="9" fontId="7" fillId="9" borderId="9" xfId="1" applyNumberFormat="1" applyFont="1" applyFill="1" applyBorder="1" applyAlignment="1">
      <alignment horizontal="center" vertical="center"/>
    </xf>
    <xf numFmtId="14" fontId="7" fillId="9" borderId="9" xfId="0" applyNumberFormat="1" applyFont="1" applyFill="1" applyBorder="1" applyAlignment="1">
      <alignment vertical="center"/>
    </xf>
    <xf numFmtId="0" fontId="9" fillId="9" borderId="60" xfId="0" applyFont="1" applyFill="1" applyBorder="1" applyAlignment="1">
      <alignment horizontal="justify" vertical="center"/>
    </xf>
    <xf numFmtId="43" fontId="9" fillId="0" borderId="2" xfId="1" applyFont="1" applyFill="1" applyBorder="1" applyAlignment="1">
      <alignment vertical="center" wrapText="1"/>
    </xf>
    <xf numFmtId="1"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xf numFmtId="43" fontId="9" fillId="0" borderId="8" xfId="1" applyFont="1" applyFill="1" applyBorder="1" applyAlignment="1">
      <alignment vertical="center" wrapText="1"/>
    </xf>
    <xf numFmtId="1" fontId="9" fillId="0" borderId="16"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3" xfId="0" applyFont="1" applyFill="1" applyBorder="1" applyAlignment="1">
      <alignment horizontal="center" vertical="center" wrapText="1"/>
    </xf>
    <xf numFmtId="43" fontId="9" fillId="0" borderId="16" xfId="1" applyFont="1" applyFill="1" applyBorder="1" applyAlignment="1">
      <alignment vertical="center" wrapText="1"/>
    </xf>
    <xf numFmtId="170" fontId="7" fillId="9" borderId="5" xfId="0" applyNumberFormat="1" applyFont="1" applyFill="1" applyBorder="1" applyAlignment="1">
      <alignment horizontal="center" vertical="center"/>
    </xf>
    <xf numFmtId="0" fontId="7" fillId="9" borderId="5" xfId="0" applyFont="1" applyFill="1" applyBorder="1" applyAlignment="1">
      <alignment horizontal="justify" vertical="center"/>
    </xf>
    <xf numFmtId="43" fontId="7" fillId="9" borderId="11" xfId="1" applyFont="1" applyFill="1" applyBorder="1" applyAlignment="1">
      <alignment horizontal="center" vertical="center"/>
    </xf>
    <xf numFmtId="43" fontId="7" fillId="9" borderId="5" xfId="1" applyFont="1" applyFill="1" applyBorder="1" applyAlignment="1">
      <alignment horizontal="center" vertical="center"/>
    </xf>
    <xf numFmtId="1" fontId="7" fillId="9" borderId="5" xfId="0" applyNumberFormat="1" applyFont="1" applyFill="1" applyBorder="1" applyAlignment="1">
      <alignment horizontal="center" vertical="center"/>
    </xf>
    <xf numFmtId="0" fontId="7" fillId="9" borderId="5" xfId="0" applyFont="1" applyFill="1" applyBorder="1" applyAlignment="1">
      <alignment horizontal="center" vertical="center"/>
    </xf>
    <xf numFmtId="0" fontId="9" fillId="9" borderId="9" xfId="0" applyFont="1" applyFill="1" applyBorder="1" applyAlignment="1">
      <alignment vertical="center"/>
    </xf>
    <xf numFmtId="0" fontId="9" fillId="9" borderId="9" xfId="1" applyNumberFormat="1" applyFont="1" applyFill="1" applyBorder="1" applyAlignment="1">
      <alignment horizontal="center" vertical="center"/>
    </xf>
    <xf numFmtId="169" fontId="9" fillId="9" borderId="9" xfId="1" applyNumberFormat="1" applyFont="1" applyFill="1" applyBorder="1" applyAlignment="1">
      <alignment horizontal="center" vertical="center"/>
    </xf>
    <xf numFmtId="9" fontId="9" fillId="9" borderId="9" xfId="1" applyNumberFormat="1" applyFont="1" applyFill="1" applyBorder="1" applyAlignment="1">
      <alignment horizontal="center" vertical="center"/>
    </xf>
    <xf numFmtId="14" fontId="9" fillId="9" borderId="9" xfId="0" applyNumberFormat="1" applyFont="1" applyFill="1" applyBorder="1" applyAlignment="1">
      <alignment vertical="center"/>
    </xf>
    <xf numFmtId="0" fontId="9" fillId="9" borderId="60" xfId="0" applyFont="1" applyFill="1" applyBorder="1" applyAlignment="1">
      <alignment horizontal="justify" vertical="center" wrapText="1"/>
    </xf>
    <xf numFmtId="0" fontId="9" fillId="0" borderId="13" xfId="0" applyFont="1" applyFill="1" applyBorder="1" applyAlignment="1">
      <alignment horizontal="center" vertical="center"/>
    </xf>
    <xf numFmtId="43" fontId="9" fillId="0" borderId="50" xfId="1" applyFont="1" applyFill="1" applyBorder="1" applyAlignment="1">
      <alignment vertical="center" wrapText="1"/>
    </xf>
    <xf numFmtId="1" fontId="9" fillId="0" borderId="50" xfId="0" applyNumberFormat="1" applyFont="1" applyFill="1" applyBorder="1" applyAlignment="1">
      <alignment horizontal="center" vertical="center" wrapText="1"/>
    </xf>
    <xf numFmtId="0" fontId="9" fillId="0" borderId="17" xfId="0" applyFont="1" applyFill="1" applyBorder="1" applyAlignment="1">
      <alignment horizontal="justify" vertical="center" wrapText="1"/>
    </xf>
    <xf numFmtId="170" fontId="7" fillId="9" borderId="3" xfId="0" applyNumberFormat="1" applyFont="1" applyFill="1" applyBorder="1" applyAlignment="1">
      <alignment horizontal="center" vertical="center"/>
    </xf>
    <xf numFmtId="43" fontId="7" fillId="9" borderId="13" xfId="1" applyFont="1" applyFill="1" applyBorder="1" applyAlignment="1">
      <alignment horizontal="center" vertical="center"/>
    </xf>
    <xf numFmtId="43" fontId="7" fillId="9" borderId="0" xfId="1" applyFont="1" applyFill="1" applyBorder="1" applyAlignment="1">
      <alignment horizontal="center" vertical="center"/>
    </xf>
    <xf numFmtId="1" fontId="7" fillId="9" borderId="0" xfId="0" applyNumberFormat="1" applyFont="1" applyFill="1" applyAlignment="1">
      <alignment horizontal="center" vertical="center"/>
    </xf>
    <xf numFmtId="0" fontId="7" fillId="9" borderId="0" xfId="0" applyFont="1" applyFill="1" applyAlignment="1">
      <alignment horizontal="center" vertical="center"/>
    </xf>
    <xf numFmtId="0" fontId="9" fillId="0" borderId="6" xfId="0" applyFont="1" applyFill="1" applyBorder="1" applyAlignment="1">
      <alignment horizontal="center" vertical="center" wrapText="1"/>
    </xf>
    <xf numFmtId="0" fontId="7" fillId="8" borderId="2" xfId="0" applyFont="1" applyFill="1" applyBorder="1" applyAlignment="1">
      <alignment horizontal="justify" vertical="center"/>
    </xf>
    <xf numFmtId="0" fontId="9" fillId="8" borderId="3" xfId="0" applyFont="1" applyFill="1" applyBorder="1" applyAlignment="1">
      <alignment vertical="center"/>
    </xf>
    <xf numFmtId="0" fontId="9" fillId="8" borderId="3" xfId="1" applyNumberFormat="1" applyFont="1" applyFill="1" applyBorder="1" applyAlignment="1">
      <alignment horizontal="center" vertical="center"/>
    </xf>
    <xf numFmtId="169" fontId="9" fillId="8" borderId="3" xfId="1" applyNumberFormat="1" applyFont="1" applyFill="1" applyBorder="1" applyAlignment="1">
      <alignment horizontal="center" vertical="center"/>
    </xf>
    <xf numFmtId="9" fontId="9" fillId="8" borderId="3" xfId="1" applyNumberFormat="1" applyFont="1" applyFill="1" applyBorder="1" applyAlignment="1">
      <alignment horizontal="center" vertical="center"/>
    </xf>
    <xf numFmtId="14" fontId="9" fillId="8" borderId="3" xfId="0" applyNumberFormat="1" applyFont="1" applyFill="1" applyBorder="1" applyAlignment="1">
      <alignment vertical="center"/>
    </xf>
    <xf numFmtId="0" fontId="9" fillId="8" borderId="66" xfId="0" applyFont="1" applyFill="1" applyBorder="1" applyAlignment="1">
      <alignment horizontal="justify" vertical="center" wrapText="1"/>
    </xf>
    <xf numFmtId="43" fontId="7" fillId="9" borderId="2" xfId="1" applyFont="1" applyFill="1" applyBorder="1" applyAlignment="1">
      <alignment horizontal="center" vertical="center"/>
    </xf>
    <xf numFmtId="43" fontId="7" fillId="9" borderId="9" xfId="1" applyFont="1" applyFill="1" applyBorder="1" applyAlignment="1">
      <alignment horizontal="center" vertical="center"/>
    </xf>
    <xf numFmtId="0" fontId="9" fillId="9" borderId="9" xfId="1" applyNumberFormat="1" applyFont="1" applyFill="1" applyBorder="1" applyAlignment="1">
      <alignment vertical="center"/>
    </xf>
    <xf numFmtId="0" fontId="9" fillId="0" borderId="11" xfId="0" applyFont="1" applyFill="1" applyBorder="1" applyAlignment="1">
      <alignment horizontal="center"/>
    </xf>
    <xf numFmtId="0" fontId="7" fillId="9" borderId="3" xfId="0" applyFont="1" applyFill="1" applyBorder="1" applyAlignment="1">
      <alignment vertical="center"/>
    </xf>
    <xf numFmtId="0" fontId="7" fillId="9" borderId="3" xfId="0" applyFont="1" applyFill="1" applyBorder="1" applyAlignment="1">
      <alignment horizontal="justify" vertical="center"/>
    </xf>
    <xf numFmtId="0" fontId="7" fillId="9" borderId="3" xfId="0" applyFont="1" applyFill="1" applyBorder="1" applyAlignment="1">
      <alignment horizontal="center" vertical="center"/>
    </xf>
    <xf numFmtId="0" fontId="9" fillId="9" borderId="3" xfId="0" applyFont="1" applyFill="1" applyBorder="1" applyAlignment="1">
      <alignment horizontal="center" vertical="center"/>
    </xf>
    <xf numFmtId="43" fontId="9" fillId="9" borderId="3" xfId="1" applyFont="1" applyFill="1" applyBorder="1" applyAlignment="1">
      <alignment vertical="center"/>
    </xf>
    <xf numFmtId="0" fontId="7" fillId="9" borderId="0" xfId="0" applyFont="1" applyFill="1" applyAlignment="1">
      <alignment horizontal="justify" vertical="center"/>
    </xf>
    <xf numFmtId="166" fontId="9" fillId="9" borderId="3" xfId="1" applyNumberFormat="1" applyFont="1" applyFill="1" applyBorder="1" applyAlignment="1">
      <alignment vertical="center"/>
    </xf>
    <xf numFmtId="0" fontId="9" fillId="9" borderId="3" xfId="0" applyFont="1" applyFill="1" applyBorder="1" applyAlignment="1">
      <alignment vertical="center"/>
    </xf>
    <xf numFmtId="0" fontId="9" fillId="9" borderId="3" xfId="1" applyNumberFormat="1" applyFont="1" applyFill="1" applyBorder="1" applyAlignment="1">
      <alignment vertical="center"/>
    </xf>
    <xf numFmtId="169" fontId="9" fillId="9" borderId="3" xfId="1" applyNumberFormat="1" applyFont="1" applyFill="1" applyBorder="1" applyAlignment="1">
      <alignment horizontal="center" vertical="center"/>
    </xf>
    <xf numFmtId="9" fontId="9" fillId="9" borderId="3" xfId="1" applyNumberFormat="1" applyFont="1" applyFill="1" applyBorder="1" applyAlignment="1">
      <alignment horizontal="center" vertical="center"/>
    </xf>
    <xf numFmtId="0" fontId="9" fillId="9" borderId="3" xfId="1" applyNumberFormat="1" applyFont="1" applyFill="1" applyBorder="1" applyAlignment="1">
      <alignment horizontal="center" vertical="center"/>
    </xf>
    <xf numFmtId="14" fontId="9" fillId="9" borderId="3" xfId="0" applyNumberFormat="1" applyFont="1" applyFill="1" applyBorder="1" applyAlignment="1">
      <alignment vertical="center"/>
    </xf>
    <xf numFmtId="0" fontId="9" fillId="9" borderId="66" xfId="0" applyFont="1" applyFill="1" applyBorder="1" applyAlignment="1">
      <alignment horizontal="justify" vertical="center" wrapText="1"/>
    </xf>
    <xf numFmtId="0" fontId="9" fillId="0" borderId="16" xfId="0" applyFont="1" applyFill="1" applyBorder="1" applyAlignment="1">
      <alignment horizontal="center" vertical="center"/>
    </xf>
    <xf numFmtId="1" fontId="9" fillId="0" borderId="28" xfId="0" applyNumberFormat="1" applyFont="1" applyBorder="1"/>
    <xf numFmtId="0" fontId="9" fillId="0" borderId="29" xfId="0" applyFont="1" applyBorder="1"/>
    <xf numFmtId="0" fontId="9" fillId="7" borderId="29" xfId="0" applyFont="1" applyFill="1" applyBorder="1" applyAlignment="1">
      <alignment horizontal="justify" vertical="center"/>
    </xf>
    <xf numFmtId="0" fontId="9" fillId="7" borderId="29" xfId="0" applyFont="1" applyFill="1" applyBorder="1" applyAlignment="1">
      <alignment horizontal="justify"/>
    </xf>
    <xf numFmtId="0" fontId="9" fillId="7" borderId="29" xfId="0" applyFont="1" applyFill="1" applyBorder="1"/>
    <xf numFmtId="0" fontId="9" fillId="7" borderId="29" xfId="0" applyFont="1" applyFill="1" applyBorder="1" applyAlignment="1">
      <alignment horizontal="center"/>
    </xf>
    <xf numFmtId="170" fontId="9" fillId="7" borderId="30" xfId="0" applyNumberFormat="1" applyFont="1" applyFill="1" applyBorder="1" applyAlignment="1">
      <alignment horizontal="center" vertical="center"/>
    </xf>
    <xf numFmtId="43" fontId="7" fillId="0" borderId="31" xfId="1" applyFont="1" applyBorder="1" applyAlignment="1">
      <alignment horizontal="center" vertical="center"/>
    </xf>
    <xf numFmtId="0" fontId="9" fillId="7" borderId="28" xfId="0" applyFont="1" applyFill="1" applyBorder="1" applyAlignment="1">
      <alignment horizontal="justify" vertical="center"/>
    </xf>
    <xf numFmtId="0" fontId="9" fillId="7" borderId="31" xfId="0" applyFont="1" applyFill="1" applyBorder="1" applyAlignment="1">
      <alignment horizontal="justify" vertical="center"/>
    </xf>
    <xf numFmtId="43" fontId="7" fillId="0" borderId="28" xfId="1" applyFont="1" applyBorder="1" applyAlignment="1">
      <alignment horizontal="center" vertical="center"/>
    </xf>
    <xf numFmtId="1" fontId="9" fillId="7" borderId="32" xfId="0" applyNumberFormat="1" applyFont="1" applyFill="1" applyBorder="1" applyAlignment="1">
      <alignment horizontal="center" vertical="center"/>
    </xf>
    <xf numFmtId="0" fontId="9" fillId="7" borderId="33" xfId="0" applyFont="1" applyFill="1" applyBorder="1" applyAlignment="1">
      <alignment horizontal="center" vertical="center"/>
    </xf>
    <xf numFmtId="166" fontId="9" fillId="0" borderId="29" xfId="1" applyNumberFormat="1" applyFont="1" applyBorder="1"/>
    <xf numFmtId="0" fontId="9" fillId="0" borderId="29" xfId="1" applyNumberFormat="1" applyFont="1" applyBorder="1" applyAlignment="1">
      <alignment horizontal="center" vertical="center"/>
    </xf>
    <xf numFmtId="9" fontId="9" fillId="0" borderId="29" xfId="1" applyNumberFormat="1" applyFont="1" applyBorder="1" applyAlignment="1">
      <alignment horizontal="center" vertical="center"/>
    </xf>
    <xf numFmtId="14" fontId="9" fillId="0" borderId="29" xfId="0" applyNumberFormat="1" applyFont="1" applyBorder="1" applyAlignment="1">
      <alignment horizontal="right" vertical="center"/>
    </xf>
    <xf numFmtId="0" fontId="9" fillId="0" borderId="30" xfId="0" applyFont="1" applyBorder="1" applyAlignment="1">
      <alignment horizontal="justify" vertical="center"/>
    </xf>
    <xf numFmtId="1" fontId="9" fillId="0" borderId="0" xfId="0" applyNumberFormat="1" applyFont="1"/>
    <xf numFmtId="0" fontId="9" fillId="7" borderId="0" xfId="0" applyFont="1" applyFill="1" applyAlignment="1">
      <alignment horizontal="justify" vertical="center"/>
    </xf>
    <xf numFmtId="0" fontId="9" fillId="7" borderId="0" xfId="0" applyFont="1" applyFill="1" applyAlignment="1">
      <alignment horizontal="justify"/>
    </xf>
    <xf numFmtId="170" fontId="9" fillId="7" borderId="0" xfId="0" applyNumberFormat="1" applyFont="1" applyFill="1" applyAlignment="1">
      <alignment horizontal="center" vertical="center"/>
    </xf>
    <xf numFmtId="43" fontId="9" fillId="7" borderId="0" xfId="1" applyFont="1" applyFill="1" applyAlignment="1">
      <alignment vertical="center"/>
    </xf>
    <xf numFmtId="169" fontId="9" fillId="0" borderId="0" xfId="0" applyNumberFormat="1" applyFont="1" applyAlignment="1">
      <alignment horizontal="center" vertical="center"/>
    </xf>
    <xf numFmtId="1" fontId="9" fillId="7" borderId="0" xfId="0" applyNumberFormat="1" applyFont="1" applyFill="1" applyAlignment="1">
      <alignment horizontal="center" vertical="center"/>
    </xf>
    <xf numFmtId="0" fontId="9" fillId="7" borderId="0" xfId="0" applyFont="1" applyFill="1" applyAlignment="1">
      <alignment horizontal="center" vertical="center"/>
    </xf>
    <xf numFmtId="166" fontId="9" fillId="0" borderId="0" xfId="1" applyNumberFormat="1" applyFont="1"/>
    <xf numFmtId="0" fontId="9" fillId="0" borderId="0" xfId="1" applyNumberFormat="1" applyFont="1" applyAlignment="1">
      <alignment horizontal="center" vertical="center"/>
    </xf>
    <xf numFmtId="169" fontId="9" fillId="0" borderId="0" xfId="1" applyNumberFormat="1" applyFont="1" applyAlignment="1">
      <alignment horizontal="center" vertical="center"/>
    </xf>
    <xf numFmtId="9" fontId="9" fillId="0" borderId="0" xfId="1" applyNumberFormat="1" applyFont="1" applyAlignment="1">
      <alignment horizontal="center" vertical="center"/>
    </xf>
    <xf numFmtId="14" fontId="9" fillId="0" borderId="0" xfId="0" applyNumberFormat="1" applyFont="1" applyAlignment="1">
      <alignment horizontal="right" vertical="center"/>
    </xf>
    <xf numFmtId="0" fontId="9" fillId="0" borderId="0" xfId="0" applyFont="1" applyAlignment="1">
      <alignment horizontal="justify" vertical="center"/>
    </xf>
    <xf numFmtId="169" fontId="9" fillId="7" borderId="0" xfId="0" applyNumberFormat="1" applyFont="1" applyFill="1" applyAlignment="1">
      <alignment horizontal="center" vertical="center"/>
    </xf>
    <xf numFmtId="0" fontId="9" fillId="0" borderId="0" xfId="0" applyFont="1" applyBorder="1"/>
    <xf numFmtId="0" fontId="9" fillId="0" borderId="0" xfId="0" applyNumberFormat="1" applyFont="1" applyAlignment="1">
      <alignment horizontal="center" vertical="center"/>
    </xf>
    <xf numFmtId="9" fontId="9" fillId="0" borderId="0" xfId="0" applyNumberFormat="1" applyFont="1" applyAlignment="1">
      <alignment horizontal="center" vertical="center"/>
    </xf>
    <xf numFmtId="0" fontId="20" fillId="0" borderId="0" xfId="0" applyFont="1" applyBorder="1" applyAlignment="1">
      <alignment vertical="center"/>
    </xf>
    <xf numFmtId="0" fontId="5" fillId="7" borderId="0" xfId="0" applyFont="1" applyFill="1" applyAlignment="1">
      <alignment vertical="center"/>
    </xf>
    <xf numFmtId="0" fontId="0" fillId="0" borderId="0" xfId="0" applyAlignment="1">
      <alignment vertical="center"/>
    </xf>
    <xf numFmtId="0" fontId="20" fillId="0" borderId="0" xfId="0" applyFont="1" applyBorder="1" applyAlignment="1">
      <alignment horizontal="left" vertical="center"/>
    </xf>
    <xf numFmtId="0" fontId="20" fillId="0" borderId="12" xfId="0" applyFont="1" applyBorder="1" applyAlignment="1">
      <alignment vertical="center"/>
    </xf>
    <xf numFmtId="0" fontId="6" fillId="0" borderId="7" xfId="0" applyFont="1" applyBorder="1" applyAlignment="1">
      <alignment horizontal="justify" vertical="center"/>
    </xf>
    <xf numFmtId="0" fontId="6" fillId="0" borderId="3" xfId="0" applyFont="1" applyBorder="1" applyAlignment="1">
      <alignment horizontal="justify" vertical="center"/>
    </xf>
    <xf numFmtId="176" fontId="6" fillId="0" borderId="3" xfId="12" applyNumberFormat="1" applyFont="1" applyBorder="1" applyAlignment="1">
      <alignment horizontal="justify" vertical="center"/>
    </xf>
    <xf numFmtId="176" fontId="6" fillId="0" borderId="3" xfId="12" applyNumberFormat="1" applyFont="1" applyBorder="1" applyAlignment="1">
      <alignment horizontal="right" vertical="center"/>
    </xf>
    <xf numFmtId="0" fontId="6" fillId="0" borderId="3" xfId="0" applyFont="1" applyBorder="1" applyAlignment="1">
      <alignment vertical="center"/>
    </xf>
    <xf numFmtId="0" fontId="6" fillId="0" borderId="0" xfId="0" applyFont="1" applyBorder="1" applyAlignment="1">
      <alignment horizontal="center" vertical="center"/>
    </xf>
    <xf numFmtId="0" fontId="6" fillId="0" borderId="66" xfId="0" applyFont="1" applyBorder="1" applyAlignment="1">
      <alignment vertical="center"/>
    </xf>
    <xf numFmtId="169" fontId="7" fillId="17" borderId="2" xfId="0" applyNumberFormat="1" applyFont="1" applyFill="1" applyBorder="1" applyAlignment="1">
      <alignment horizontal="center" vertical="center" wrapText="1"/>
    </xf>
    <xf numFmtId="3" fontId="7" fillId="17" borderId="66" xfId="0" applyNumberFormat="1" applyFont="1" applyFill="1" applyBorder="1" applyAlignment="1">
      <alignment horizontal="center" vertical="center" wrapText="1"/>
    </xf>
    <xf numFmtId="1" fontId="6" fillId="6" borderId="68" xfId="0" applyNumberFormat="1" applyFont="1" applyFill="1" applyBorder="1" applyAlignment="1">
      <alignment horizontal="left" vertical="center" wrapText="1"/>
    </xf>
    <xf numFmtId="0" fontId="6" fillId="6" borderId="9" xfId="0" applyFont="1" applyFill="1" applyBorder="1" applyAlignment="1">
      <alignment vertical="center"/>
    </xf>
    <xf numFmtId="0" fontId="6" fillId="6" borderId="9" xfId="0" applyFont="1" applyFill="1" applyBorder="1" applyAlignment="1">
      <alignment horizontal="left" vertical="center"/>
    </xf>
    <xf numFmtId="0" fontId="6" fillId="6" borderId="9" xfId="0" applyFont="1" applyFill="1" applyBorder="1" applyAlignment="1">
      <alignment horizontal="justify" vertical="center"/>
    </xf>
    <xf numFmtId="0" fontId="6" fillId="6" borderId="9" xfId="0" applyFont="1" applyFill="1" applyBorder="1" applyAlignment="1">
      <alignment horizontal="center" vertical="center"/>
    </xf>
    <xf numFmtId="170" fontId="6" fillId="6" borderId="9" xfId="0" applyNumberFormat="1" applyFont="1" applyFill="1" applyBorder="1" applyAlignment="1">
      <alignment horizontal="center" vertical="center"/>
    </xf>
    <xf numFmtId="176" fontId="6" fillId="6" borderId="9" xfId="12" applyNumberFormat="1" applyFont="1" applyFill="1" applyBorder="1" applyAlignment="1">
      <alignment horizontal="justify" vertical="center"/>
    </xf>
    <xf numFmtId="176" fontId="6" fillId="6" borderId="9" xfId="12" applyNumberFormat="1" applyFont="1" applyFill="1" applyBorder="1" applyAlignment="1">
      <alignment horizontal="right" vertical="center"/>
    </xf>
    <xf numFmtId="1" fontId="6" fillId="6" borderId="9" xfId="0" applyNumberFormat="1" applyFont="1" applyFill="1" applyBorder="1" applyAlignment="1">
      <alignment horizontal="center" vertical="center"/>
    </xf>
    <xf numFmtId="167" fontId="6" fillId="6" borderId="3" xfId="0" applyNumberFormat="1" applyFont="1" applyFill="1" applyBorder="1" applyAlignment="1">
      <alignment vertical="center"/>
    </xf>
    <xf numFmtId="0" fontId="6" fillId="6" borderId="60" xfId="0" applyFont="1" applyFill="1" applyBorder="1" applyAlignment="1">
      <alignment horizontal="justify" vertical="center"/>
    </xf>
    <xf numFmtId="1" fontId="6" fillId="7" borderId="45" xfId="0" applyNumberFormat="1" applyFont="1" applyFill="1" applyBorder="1" applyAlignment="1">
      <alignment horizontal="center" vertical="center" wrapText="1"/>
    </xf>
    <xf numFmtId="0" fontId="6" fillId="7" borderId="0" xfId="0" applyFont="1" applyFill="1" applyAlignment="1">
      <alignment horizontal="center" vertical="center" wrapText="1"/>
    </xf>
    <xf numFmtId="1" fontId="6" fillId="8" borderId="7" xfId="0" applyNumberFormat="1" applyFont="1" applyFill="1" applyBorder="1" applyAlignment="1">
      <alignment horizontal="center" vertical="center"/>
    </xf>
    <xf numFmtId="0" fontId="6" fillId="8" borderId="3" xfId="0" applyFont="1" applyFill="1" applyBorder="1" applyAlignment="1">
      <alignment vertical="center"/>
    </xf>
    <xf numFmtId="0" fontId="6" fillId="8" borderId="3" xfId="0" applyFont="1" applyFill="1" applyBorder="1" applyAlignment="1">
      <alignment horizontal="justify" vertical="center"/>
    </xf>
    <xf numFmtId="0" fontId="6" fillId="8" borderId="3" xfId="0" applyFont="1" applyFill="1" applyBorder="1" applyAlignment="1">
      <alignment horizontal="center" vertical="center"/>
    </xf>
    <xf numFmtId="0" fontId="6" fillId="8" borderId="0" xfId="0" applyFont="1" applyFill="1" applyBorder="1" applyAlignment="1">
      <alignment horizontal="center" vertical="center"/>
    </xf>
    <xf numFmtId="0" fontId="6" fillId="8" borderId="0" xfId="0" applyFont="1" applyFill="1" applyAlignment="1">
      <alignment horizontal="justify" vertical="center"/>
    </xf>
    <xf numFmtId="170" fontId="6" fillId="8" borderId="3" xfId="0" applyNumberFormat="1" applyFont="1" applyFill="1" applyBorder="1" applyAlignment="1">
      <alignment horizontal="center" vertical="center"/>
    </xf>
    <xf numFmtId="176" fontId="6" fillId="8" borderId="3" xfId="12" applyNumberFormat="1" applyFont="1" applyFill="1" applyBorder="1" applyAlignment="1">
      <alignment horizontal="justify" vertical="center"/>
    </xf>
    <xf numFmtId="176" fontId="6" fillId="8" borderId="3" xfId="12" applyNumberFormat="1" applyFont="1" applyFill="1" applyBorder="1" applyAlignment="1">
      <alignment horizontal="right" vertical="center"/>
    </xf>
    <xf numFmtId="1" fontId="6" fillId="8" borderId="3" xfId="0" applyNumberFormat="1" applyFont="1" applyFill="1" applyBorder="1" applyAlignment="1">
      <alignment horizontal="center" vertical="center"/>
    </xf>
    <xf numFmtId="167" fontId="6" fillId="8" borderId="3" xfId="0" applyNumberFormat="1" applyFont="1" applyFill="1" applyBorder="1" applyAlignment="1">
      <alignment vertical="center"/>
    </xf>
    <xf numFmtId="0" fontId="6" fillId="8" borderId="66" xfId="0" applyFont="1" applyFill="1" applyBorder="1" applyAlignment="1">
      <alignment horizontal="justify" vertical="center"/>
    </xf>
    <xf numFmtId="0" fontId="6" fillId="7" borderId="4" xfId="0" applyFont="1" applyFill="1" applyBorder="1" applyAlignment="1">
      <alignment horizontal="center" vertical="center" wrapText="1"/>
    </xf>
    <xf numFmtId="0" fontId="6" fillId="9" borderId="9" xfId="0" applyFont="1" applyFill="1" applyBorder="1" applyAlignment="1">
      <alignment vertical="center"/>
    </xf>
    <xf numFmtId="0" fontId="6" fillId="9" borderId="5" xfId="0" applyFont="1" applyFill="1" applyBorder="1" applyAlignment="1">
      <alignment horizontal="justify" vertical="center"/>
    </xf>
    <xf numFmtId="0" fontId="6" fillId="9" borderId="5" xfId="0" applyFont="1" applyFill="1" applyBorder="1" applyAlignment="1">
      <alignment horizontal="center" vertical="center"/>
    </xf>
    <xf numFmtId="0" fontId="6" fillId="9" borderId="11" xfId="0" applyFont="1" applyFill="1" applyBorder="1" applyAlignment="1">
      <alignment horizontal="justify" vertical="center"/>
    </xf>
    <xf numFmtId="170" fontId="6" fillId="9" borderId="5" xfId="0" applyNumberFormat="1" applyFont="1" applyFill="1" applyBorder="1" applyAlignment="1">
      <alignment horizontal="center" vertical="center"/>
    </xf>
    <xf numFmtId="176" fontId="6" fillId="9" borderId="5" xfId="12" applyNumberFormat="1" applyFont="1" applyFill="1" applyBorder="1" applyAlignment="1">
      <alignment horizontal="justify" vertical="center"/>
    </xf>
    <xf numFmtId="176" fontId="6" fillId="9" borderId="5" xfId="12" applyNumberFormat="1" applyFont="1" applyFill="1" applyBorder="1" applyAlignment="1">
      <alignment horizontal="right" vertical="center"/>
    </xf>
    <xf numFmtId="1" fontId="6" fillId="9" borderId="5" xfId="0" applyNumberFormat="1" applyFont="1" applyFill="1" applyBorder="1" applyAlignment="1">
      <alignment horizontal="center" vertical="center"/>
    </xf>
    <xf numFmtId="0" fontId="6" fillId="9" borderId="5" xfId="0" applyFont="1" applyFill="1" applyBorder="1" applyAlignment="1">
      <alignment vertical="center"/>
    </xf>
    <xf numFmtId="167" fontId="6" fillId="9" borderId="5" xfId="0" applyNumberFormat="1" applyFont="1" applyFill="1" applyBorder="1" applyAlignment="1">
      <alignment vertical="center"/>
    </xf>
    <xf numFmtId="0" fontId="6" fillId="9" borderId="62" xfId="0" applyFont="1" applyFill="1" applyBorder="1" applyAlignment="1">
      <alignment horizontal="justify" vertical="center"/>
    </xf>
    <xf numFmtId="1" fontId="5" fillId="7" borderId="45" xfId="0" applyNumberFormat="1"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4" xfId="0" applyFont="1" applyFill="1" applyBorder="1" applyAlignment="1">
      <alignment horizontal="center" vertical="center" wrapText="1"/>
    </xf>
    <xf numFmtId="43" fontId="5" fillId="0" borderId="2" xfId="13" applyFont="1" applyFill="1" applyBorder="1" applyAlignment="1">
      <alignment horizontal="right" vertical="center" wrapText="1"/>
    </xf>
    <xf numFmtId="0" fontId="5" fillId="0" borderId="2" xfId="13" applyNumberFormat="1" applyFont="1" applyFill="1" applyBorder="1" applyAlignment="1">
      <alignment horizontal="center" vertical="center" wrapText="1"/>
    </xf>
    <xf numFmtId="0" fontId="5" fillId="0" borderId="50" xfId="0" applyFont="1" applyFill="1" applyBorder="1" applyAlignment="1">
      <alignment horizontal="center" vertical="center" wrapText="1"/>
    </xf>
    <xf numFmtId="43" fontId="9" fillId="0" borderId="2" xfId="13" applyFont="1" applyFill="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justify" vertical="center" wrapText="1"/>
    </xf>
    <xf numFmtId="0" fontId="5" fillId="0" borderId="8" xfId="0" applyFont="1" applyBorder="1" applyAlignment="1">
      <alignment horizontal="center" vertical="center" wrapText="1"/>
    </xf>
    <xf numFmtId="9" fontId="5" fillId="0" borderId="2" xfId="2" applyFont="1" applyFill="1" applyBorder="1" applyAlignment="1">
      <alignment horizontal="center" vertical="center" wrapText="1"/>
    </xf>
    <xf numFmtId="0" fontId="14" fillId="0" borderId="2" xfId="0" applyFont="1" applyFill="1" applyBorder="1" applyAlignment="1">
      <alignment horizontal="justify" vertical="center" wrapText="1"/>
    </xf>
    <xf numFmtId="0" fontId="5" fillId="0" borderId="50" xfId="0" applyFont="1" applyFill="1" applyBorder="1" applyAlignment="1">
      <alignment vertical="center" wrapText="1"/>
    </xf>
    <xf numFmtId="43" fontId="5" fillId="0" borderId="11" xfId="13" applyFont="1" applyFill="1" applyBorder="1" applyAlignment="1">
      <alignment horizontal="right" vertical="center" wrapText="1"/>
    </xf>
    <xf numFmtId="1" fontId="5" fillId="0" borderId="28" xfId="0" applyNumberFormat="1" applyFont="1" applyBorder="1" applyAlignment="1">
      <alignment vertical="center"/>
    </xf>
    <xf numFmtId="0" fontId="5" fillId="0" borderId="29" xfId="0" applyFont="1" applyBorder="1" applyAlignment="1">
      <alignment vertical="center"/>
    </xf>
    <xf numFmtId="0" fontId="5" fillId="0" borderId="29" xfId="0" applyFont="1" applyBorder="1" applyAlignment="1">
      <alignment vertical="center" wrapText="1"/>
    </xf>
    <xf numFmtId="0" fontId="5" fillId="0" borderId="29" xfId="0" applyFont="1" applyBorder="1" applyAlignment="1">
      <alignment horizontal="justify" vertical="center"/>
    </xf>
    <xf numFmtId="0" fontId="5" fillId="0" borderId="29" xfId="0" applyFont="1" applyBorder="1" applyAlignment="1">
      <alignment horizontal="center" vertical="center"/>
    </xf>
    <xf numFmtId="0" fontId="5" fillId="0" borderId="29" xfId="0" applyFont="1" applyFill="1" applyBorder="1" applyAlignment="1">
      <alignment horizontal="justify" vertical="center"/>
    </xf>
    <xf numFmtId="170" fontId="5" fillId="0" borderId="30" xfId="0" applyNumberFormat="1" applyFont="1" applyFill="1" applyBorder="1" applyAlignment="1">
      <alignment horizontal="center" vertical="center"/>
    </xf>
    <xf numFmtId="43" fontId="6" fillId="0" borderId="31" xfId="13" applyFont="1" applyFill="1" applyBorder="1" applyAlignment="1">
      <alignment horizontal="justify" vertical="center"/>
    </xf>
    <xf numFmtId="0" fontId="5" fillId="0" borderId="28" xfId="0" applyFont="1" applyFill="1" applyBorder="1" applyAlignment="1">
      <alignment horizontal="justify" vertical="center"/>
    </xf>
    <xf numFmtId="0" fontId="5" fillId="0" borderId="30" xfId="0" applyFont="1" applyFill="1" applyBorder="1" applyAlignment="1">
      <alignment horizontal="justify" vertical="center"/>
    </xf>
    <xf numFmtId="43" fontId="6" fillId="0" borderId="31" xfId="13" applyFont="1" applyFill="1" applyBorder="1" applyAlignment="1">
      <alignment horizontal="right" vertical="center"/>
    </xf>
    <xf numFmtId="1" fontId="5" fillId="0" borderId="33" xfId="0" applyNumberFormat="1" applyFont="1" applyFill="1" applyBorder="1" applyAlignment="1">
      <alignment horizontal="center" vertical="center"/>
    </xf>
    <xf numFmtId="0" fontId="5" fillId="0" borderId="33" xfId="0" applyFont="1" applyFill="1" applyBorder="1" applyAlignment="1">
      <alignment horizontal="justify" vertical="center"/>
    </xf>
    <xf numFmtId="0" fontId="5" fillId="0" borderId="29" xfId="0" applyFont="1" applyFill="1" applyBorder="1" applyAlignment="1">
      <alignment vertical="center"/>
    </xf>
    <xf numFmtId="177" fontId="6" fillId="0" borderId="31" xfId="14" applyFont="1" applyFill="1" applyBorder="1" applyAlignment="1">
      <alignment vertical="center"/>
    </xf>
    <xf numFmtId="0" fontId="5" fillId="0" borderId="28" xfId="0" applyFont="1" applyFill="1" applyBorder="1" applyAlignment="1">
      <alignment vertical="center"/>
    </xf>
    <xf numFmtId="167" fontId="5" fillId="0" borderId="29" xfId="0" applyNumberFormat="1" applyFont="1" applyFill="1" applyBorder="1" applyAlignment="1">
      <alignment horizontal="right" vertical="center"/>
    </xf>
    <xf numFmtId="167" fontId="5" fillId="0" borderId="29" xfId="0" applyNumberFormat="1" applyFont="1" applyFill="1" applyBorder="1" applyAlignment="1">
      <alignment horizontal="center" vertical="center"/>
    </xf>
    <xf numFmtId="176" fontId="6" fillId="0" borderId="0" xfId="12" applyNumberFormat="1" applyFont="1" applyAlignment="1">
      <alignment horizontal="justify" vertical="center"/>
    </xf>
    <xf numFmtId="176" fontId="6" fillId="0" borderId="0" xfId="12" applyNumberFormat="1" applyFont="1" applyAlignment="1">
      <alignment horizontal="right" vertical="center"/>
    </xf>
    <xf numFmtId="169" fontId="6" fillId="7" borderId="0" xfId="0" applyNumberFormat="1" applyFont="1" applyFill="1" applyAlignment="1">
      <alignment vertical="center"/>
    </xf>
    <xf numFmtId="0" fontId="5" fillId="7" borderId="0" xfId="0" applyFont="1" applyFill="1" applyAlignment="1">
      <alignment horizontal="justify"/>
    </xf>
    <xf numFmtId="178" fontId="6" fillId="7" borderId="0" xfId="0" applyNumberFormat="1" applyFont="1" applyFill="1" applyAlignment="1">
      <alignment horizontal="right" vertical="center"/>
    </xf>
    <xf numFmtId="179" fontId="5" fillId="7" borderId="0" xfId="0" applyNumberFormat="1" applyFont="1" applyFill="1" applyAlignment="1">
      <alignment vertical="center"/>
    </xf>
    <xf numFmtId="169" fontId="6" fillId="0" borderId="0" xfId="0" applyNumberFormat="1" applyFont="1" applyAlignment="1">
      <alignment horizontal="justify" vertical="center"/>
    </xf>
    <xf numFmtId="1" fontId="5" fillId="7" borderId="0" xfId="0" applyNumberFormat="1" applyFont="1" applyFill="1"/>
    <xf numFmtId="1" fontId="5" fillId="0" borderId="0" xfId="0" applyNumberFormat="1" applyFont="1"/>
    <xf numFmtId="0" fontId="5" fillId="0" borderId="0" xfId="0" applyFont="1" applyAlignment="1">
      <alignment vertical="center" wrapText="1"/>
    </xf>
    <xf numFmtId="0" fontId="5" fillId="0" borderId="0" xfId="0" applyFont="1" applyAlignment="1">
      <alignment horizontal="justify" vertical="center"/>
    </xf>
    <xf numFmtId="0" fontId="5" fillId="0" borderId="0" xfId="0" applyFont="1" applyAlignment="1">
      <alignment horizontal="justify"/>
    </xf>
    <xf numFmtId="176" fontId="5" fillId="0" borderId="0" xfId="12" applyNumberFormat="1" applyFont="1" applyAlignment="1">
      <alignment horizontal="justify"/>
    </xf>
    <xf numFmtId="176" fontId="5" fillId="0" borderId="0" xfId="12" applyNumberFormat="1" applyFont="1" applyAlignment="1">
      <alignment horizontal="right" vertical="center"/>
    </xf>
    <xf numFmtId="1" fontId="5" fillId="7" borderId="0" xfId="0" applyNumberFormat="1" applyFont="1" applyFill="1" applyAlignment="1">
      <alignment horizontal="center" vertical="center"/>
    </xf>
    <xf numFmtId="0" fontId="5" fillId="7" borderId="0" xfId="0" applyFont="1" applyFill="1" applyAlignment="1">
      <alignment horizontal="justify" vertical="center"/>
    </xf>
    <xf numFmtId="167" fontId="5" fillId="0" borderId="0" xfId="0" applyNumberFormat="1" applyFont="1" applyAlignment="1">
      <alignment horizontal="right" vertical="center"/>
    </xf>
    <xf numFmtId="167" fontId="5" fillId="0" borderId="0" xfId="0" applyNumberFormat="1" applyFont="1" applyAlignment="1">
      <alignment horizontal="center"/>
    </xf>
    <xf numFmtId="0" fontId="5" fillId="7" borderId="0" xfId="0" applyFont="1" applyFill="1" applyAlignment="1">
      <alignment horizontal="center"/>
    </xf>
    <xf numFmtId="170" fontId="5" fillId="7" borderId="0" xfId="0" applyNumberFormat="1" applyFont="1" applyFill="1" applyAlignment="1">
      <alignment horizontal="center" vertical="center"/>
    </xf>
    <xf numFmtId="176" fontId="5" fillId="7" borderId="0" xfId="12" applyNumberFormat="1" applyFont="1" applyFill="1" applyAlignment="1">
      <alignment horizontal="justify" vertical="center"/>
    </xf>
    <xf numFmtId="176" fontId="5" fillId="7" borderId="0" xfId="12" applyNumberFormat="1" applyFont="1" applyFill="1" applyAlignment="1">
      <alignment horizontal="right" vertical="center"/>
    </xf>
    <xf numFmtId="1" fontId="7" fillId="17" borderId="65" xfId="0" applyNumberFormat="1" applyFont="1" applyFill="1" applyBorder="1" applyAlignment="1">
      <alignment horizontal="center" vertical="center" wrapText="1"/>
    </xf>
    <xf numFmtId="0" fontId="7" fillId="17" borderId="6" xfId="0" applyFont="1" applyFill="1" applyBorder="1" applyAlignment="1">
      <alignment horizontal="center" vertical="center" wrapText="1"/>
    </xf>
    <xf numFmtId="0" fontId="7" fillId="17" borderId="7" xfId="0" applyFont="1" applyFill="1" applyBorder="1" applyAlignment="1">
      <alignment horizontal="center" vertical="center" wrapText="1"/>
    </xf>
    <xf numFmtId="0" fontId="7" fillId="17" borderId="12"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1" xfId="0" applyFont="1" applyBorder="1" applyAlignment="1">
      <alignment horizontal="justify" vertical="center" wrapText="1"/>
    </xf>
    <xf numFmtId="0" fontId="9" fillId="0" borderId="6" xfId="0" applyFont="1" applyBorder="1" applyAlignment="1">
      <alignment horizontal="justify" vertical="center" wrapText="1"/>
    </xf>
    <xf numFmtId="0" fontId="26" fillId="0" borderId="0" xfId="0" applyFont="1" applyAlignment="1">
      <alignment horizontal="center" vertical="center" wrapText="1"/>
    </xf>
    <xf numFmtId="0" fontId="26" fillId="0" borderId="3" xfId="0" applyFont="1" applyBorder="1" applyAlignment="1">
      <alignment horizontal="center" vertical="center" wrapText="1"/>
    </xf>
    <xf numFmtId="0" fontId="7" fillId="0" borderId="2" xfId="0" applyFont="1" applyBorder="1" applyAlignment="1">
      <alignment horizontal="center" vertical="center"/>
    </xf>
    <xf numFmtId="43" fontId="9" fillId="0" borderId="2" xfId="1"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3" fontId="9" fillId="0" borderId="6" xfId="1" applyFont="1" applyFill="1" applyBorder="1" applyAlignment="1">
      <alignment horizontal="center" vertical="center" wrapText="1"/>
    </xf>
    <xf numFmtId="43" fontId="9" fillId="7" borderId="6" xfId="1" applyFont="1" applyFill="1" applyBorder="1" applyAlignment="1">
      <alignment horizontal="center" vertical="center" wrapText="1"/>
    </xf>
    <xf numFmtId="0" fontId="7" fillId="0" borderId="9" xfId="0" applyFont="1" applyBorder="1" applyAlignment="1">
      <alignment horizontal="center" vertical="center"/>
    </xf>
    <xf numFmtId="0" fontId="9" fillId="7" borderId="2"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11" xfId="0" applyFont="1" applyFill="1" applyBorder="1" applyAlignment="1">
      <alignment horizontal="justify" vertical="center" wrapText="1"/>
    </xf>
    <xf numFmtId="0" fontId="9" fillId="0" borderId="11" xfId="0" applyFont="1" applyBorder="1" applyAlignment="1">
      <alignment horizontal="center" vertical="center" wrapText="1"/>
    </xf>
    <xf numFmtId="0" fontId="7" fillId="9" borderId="2" xfId="0" applyFont="1" applyFill="1" applyBorder="1" applyAlignment="1">
      <alignment horizontal="left" vertical="center"/>
    </xf>
    <xf numFmtId="10" fontId="9" fillId="7" borderId="11" xfId="2" applyNumberFormat="1" applyFont="1" applyFill="1" applyBorder="1" applyAlignment="1">
      <alignment horizontal="center" vertical="center" wrapText="1"/>
    </xf>
    <xf numFmtId="0" fontId="9" fillId="0" borderId="2" xfId="0" applyFont="1" applyBorder="1" applyAlignment="1">
      <alignment horizontal="justify" vertical="center" wrapText="1"/>
    </xf>
    <xf numFmtId="0" fontId="26" fillId="0" borderId="0" xfId="0" applyFont="1" applyBorder="1" applyAlignment="1">
      <alignment horizontal="center" vertical="center" wrapText="1"/>
    </xf>
    <xf numFmtId="0" fontId="4" fillId="0" borderId="2" xfId="0" applyFont="1" applyBorder="1" applyAlignment="1">
      <alignment vertical="center"/>
    </xf>
    <xf numFmtId="0" fontId="4" fillId="0" borderId="2" xfId="0" applyFont="1" applyBorder="1" applyAlignment="1">
      <alignment horizontal="left" vertical="center"/>
    </xf>
    <xf numFmtId="0" fontId="4" fillId="0" borderId="2" xfId="0" applyFont="1" applyBorder="1" applyAlignment="1">
      <alignment vertical="center" wrapText="1"/>
    </xf>
    <xf numFmtId="3" fontId="4" fillId="0" borderId="2" xfId="0" applyNumberFormat="1" applyFont="1" applyBorder="1" applyAlignment="1">
      <alignment horizontal="left"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vertical="center"/>
    </xf>
    <xf numFmtId="43" fontId="4" fillId="0" borderId="3" xfId="1" applyFont="1" applyBorder="1" applyAlignment="1">
      <alignment vertical="center"/>
    </xf>
    <xf numFmtId="44" fontId="4" fillId="0" borderId="3" xfId="5" applyFont="1" applyBorder="1" applyAlignment="1">
      <alignment vertical="center"/>
    </xf>
    <xf numFmtId="0" fontId="4" fillId="0" borderId="7" xfId="0" applyFont="1" applyBorder="1" applyAlignment="1">
      <alignment horizontal="center" vertical="center"/>
    </xf>
    <xf numFmtId="0" fontId="4" fillId="0" borderId="12" xfId="0" applyFont="1" applyBorder="1" applyAlignment="1">
      <alignment vertical="center"/>
    </xf>
    <xf numFmtId="3" fontId="4" fillId="4" borderId="2" xfId="0"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49" fontId="4" fillId="3" borderId="11" xfId="0" applyNumberFormat="1" applyFont="1" applyFill="1" applyBorder="1" applyAlignment="1">
      <alignment horizontal="center" vertical="center" wrapText="1"/>
    </xf>
    <xf numFmtId="49" fontId="4" fillId="3"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167" fontId="4" fillId="3" borderId="2" xfId="0" applyNumberFormat="1" applyFont="1" applyFill="1" applyBorder="1" applyAlignment="1">
      <alignment horizontal="center" vertical="center" wrapText="1"/>
    </xf>
    <xf numFmtId="1" fontId="4" fillId="6" borderId="8" xfId="0" applyNumberFormat="1" applyFont="1" applyFill="1" applyBorder="1" applyAlignment="1">
      <alignment horizontal="center" vertical="center" wrapText="1"/>
    </xf>
    <xf numFmtId="0" fontId="4" fillId="6" borderId="9" xfId="0" applyFont="1" applyFill="1" applyBorder="1" applyAlignment="1">
      <alignment vertical="center"/>
    </xf>
    <xf numFmtId="0" fontId="4" fillId="6" borderId="9" xfId="0" applyFont="1" applyFill="1" applyBorder="1" applyAlignment="1">
      <alignment horizontal="justify" vertical="center"/>
    </xf>
    <xf numFmtId="0" fontId="4" fillId="6" borderId="9" xfId="0" applyFont="1" applyFill="1" applyBorder="1" applyAlignment="1">
      <alignment horizontal="center" vertical="center"/>
    </xf>
    <xf numFmtId="170" fontId="4" fillId="6" borderId="9" xfId="0" applyNumberFormat="1" applyFont="1" applyFill="1" applyBorder="1" applyAlignment="1">
      <alignment horizontal="center" vertical="center"/>
    </xf>
    <xf numFmtId="43" fontId="4" fillId="6" borderId="9" xfId="1" applyFont="1" applyFill="1" applyBorder="1" applyAlignment="1">
      <alignment vertical="center"/>
    </xf>
    <xf numFmtId="44" fontId="4" fillId="6" borderId="9" xfId="5" applyFont="1" applyFill="1" applyBorder="1" applyAlignment="1">
      <alignment horizontal="center" vertical="center"/>
    </xf>
    <xf numFmtId="1" fontId="4" fillId="6" borderId="9" xfId="0" applyNumberFormat="1" applyFont="1" applyFill="1" applyBorder="1" applyAlignment="1">
      <alignment horizontal="center" vertical="center"/>
    </xf>
    <xf numFmtId="167" fontId="4" fillId="6" borderId="9" xfId="0" applyNumberFormat="1" applyFont="1" applyFill="1" applyBorder="1" applyAlignment="1">
      <alignment vertical="center"/>
    </xf>
    <xf numFmtId="0" fontId="4" fillId="6" borderId="1" xfId="0" applyFont="1" applyFill="1" applyBorder="1" applyAlignment="1">
      <alignment horizontal="justify" vertical="center"/>
    </xf>
    <xf numFmtId="1" fontId="4" fillId="8" borderId="2" xfId="0" applyNumberFormat="1" applyFont="1" applyFill="1" applyBorder="1" applyAlignment="1">
      <alignment horizontal="center" vertical="center"/>
    </xf>
    <xf numFmtId="0" fontId="4" fillId="8" borderId="2" xfId="0" applyFont="1" applyFill="1" applyBorder="1" applyAlignment="1">
      <alignment vertical="center"/>
    </xf>
    <xf numFmtId="0" fontId="4" fillId="8" borderId="2" xfId="0" applyFont="1" applyFill="1" applyBorder="1" applyAlignment="1">
      <alignment horizontal="justify" vertical="center"/>
    </xf>
    <xf numFmtId="0" fontId="4" fillId="8" borderId="2" xfId="0" applyFont="1" applyFill="1" applyBorder="1" applyAlignment="1">
      <alignment horizontal="center" vertical="center"/>
    </xf>
    <xf numFmtId="170" fontId="4" fillId="8" borderId="2" xfId="0" applyNumberFormat="1" applyFont="1" applyFill="1" applyBorder="1" applyAlignment="1">
      <alignment horizontal="center" vertical="center"/>
    </xf>
    <xf numFmtId="43" fontId="4" fillId="8" borderId="2" xfId="1" applyFont="1" applyFill="1" applyBorder="1" applyAlignment="1">
      <alignment vertical="center"/>
    </xf>
    <xf numFmtId="44" fontId="4" fillId="8" borderId="2" xfId="5" applyFont="1" applyFill="1" applyBorder="1" applyAlignment="1">
      <alignment horizontal="center" vertical="center"/>
    </xf>
    <xf numFmtId="167" fontId="4" fillId="8" borderId="2" xfId="0" applyNumberFormat="1" applyFont="1" applyFill="1" applyBorder="1" applyAlignment="1">
      <alignment vertical="center"/>
    </xf>
    <xf numFmtId="1" fontId="4" fillId="9" borderId="2" xfId="0" applyNumberFormat="1" applyFont="1" applyFill="1" applyBorder="1" applyAlignment="1">
      <alignment horizontal="center" vertical="center" wrapText="1"/>
    </xf>
    <xf numFmtId="0" fontId="4" fillId="9" borderId="2" xfId="0" applyFont="1" applyFill="1" applyBorder="1" applyAlignment="1">
      <alignment vertical="center"/>
    </xf>
    <xf numFmtId="0" fontId="4" fillId="9" borderId="2" xfId="0" applyFont="1" applyFill="1" applyBorder="1" applyAlignment="1">
      <alignment horizontal="justify" vertical="center"/>
    </xf>
    <xf numFmtId="0" fontId="4" fillId="9" borderId="2" xfId="0" applyFont="1" applyFill="1" applyBorder="1" applyAlignment="1">
      <alignment horizontal="center" vertical="center"/>
    </xf>
    <xf numFmtId="170" fontId="4" fillId="9" borderId="2" xfId="0" applyNumberFormat="1" applyFont="1" applyFill="1" applyBorder="1" applyAlignment="1">
      <alignment horizontal="center" vertical="center"/>
    </xf>
    <xf numFmtId="43" fontId="4" fillId="9" borderId="2" xfId="1" applyFont="1" applyFill="1" applyBorder="1" applyAlignment="1">
      <alignment vertical="center"/>
    </xf>
    <xf numFmtId="44" fontId="4" fillId="9" borderId="2" xfId="5" applyFont="1" applyFill="1" applyBorder="1" applyAlignment="1">
      <alignment horizontal="center" vertical="center"/>
    </xf>
    <xf numFmtId="1" fontId="4" fillId="9" borderId="2" xfId="0" applyNumberFormat="1" applyFont="1" applyFill="1" applyBorder="1" applyAlignment="1">
      <alignment horizontal="center" vertical="center"/>
    </xf>
    <xf numFmtId="167" fontId="4" fillId="9" borderId="2" xfId="0" applyNumberFormat="1" applyFont="1" applyFill="1" applyBorder="1" applyAlignment="1">
      <alignment vertical="center"/>
    </xf>
    <xf numFmtId="43" fontId="9" fillId="7" borderId="2" xfId="1" applyFont="1" applyFill="1" applyBorder="1" applyAlignment="1">
      <alignment vertical="center" wrapText="1"/>
    </xf>
    <xf numFmtId="1" fontId="9" fillId="7" borderId="2" xfId="0" applyNumberFormat="1" applyFont="1" applyFill="1" applyBorder="1" applyAlignment="1">
      <alignment horizontal="center" vertical="center" wrapText="1"/>
    </xf>
    <xf numFmtId="3" fontId="9" fillId="7" borderId="2" xfId="0" applyNumberFormat="1" applyFont="1" applyFill="1" applyBorder="1" applyAlignment="1">
      <alignment horizontal="justify" vertical="center" wrapText="1"/>
    </xf>
    <xf numFmtId="0" fontId="9" fillId="7" borderId="2" xfId="0" applyFont="1" applyFill="1" applyBorder="1" applyAlignment="1">
      <alignment horizontal="justify" vertical="center" wrapText="1"/>
    </xf>
    <xf numFmtId="9" fontId="9" fillId="7" borderId="2" xfId="2" applyFont="1" applyFill="1" applyBorder="1" applyAlignment="1">
      <alignment horizontal="center" vertical="center" wrapText="1"/>
    </xf>
    <xf numFmtId="43" fontId="9" fillId="7" borderId="2" xfId="1" applyFont="1" applyFill="1" applyBorder="1" applyAlignment="1">
      <alignment horizontal="center" vertical="center" wrapText="1"/>
    </xf>
    <xf numFmtId="3" fontId="27" fillId="0" borderId="2" xfId="0" applyNumberFormat="1" applyFont="1" applyBorder="1" applyAlignment="1">
      <alignment horizontal="center" vertical="center"/>
    </xf>
    <xf numFmtId="9" fontId="27" fillId="0" borderId="2" xfId="2" applyFont="1" applyBorder="1" applyAlignment="1">
      <alignment horizontal="center" vertical="center"/>
    </xf>
    <xf numFmtId="14" fontId="27" fillId="7" borderId="2" xfId="0" applyNumberFormat="1" applyFont="1" applyFill="1" applyBorder="1" applyAlignment="1">
      <alignment horizontal="center" vertical="center" wrapText="1"/>
    </xf>
    <xf numFmtId="43" fontId="9" fillId="7" borderId="2" xfId="1" applyFont="1" applyFill="1" applyBorder="1" applyAlignment="1">
      <alignment horizontal="center" vertical="center"/>
    </xf>
    <xf numFmtId="0" fontId="7" fillId="6" borderId="45" xfId="0" applyFont="1" applyFill="1" applyBorder="1" applyAlignment="1">
      <alignment vertical="center"/>
    </xf>
    <xf numFmtId="0" fontId="7" fillId="6" borderId="5" xfId="0" applyFont="1" applyFill="1" applyBorder="1" applyAlignment="1">
      <alignment vertical="center"/>
    </xf>
    <xf numFmtId="0" fontId="7" fillId="6" borderId="0" xfId="0" applyFont="1" applyFill="1" applyAlignment="1">
      <alignment vertical="center"/>
    </xf>
    <xf numFmtId="0" fontId="7" fillId="6" borderId="3" xfId="0" applyFont="1" applyFill="1" applyBorder="1" applyAlignment="1">
      <alignment vertical="center"/>
    </xf>
    <xf numFmtId="0" fontId="7" fillId="6" borderId="3" xfId="0" applyFont="1" applyFill="1" applyBorder="1" applyAlignment="1">
      <alignment horizontal="justify" vertical="center"/>
    </xf>
    <xf numFmtId="43" fontId="7" fillId="6" borderId="9" xfId="1" applyFont="1" applyFill="1" applyBorder="1" applyAlignment="1">
      <alignment horizontal="center" vertical="center"/>
    </xf>
    <xf numFmtId="43" fontId="7" fillId="6" borderId="3" xfId="1" applyFont="1" applyFill="1" applyBorder="1" applyAlignment="1">
      <alignment horizontal="center" vertical="center"/>
    </xf>
    <xf numFmtId="3" fontId="7" fillId="6" borderId="3" xfId="0" applyNumberFormat="1" applyFont="1" applyFill="1" applyBorder="1" applyAlignment="1">
      <alignment horizontal="center" vertical="center"/>
    </xf>
    <xf numFmtId="1" fontId="7" fillId="6" borderId="3" xfId="0" applyNumberFormat="1" applyFont="1" applyFill="1" applyBorder="1" applyAlignment="1">
      <alignment horizontal="center" vertical="center"/>
    </xf>
    <xf numFmtId="0" fontId="9" fillId="6" borderId="3" xfId="0" applyFont="1" applyFill="1" applyBorder="1" applyAlignment="1">
      <alignment horizontal="left" vertical="center"/>
    </xf>
    <xf numFmtId="167" fontId="7" fillId="6" borderId="3" xfId="0" applyNumberFormat="1" applyFont="1" applyFill="1" applyBorder="1" applyAlignment="1">
      <alignment vertical="center"/>
    </xf>
    <xf numFmtId="167" fontId="7" fillId="6" borderId="9" xfId="0" applyNumberFormat="1" applyFont="1" applyFill="1" applyBorder="1" applyAlignment="1">
      <alignment vertical="center"/>
    </xf>
    <xf numFmtId="0" fontId="9" fillId="6" borderId="9" xfId="0" applyFont="1" applyFill="1" applyBorder="1" applyAlignment="1">
      <alignment vertical="center"/>
    </xf>
    <xf numFmtId="0" fontId="9" fillId="6" borderId="5" xfId="0" applyFont="1" applyFill="1" applyBorder="1" applyAlignment="1">
      <alignment vertical="center"/>
    </xf>
    <xf numFmtId="0" fontId="9" fillId="6" borderId="1" xfId="0" applyFont="1" applyFill="1" applyBorder="1" applyAlignment="1">
      <alignment vertical="center"/>
    </xf>
    <xf numFmtId="0" fontId="7" fillId="8" borderId="9" xfId="0" applyFont="1" applyFill="1" applyBorder="1" applyAlignment="1">
      <alignment vertical="center"/>
    </xf>
    <xf numFmtId="43" fontId="7" fillId="8" borderId="3" xfId="1" applyFont="1" applyFill="1" applyBorder="1" applyAlignment="1">
      <alignment horizontal="center" vertical="center"/>
    </xf>
    <xf numFmtId="3" fontId="7" fillId="8" borderId="3" xfId="0" applyNumberFormat="1" applyFont="1" applyFill="1" applyBorder="1" applyAlignment="1">
      <alignment horizontal="center" vertical="center"/>
    </xf>
    <xf numFmtId="0" fontId="9" fillId="8" borderId="3" xfId="0" applyFont="1" applyFill="1" applyBorder="1" applyAlignment="1">
      <alignment horizontal="left" vertical="center"/>
    </xf>
    <xf numFmtId="167" fontId="7" fillId="8" borderId="3" xfId="0" applyNumberFormat="1" applyFont="1" applyFill="1" applyBorder="1" applyAlignment="1">
      <alignment vertical="center"/>
    </xf>
    <xf numFmtId="167" fontId="7" fillId="8" borderId="0" xfId="0" applyNumberFormat="1" applyFont="1" applyFill="1" applyBorder="1" applyAlignment="1">
      <alignment vertical="center"/>
    </xf>
    <xf numFmtId="0" fontId="9" fillId="8" borderId="0" xfId="0" applyFont="1" applyFill="1" applyBorder="1" applyAlignment="1">
      <alignment vertical="center"/>
    </xf>
    <xf numFmtId="0" fontId="9" fillId="8" borderId="5" xfId="0" applyFont="1" applyFill="1" applyBorder="1" applyAlignment="1">
      <alignment vertical="center"/>
    </xf>
    <xf numFmtId="0" fontId="9" fillId="8" borderId="9" xfId="0" applyFont="1" applyFill="1" applyBorder="1" applyAlignment="1">
      <alignment vertical="center"/>
    </xf>
    <xf numFmtId="0" fontId="9" fillId="8" borderId="1" xfId="0" applyFont="1" applyFill="1" applyBorder="1" applyAlignment="1">
      <alignment vertical="center"/>
    </xf>
    <xf numFmtId="0" fontId="7" fillId="9" borderId="8" xfId="0" applyFont="1" applyFill="1" applyBorder="1" applyAlignment="1">
      <alignment horizontal="left" vertical="center"/>
    </xf>
    <xf numFmtId="3" fontId="7" fillId="9" borderId="5" xfId="0" applyNumberFormat="1" applyFont="1" applyFill="1" applyBorder="1" applyAlignment="1">
      <alignment horizontal="center" vertical="center"/>
    </xf>
    <xf numFmtId="0" fontId="9" fillId="9" borderId="9" xfId="0" applyFont="1" applyFill="1" applyBorder="1" applyAlignment="1">
      <alignment horizontal="left" vertical="center"/>
    </xf>
    <xf numFmtId="167" fontId="7" fillId="9" borderId="9" xfId="0" applyNumberFormat="1" applyFont="1" applyFill="1" applyBorder="1" applyAlignment="1">
      <alignment vertical="center"/>
    </xf>
    <xf numFmtId="167" fontId="7" fillId="9" borderId="5" xfId="0" applyNumberFormat="1" applyFont="1" applyFill="1" applyBorder="1" applyAlignment="1">
      <alignment vertical="center"/>
    </xf>
    <xf numFmtId="0" fontId="9" fillId="9" borderId="5" xfId="0" applyFont="1" applyFill="1" applyBorder="1" applyAlignment="1">
      <alignment vertical="center"/>
    </xf>
    <xf numFmtId="0" fontId="9" fillId="9" borderId="1" xfId="0" applyFont="1" applyFill="1" applyBorder="1" applyAlignment="1">
      <alignment vertical="center"/>
    </xf>
    <xf numFmtId="43" fontId="9" fillId="7" borderId="1" xfId="1" applyFont="1" applyFill="1" applyBorder="1" applyAlignment="1">
      <alignment horizontal="center" vertical="center" wrapText="1"/>
    </xf>
    <xf numFmtId="43" fontId="9" fillId="7" borderId="8" xfId="1" applyFont="1" applyFill="1" applyBorder="1" applyAlignment="1">
      <alignment horizontal="center" vertical="center" wrapText="1"/>
    </xf>
    <xf numFmtId="0" fontId="9" fillId="7" borderId="2" xfId="5" applyNumberFormat="1" applyFont="1" applyFill="1" applyBorder="1" applyAlignment="1">
      <alignment horizontal="center" vertical="center" wrapText="1"/>
    </xf>
    <xf numFmtId="179" fontId="23" fillId="7" borderId="1" xfId="0" applyNumberFormat="1" applyFont="1" applyFill="1" applyBorder="1" applyAlignment="1">
      <alignment horizontal="center" vertical="center" wrapText="1"/>
    </xf>
    <xf numFmtId="43" fontId="9" fillId="0" borderId="1" xfId="1" applyFont="1" applyFill="1" applyBorder="1" applyAlignment="1">
      <alignment horizontal="center" vertical="center" wrapText="1"/>
    </xf>
    <xf numFmtId="0" fontId="9" fillId="0" borderId="15" xfId="0" applyFont="1" applyBorder="1" applyAlignment="1">
      <alignment horizontal="center" vertical="center" wrapText="1"/>
    </xf>
    <xf numFmtId="43" fontId="9" fillId="7" borderId="9" xfId="1" applyFont="1" applyFill="1" applyBorder="1" applyAlignment="1">
      <alignment horizontal="center" vertical="center" wrapText="1"/>
    </xf>
    <xf numFmtId="43" fontId="9" fillId="7" borderId="7" xfId="1" applyFont="1" applyFill="1" applyBorder="1" applyAlignment="1">
      <alignment horizontal="center" vertical="center" wrapText="1"/>
    </xf>
    <xf numFmtId="43" fontId="9" fillId="7" borderId="5" xfId="1" applyFont="1" applyFill="1" applyBorder="1" applyAlignment="1">
      <alignment horizontal="center" vertical="center" wrapText="1"/>
    </xf>
    <xf numFmtId="43" fontId="9" fillId="7" borderId="14" xfId="1" applyFont="1" applyFill="1" applyBorder="1" applyAlignment="1">
      <alignment horizontal="center" vertical="center" wrapText="1"/>
    </xf>
    <xf numFmtId="179" fontId="23" fillId="7" borderId="10" xfId="0" applyNumberFormat="1" applyFont="1" applyFill="1" applyBorder="1" applyAlignment="1">
      <alignment horizontal="center" vertical="center" wrapText="1"/>
    </xf>
    <xf numFmtId="43" fontId="23" fillId="7" borderId="50" xfId="1" applyFont="1" applyFill="1" applyBorder="1" applyAlignment="1">
      <alignment vertical="center"/>
    </xf>
    <xf numFmtId="0" fontId="23" fillId="0" borderId="2" xfId="0" applyFont="1" applyBorder="1" applyAlignment="1">
      <alignment horizontal="center" vertical="center"/>
    </xf>
    <xf numFmtId="179" fontId="23" fillId="7" borderId="50" xfId="0" applyNumberFormat="1" applyFont="1" applyFill="1" applyBorder="1" applyAlignment="1">
      <alignment horizontal="center" vertical="center" wrapText="1"/>
    </xf>
    <xf numFmtId="43" fontId="9" fillId="7" borderId="3" xfId="1" applyFont="1" applyFill="1" applyBorder="1" applyAlignment="1">
      <alignment horizontal="center" vertical="center" wrapText="1"/>
    </xf>
    <xf numFmtId="0" fontId="9" fillId="7" borderId="14" xfId="0" applyFont="1" applyFill="1" applyBorder="1" applyAlignment="1">
      <alignment vertical="center" wrapText="1"/>
    </xf>
    <xf numFmtId="0" fontId="9" fillId="7" borderId="0" xfId="0" applyFont="1" applyFill="1" applyAlignment="1">
      <alignment vertical="center" wrapText="1"/>
    </xf>
    <xf numFmtId="0" fontId="9" fillId="7" borderId="15" xfId="0" applyFont="1" applyFill="1" applyBorder="1" applyAlignment="1">
      <alignment vertical="center" wrapText="1"/>
    </xf>
    <xf numFmtId="0" fontId="7" fillId="9" borderId="8" xfId="0" applyFont="1" applyFill="1" applyBorder="1" applyAlignment="1">
      <alignment vertical="center"/>
    </xf>
    <xf numFmtId="43" fontId="7" fillId="9" borderId="9" xfId="1" applyFont="1" applyFill="1" applyBorder="1" applyAlignment="1">
      <alignment vertical="center"/>
    </xf>
    <xf numFmtId="43" fontId="7" fillId="9" borderId="5" xfId="1" applyFont="1" applyFill="1" applyBorder="1" applyAlignment="1">
      <alignment vertical="center"/>
    </xf>
    <xf numFmtId="0" fontId="7" fillId="9" borderId="1" xfId="0" applyFont="1" applyFill="1" applyBorder="1" applyAlignment="1">
      <alignment vertical="center"/>
    </xf>
    <xf numFmtId="49" fontId="9" fillId="7" borderId="2" xfId="0" applyNumberFormat="1" applyFont="1" applyFill="1" applyBorder="1" applyAlignment="1">
      <alignment horizontal="center" vertical="center" wrapText="1"/>
    </xf>
    <xf numFmtId="3" fontId="9" fillId="7" borderId="2" xfId="0"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vertical="center" wrapText="1"/>
    </xf>
    <xf numFmtId="0" fontId="9" fillId="0" borderId="0" xfId="0" applyFont="1" applyAlignment="1">
      <alignment vertical="center" wrapText="1"/>
    </xf>
    <xf numFmtId="0" fontId="9" fillId="0" borderId="15" xfId="0" applyFont="1" applyBorder="1" applyAlignment="1">
      <alignment vertical="center" wrapText="1"/>
    </xf>
    <xf numFmtId="43" fontId="9" fillId="0" borderId="2" xfId="1" applyFont="1" applyBorder="1" applyAlignment="1">
      <alignment vertical="center" wrapText="1"/>
    </xf>
    <xf numFmtId="0" fontId="9" fillId="0" borderId="2" xfId="5" applyNumberFormat="1" applyFont="1" applyBorder="1" applyAlignment="1">
      <alignment horizontal="center" vertical="center" wrapText="1"/>
    </xf>
    <xf numFmtId="3" fontId="9" fillId="0" borderId="2"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0" fontId="9" fillId="0" borderId="1" xfId="5" applyNumberFormat="1" applyFont="1" applyBorder="1" applyAlignment="1">
      <alignment horizontal="center" vertical="center" wrapText="1"/>
    </xf>
    <xf numFmtId="0" fontId="9" fillId="0" borderId="10" xfId="5" applyNumberFormat="1" applyFont="1" applyBorder="1" applyAlignment="1">
      <alignment horizontal="center" vertical="center" wrapText="1"/>
    </xf>
    <xf numFmtId="0" fontId="23" fillId="0" borderId="17" xfId="0" applyFont="1" applyBorder="1" applyAlignment="1">
      <alignment horizontal="justify" vertical="center" wrapText="1"/>
    </xf>
    <xf numFmtId="0" fontId="9" fillId="0" borderId="6" xfId="5" applyNumberFormat="1" applyFont="1" applyBorder="1" applyAlignment="1">
      <alignment horizontal="center" vertical="center" wrapText="1"/>
    </xf>
    <xf numFmtId="0" fontId="9" fillId="0" borderId="10" xfId="0" applyFont="1" applyBorder="1" applyAlignment="1">
      <alignment horizontal="justify" vertical="center" wrapText="1"/>
    </xf>
    <xf numFmtId="0" fontId="9" fillId="0" borderId="5" xfId="0" applyFont="1" applyFill="1" applyBorder="1" applyAlignment="1">
      <alignment horizontal="center" vertical="center" wrapText="1"/>
    </xf>
    <xf numFmtId="10" fontId="9" fillId="7" borderId="2" xfId="2" applyNumberFormat="1" applyFont="1" applyFill="1" applyBorder="1" applyAlignment="1">
      <alignment horizontal="center" vertical="center" wrapText="1"/>
    </xf>
    <xf numFmtId="0" fontId="9" fillId="0" borderId="8" xfId="0" applyFont="1" applyBorder="1" applyAlignment="1">
      <alignment horizontal="justify" vertical="center" wrapText="1"/>
    </xf>
    <xf numFmtId="3" fontId="9" fillId="0" borderId="1" xfId="0" applyNumberFormat="1" applyFont="1" applyBorder="1" applyAlignment="1">
      <alignment horizontal="center" vertical="center" wrapText="1"/>
    </xf>
    <xf numFmtId="1" fontId="9" fillId="0" borderId="2" xfId="0" applyNumberFormat="1" applyFont="1" applyBorder="1" applyAlignment="1">
      <alignment horizontal="center" vertical="center" wrapText="1"/>
    </xf>
    <xf numFmtId="9" fontId="9" fillId="0" borderId="2" xfId="2" applyFont="1" applyBorder="1" applyAlignment="1">
      <alignment horizontal="center" vertical="center" wrapText="1"/>
    </xf>
    <xf numFmtId="180" fontId="9" fillId="0" borderId="2"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9" fillId="0" borderId="9" xfId="0" applyFont="1" applyBorder="1" applyAlignment="1">
      <alignment horizontal="center" vertical="center" wrapText="1"/>
    </xf>
    <xf numFmtId="1" fontId="7" fillId="7" borderId="9" xfId="0" applyNumberFormat="1" applyFont="1" applyFill="1" applyBorder="1" applyAlignment="1">
      <alignment vertical="center" wrapText="1"/>
    </xf>
    <xf numFmtId="0" fontId="9" fillId="7" borderId="9" xfId="0" applyFont="1" applyFill="1" applyBorder="1" applyAlignment="1">
      <alignment vertical="center" wrapText="1"/>
    </xf>
    <xf numFmtId="0" fontId="25" fillId="0" borderId="9" xfId="0" applyFont="1" applyBorder="1" applyAlignment="1">
      <alignment horizontal="center" vertical="center" wrapText="1"/>
    </xf>
    <xf numFmtId="0" fontId="7" fillId="0" borderId="9" xfId="0" applyFont="1" applyBorder="1" applyAlignment="1">
      <alignment horizontal="justify" vertical="center"/>
    </xf>
    <xf numFmtId="44" fontId="7" fillId="0" borderId="6" xfId="5" applyFont="1" applyBorder="1" applyAlignment="1">
      <alignment horizontal="center" vertical="center"/>
    </xf>
    <xf numFmtId="43" fontId="7" fillId="0" borderId="2" xfId="1" applyFont="1" applyBorder="1" applyAlignment="1">
      <alignment horizontal="center" vertical="center"/>
    </xf>
    <xf numFmtId="0" fontId="25" fillId="0" borderId="8" xfId="0" applyFont="1" applyBorder="1" applyAlignment="1">
      <alignment vertical="center" wrapText="1"/>
    </xf>
    <xf numFmtId="0" fontId="25" fillId="0" borderId="9" xfId="0" applyFont="1" applyBorder="1" applyAlignment="1">
      <alignment vertical="center" wrapText="1"/>
    </xf>
    <xf numFmtId="0" fontId="25" fillId="0" borderId="2" xfId="0" applyFont="1" applyBorder="1" applyAlignment="1">
      <alignment vertical="center" wrapText="1"/>
    </xf>
    <xf numFmtId="179" fontId="7" fillId="0" borderId="2" xfId="0" applyNumberFormat="1" applyFont="1" applyBorder="1" applyAlignment="1">
      <alignment horizontal="center" vertical="center"/>
    </xf>
    <xf numFmtId="179" fontId="7" fillId="0" borderId="3" xfId="0" applyNumberFormat="1" applyFont="1" applyBorder="1" applyAlignment="1">
      <alignment horizontal="center" vertical="center"/>
    </xf>
    <xf numFmtId="0" fontId="9" fillId="0" borderId="3" xfId="0" applyFont="1" applyBorder="1" applyAlignment="1">
      <alignment horizontal="center" vertical="center"/>
    </xf>
    <xf numFmtId="0" fontId="9" fillId="0" borderId="12" xfId="0" applyFont="1" applyBorder="1" applyAlignment="1">
      <alignment horizontal="center" vertical="center"/>
    </xf>
    <xf numFmtId="1" fontId="23" fillId="0" borderId="0" xfId="0" applyNumberFormat="1" applyFont="1"/>
    <xf numFmtId="0" fontId="25" fillId="0" borderId="0" xfId="0" applyFont="1" applyAlignment="1">
      <alignment horizontal="center" vertical="center" wrapText="1"/>
    </xf>
    <xf numFmtId="43" fontId="23" fillId="7" borderId="0" xfId="1" applyFont="1" applyFill="1" applyAlignment="1">
      <alignment vertical="center"/>
    </xf>
    <xf numFmtId="0" fontId="25" fillId="0" borderId="0" xfId="0" applyFont="1" applyAlignment="1">
      <alignment vertical="center" wrapText="1"/>
    </xf>
    <xf numFmtId="44" fontId="23" fillId="7" borderId="0" xfId="5" applyFont="1" applyFill="1" applyAlignment="1">
      <alignment horizontal="center" vertical="center"/>
    </xf>
    <xf numFmtId="43" fontId="23" fillId="0" borderId="0" xfId="0" applyNumberFormat="1" applyFont="1"/>
    <xf numFmtId="0" fontId="4" fillId="0" borderId="0" xfId="0" applyFont="1"/>
    <xf numFmtId="0" fontId="9" fillId="7" borderId="11" xfId="0" applyFont="1" applyFill="1" applyBorder="1" applyAlignment="1">
      <alignment horizontal="justify" vertical="center" wrapText="1"/>
    </xf>
    <xf numFmtId="0" fontId="9" fillId="7" borderId="2" xfId="0" applyFont="1" applyFill="1" applyBorder="1" applyAlignment="1">
      <alignment horizontal="justify" vertical="center" wrapText="1"/>
    </xf>
    <xf numFmtId="3" fontId="23" fillId="7" borderId="2"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23" fillId="0" borderId="2" xfId="0" applyFont="1" applyBorder="1" applyAlignment="1">
      <alignment horizontal="justify" vertical="center" wrapText="1"/>
    </xf>
    <xf numFmtId="1" fontId="23" fillId="7" borderId="2" xfId="0" applyNumberFormat="1" applyFont="1" applyFill="1" applyBorder="1" applyAlignment="1">
      <alignment horizontal="center" vertical="center" wrapText="1"/>
    </xf>
    <xf numFmtId="0" fontId="23" fillId="7" borderId="2"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3" fillId="3"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7" borderId="11"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0" xfId="0" applyFont="1" applyFill="1" applyAlignment="1">
      <alignment horizontal="center" vertical="center" wrapText="1"/>
    </xf>
    <xf numFmtId="0" fontId="9" fillId="7" borderId="2"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2" xfId="0" applyFont="1" applyFill="1" applyBorder="1" applyAlignment="1">
      <alignment horizontal="justify" vertical="center" wrapText="1"/>
    </xf>
    <xf numFmtId="1" fontId="9" fillId="7" borderId="2" xfId="0" applyNumberFormat="1" applyFont="1" applyFill="1" applyBorder="1" applyAlignment="1">
      <alignment horizontal="center" vertical="center" wrapText="1"/>
    </xf>
    <xf numFmtId="9" fontId="9" fillId="7"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7" borderId="0" xfId="0" applyFont="1" applyFill="1" applyAlignment="1">
      <alignment horizontal="center" vertical="center" wrapText="1"/>
    </xf>
    <xf numFmtId="0" fontId="7" fillId="7" borderId="4" xfId="0" applyFont="1" applyFill="1" applyBorder="1" applyAlignment="1">
      <alignment horizontal="center" vertical="center" wrapText="1"/>
    </xf>
    <xf numFmtId="0" fontId="9" fillId="7" borderId="0" xfId="0" applyFont="1" applyFill="1" applyAlignment="1">
      <alignment horizontal="center"/>
    </xf>
    <xf numFmtId="0" fontId="7" fillId="0" borderId="9" xfId="0" applyFont="1" applyBorder="1" applyAlignment="1">
      <alignment horizontal="center" vertical="center"/>
    </xf>
    <xf numFmtId="0" fontId="26" fillId="0" borderId="0" xfId="0" applyFont="1" applyBorder="1" applyAlignment="1">
      <alignment horizontal="center" vertical="center"/>
    </xf>
    <xf numFmtId="0" fontId="4" fillId="0" borderId="0" xfId="0" applyFont="1" applyBorder="1" applyAlignment="1">
      <alignment vertical="center"/>
    </xf>
    <xf numFmtId="0" fontId="23" fillId="7" borderId="0" xfId="0" applyFont="1" applyFill="1" applyAlignment="1">
      <alignment vertical="center"/>
    </xf>
    <xf numFmtId="0" fontId="23" fillId="0" borderId="0" xfId="0" applyFont="1" applyAlignment="1">
      <alignment vertical="center"/>
    </xf>
    <xf numFmtId="0" fontId="4" fillId="0" borderId="0" xfId="0" applyFont="1" applyBorder="1" applyAlignment="1">
      <alignment horizontal="left" vertical="center"/>
    </xf>
    <xf numFmtId="0" fontId="4" fillId="0" borderId="7" xfId="0" applyFont="1" applyBorder="1" applyAlignment="1">
      <alignment vertical="center"/>
    </xf>
    <xf numFmtId="10" fontId="4" fillId="0" borderId="3" xfId="0" applyNumberFormat="1" applyFont="1" applyBorder="1" applyAlignment="1">
      <alignment vertical="center"/>
    </xf>
    <xf numFmtId="0" fontId="4" fillId="3" borderId="6" xfId="0" applyFont="1" applyFill="1" applyBorder="1" applyAlignment="1">
      <alignment horizontal="center" vertical="center" wrapText="1"/>
    </xf>
    <xf numFmtId="165" fontId="3" fillId="3" borderId="2" xfId="0" applyNumberFormat="1" applyFont="1" applyFill="1" applyBorder="1" applyAlignment="1">
      <alignment horizontal="center" vertical="center" wrapText="1"/>
    </xf>
    <xf numFmtId="0" fontId="23" fillId="0" borderId="0" xfId="0" applyFont="1" applyAlignment="1">
      <alignment horizontal="center" vertical="center"/>
    </xf>
    <xf numFmtId="1" fontId="4" fillId="6" borderId="9" xfId="0" applyNumberFormat="1" applyFont="1" applyFill="1" applyBorder="1" applyAlignment="1">
      <alignment vertical="center" wrapText="1"/>
    </xf>
    <xf numFmtId="1" fontId="4" fillId="6" borderId="9" xfId="0" applyNumberFormat="1" applyFont="1" applyFill="1" applyBorder="1" applyAlignment="1">
      <alignment horizontal="center" vertical="center" wrapText="1"/>
    </xf>
    <xf numFmtId="10" fontId="4" fillId="6" borderId="9" xfId="0" applyNumberFormat="1" applyFont="1" applyFill="1" applyBorder="1" applyAlignment="1">
      <alignment vertical="center" wrapText="1"/>
    </xf>
    <xf numFmtId="1" fontId="4" fillId="6" borderId="1" xfId="0" applyNumberFormat="1" applyFont="1" applyFill="1" applyBorder="1" applyAlignment="1">
      <alignment vertical="center" wrapText="1"/>
    </xf>
    <xf numFmtId="1" fontId="4" fillId="8" borderId="9" xfId="0" applyNumberFormat="1" applyFont="1" applyFill="1" applyBorder="1" applyAlignment="1">
      <alignment horizontal="center" vertical="center"/>
    </xf>
    <xf numFmtId="0" fontId="4" fillId="8" borderId="3" xfId="0" applyFont="1" applyFill="1" applyBorder="1" applyAlignment="1">
      <alignment vertical="center"/>
    </xf>
    <xf numFmtId="0" fontId="4" fillId="8" borderId="3" xfId="0" applyFont="1" applyFill="1" applyBorder="1" applyAlignment="1">
      <alignment horizontal="center" vertical="center"/>
    </xf>
    <xf numFmtId="0" fontId="4" fillId="8" borderId="3" xfId="0" applyFont="1" applyFill="1" applyBorder="1" applyAlignment="1">
      <alignment horizontal="justify" vertical="center"/>
    </xf>
    <xf numFmtId="10" fontId="4" fillId="8" borderId="3" xfId="0" applyNumberFormat="1" applyFont="1" applyFill="1" applyBorder="1" applyAlignment="1">
      <alignment horizontal="center" vertical="center"/>
    </xf>
    <xf numFmtId="169" fontId="4" fillId="8" borderId="3" xfId="0" applyNumberFormat="1" applyFont="1" applyFill="1" applyBorder="1" applyAlignment="1">
      <alignment vertical="center"/>
    </xf>
    <xf numFmtId="169" fontId="4" fillId="8" borderId="3" xfId="0" applyNumberFormat="1" applyFont="1" applyFill="1" applyBorder="1" applyAlignment="1">
      <alignment horizontal="center" vertical="center"/>
    </xf>
    <xf numFmtId="1" fontId="4" fillId="8" borderId="3" xfId="0" applyNumberFormat="1" applyFont="1" applyFill="1" applyBorder="1" applyAlignment="1">
      <alignment horizontal="center" vertical="center"/>
    </xf>
    <xf numFmtId="167" fontId="4" fillId="8" borderId="3" xfId="0" applyNumberFormat="1" applyFont="1" applyFill="1" applyBorder="1" applyAlignment="1">
      <alignment vertical="center"/>
    </xf>
    <xf numFmtId="0" fontId="4" fillId="8" borderId="12" xfId="0" applyFont="1" applyFill="1" applyBorder="1" applyAlignment="1">
      <alignment horizontal="justify" vertical="center"/>
    </xf>
    <xf numFmtId="0" fontId="4" fillId="9" borderId="9" xfId="0" applyFont="1" applyFill="1" applyBorder="1" applyAlignment="1">
      <alignment vertical="center"/>
    </xf>
    <xf numFmtId="0" fontId="4" fillId="9" borderId="9" xfId="0" applyFont="1" applyFill="1" applyBorder="1" applyAlignment="1">
      <alignment horizontal="center" vertical="center"/>
    </xf>
    <xf numFmtId="0" fontId="4" fillId="9" borderId="9" xfId="0" applyFont="1" applyFill="1" applyBorder="1" applyAlignment="1">
      <alignment horizontal="justify" vertical="center"/>
    </xf>
    <xf numFmtId="10" fontId="4" fillId="9" borderId="9" xfId="0" applyNumberFormat="1" applyFont="1" applyFill="1" applyBorder="1" applyAlignment="1">
      <alignment horizontal="center" vertical="center"/>
    </xf>
    <xf numFmtId="169" fontId="4" fillId="9" borderId="9" xfId="0" applyNumberFormat="1" applyFont="1" applyFill="1" applyBorder="1" applyAlignment="1">
      <alignment vertical="center"/>
    </xf>
    <xf numFmtId="169" fontId="4" fillId="9" borderId="9" xfId="0" applyNumberFormat="1" applyFont="1" applyFill="1" applyBorder="1" applyAlignment="1">
      <alignment horizontal="center" vertical="center"/>
    </xf>
    <xf numFmtId="1" fontId="4" fillId="9" borderId="9" xfId="0" applyNumberFormat="1" applyFont="1" applyFill="1" applyBorder="1" applyAlignment="1">
      <alignment horizontal="center" vertical="center"/>
    </xf>
    <xf numFmtId="167" fontId="4" fillId="9" borderId="9" xfId="0" applyNumberFormat="1" applyFont="1" applyFill="1" applyBorder="1" applyAlignment="1">
      <alignment vertical="center"/>
    </xf>
    <xf numFmtId="0" fontId="4" fillId="9" borderId="1" xfId="0" applyFont="1" applyFill="1" applyBorder="1" applyAlignment="1">
      <alignment horizontal="justify" vertical="center"/>
    </xf>
    <xf numFmtId="0" fontId="23" fillId="0" borderId="11" xfId="0" applyFont="1" applyFill="1" applyBorder="1" applyAlignment="1">
      <alignment horizontal="justify" vertical="center" wrapText="1"/>
    </xf>
    <xf numFmtId="43" fontId="23" fillId="0" borderId="2" xfId="1" applyFont="1" applyFill="1" applyBorder="1" applyAlignment="1">
      <alignment horizontal="right" vertical="center" wrapText="1"/>
    </xf>
    <xf numFmtId="1" fontId="23" fillId="0" borderId="11"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0" xfId="0" applyFont="1" applyFill="1" applyAlignment="1">
      <alignment vertical="center"/>
    </xf>
    <xf numFmtId="0" fontId="23" fillId="0" borderId="2" xfId="0" applyFont="1" applyFill="1" applyBorder="1" applyAlignment="1">
      <alignment horizontal="justify" vertical="center" wrapText="1"/>
    </xf>
    <xf numFmtId="43" fontId="23" fillId="0" borderId="6" xfId="1" applyFont="1" applyFill="1" applyBorder="1" applyAlignment="1">
      <alignment horizontal="right" vertical="center" wrapText="1"/>
    </xf>
    <xf numFmtId="1" fontId="23" fillId="0" borderId="2"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3" fontId="23" fillId="0" borderId="2" xfId="0" applyNumberFormat="1" applyFont="1" applyFill="1" applyBorder="1" applyAlignment="1">
      <alignment horizontal="center" vertical="center" wrapText="1"/>
    </xf>
    <xf numFmtId="4" fontId="23" fillId="0" borderId="2" xfId="1" applyNumberFormat="1" applyFont="1" applyFill="1" applyBorder="1" applyAlignment="1" applyProtection="1">
      <alignment horizontal="center" vertical="center" wrapText="1"/>
      <protection locked="0"/>
    </xf>
    <xf numFmtId="10" fontId="23" fillId="0" borderId="2" xfId="0" applyNumberFormat="1" applyFont="1" applyFill="1" applyBorder="1" applyAlignment="1">
      <alignment horizontal="center" vertical="center" wrapText="1"/>
    </xf>
    <xf numFmtId="0" fontId="23" fillId="0" borderId="7" xfId="0" applyFont="1" applyFill="1" applyBorder="1" applyAlignment="1">
      <alignment horizontal="justify" vertical="center" wrapText="1"/>
    </xf>
    <xf numFmtId="4" fontId="23" fillId="0" borderId="11" xfId="1" applyNumberFormat="1" applyFont="1" applyFill="1" applyBorder="1" applyAlignment="1" applyProtection="1">
      <alignment horizontal="center" vertical="center" wrapText="1"/>
      <protection locked="0"/>
    </xf>
    <xf numFmtId="1" fontId="23" fillId="0" borderId="6" xfId="0" applyNumberFormat="1" applyFont="1" applyFill="1" applyBorder="1" applyAlignment="1">
      <alignment horizontal="center" vertical="center" wrapText="1"/>
    </xf>
    <xf numFmtId="3" fontId="23" fillId="0" borderId="11" xfId="0" applyNumberFormat="1" applyFont="1" applyFill="1" applyBorder="1" applyAlignment="1">
      <alignment horizontal="center" vertical="center" wrapText="1"/>
    </xf>
    <xf numFmtId="0" fontId="23" fillId="0" borderId="14" xfId="0" applyFont="1" applyFill="1" applyBorder="1" applyAlignment="1">
      <alignment horizontal="justify" vertical="center" wrapText="1"/>
    </xf>
    <xf numFmtId="43" fontId="23" fillId="0" borderId="13" xfId="1" applyFont="1" applyFill="1" applyBorder="1" applyAlignment="1">
      <alignment horizontal="right" vertical="center" wrapText="1"/>
    </xf>
    <xf numFmtId="1" fontId="23" fillId="0" borderId="13" xfId="0" applyNumberFormat="1" applyFont="1" applyFill="1" applyBorder="1" applyAlignment="1">
      <alignment horizontal="center" vertical="center" wrapText="1"/>
    </xf>
    <xf numFmtId="0" fontId="23" fillId="0" borderId="13"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23" fillId="9" borderId="2" xfId="0" applyFont="1" applyFill="1" applyBorder="1" applyAlignment="1">
      <alignment vertical="center" wrapText="1"/>
    </xf>
    <xf numFmtId="0" fontId="23" fillId="9" borderId="2" xfId="0" applyFont="1" applyFill="1" applyBorder="1" applyAlignment="1">
      <alignment horizontal="justify" vertical="center" wrapText="1"/>
    </xf>
    <xf numFmtId="10" fontId="23" fillId="9" borderId="2" xfId="0" applyNumberFormat="1" applyFont="1" applyFill="1" applyBorder="1" applyAlignment="1">
      <alignment vertical="center" wrapText="1"/>
    </xf>
    <xf numFmtId="43" fontId="23" fillId="9" borderId="2" xfId="1" applyFont="1" applyFill="1" applyBorder="1" applyAlignment="1">
      <alignment vertical="center" wrapText="1"/>
    </xf>
    <xf numFmtId="43" fontId="23" fillId="9" borderId="2" xfId="1" applyFont="1" applyFill="1" applyBorder="1" applyAlignment="1">
      <alignment horizontal="center" vertical="center" wrapText="1"/>
    </xf>
    <xf numFmtId="1" fontId="23" fillId="9" borderId="2" xfId="0" applyNumberFormat="1" applyFont="1" applyFill="1" applyBorder="1" applyAlignment="1">
      <alignment horizontal="center" vertical="center" wrapText="1"/>
    </xf>
    <xf numFmtId="1" fontId="4" fillId="9" borderId="2" xfId="0" applyNumberFormat="1" applyFont="1" applyFill="1" applyBorder="1" applyAlignment="1">
      <alignment vertical="center" textRotation="180" wrapText="1" readingOrder="2"/>
    </xf>
    <xf numFmtId="1" fontId="4" fillId="9" borderId="2" xfId="0" applyNumberFormat="1" applyFont="1" applyFill="1" applyBorder="1" applyAlignment="1">
      <alignment vertical="center" textRotation="180" wrapText="1"/>
    </xf>
    <xf numFmtId="1" fontId="23" fillId="9" borderId="2" xfId="0" applyNumberFormat="1" applyFont="1" applyFill="1" applyBorder="1" applyAlignment="1">
      <alignment vertical="center" textRotation="180" wrapText="1"/>
    </xf>
    <xf numFmtId="1" fontId="23" fillId="9" borderId="2" xfId="0" applyNumberFormat="1" applyFont="1" applyFill="1" applyBorder="1" applyAlignment="1">
      <alignment horizontal="center" vertical="center" textRotation="180" wrapText="1"/>
    </xf>
    <xf numFmtId="1" fontId="4" fillId="9" borderId="2" xfId="0" applyNumberFormat="1" applyFont="1" applyFill="1" applyBorder="1" applyAlignment="1">
      <alignment horizontal="center" vertical="center" textRotation="180" wrapText="1"/>
    </xf>
    <xf numFmtId="167" fontId="23" fillId="9" borderId="2" xfId="0" applyNumberFormat="1" applyFont="1" applyFill="1" applyBorder="1" applyAlignment="1">
      <alignment vertical="center" wrapText="1"/>
    </xf>
    <xf numFmtId="3" fontId="23" fillId="9" borderId="2" xfId="0" applyNumberFormat="1" applyFont="1" applyFill="1" applyBorder="1" applyAlignment="1">
      <alignment vertical="center" wrapText="1"/>
    </xf>
    <xf numFmtId="0" fontId="23" fillId="0" borderId="13" xfId="0" applyFont="1" applyFill="1" applyBorder="1" applyAlignment="1">
      <alignment horizontal="justify" vertical="center" wrapText="1"/>
    </xf>
    <xf numFmtId="4" fontId="23" fillId="0" borderId="2" xfId="0" applyNumberFormat="1" applyFont="1" applyFill="1" applyBorder="1" applyAlignment="1">
      <alignment horizontal="center" vertical="center" wrapText="1"/>
    </xf>
    <xf numFmtId="10" fontId="23" fillId="0" borderId="11" xfId="0" applyNumberFormat="1" applyFont="1" applyFill="1" applyBorder="1" applyAlignment="1">
      <alignment horizontal="center" vertical="center" wrapText="1"/>
    </xf>
    <xf numFmtId="0" fontId="23" fillId="0" borderId="2" xfId="0" applyFont="1" applyFill="1" applyBorder="1" applyAlignment="1">
      <alignment horizontal="center" vertical="center"/>
    </xf>
    <xf numFmtId="43" fontId="23" fillId="0" borderId="2" xfId="1" applyFont="1" applyFill="1" applyBorder="1" applyAlignment="1">
      <alignment horizontal="right" vertical="center"/>
    </xf>
    <xf numFmtId="1" fontId="23" fillId="0" borderId="2" xfId="0" applyNumberFormat="1" applyFont="1" applyFill="1" applyBorder="1" applyAlignment="1">
      <alignment horizontal="center" vertical="center"/>
    </xf>
    <xf numFmtId="0" fontId="23" fillId="9" borderId="0" xfId="0" applyFont="1" applyFill="1" applyAlignment="1">
      <alignment horizontal="center" vertical="center"/>
    </xf>
    <xf numFmtId="0" fontId="23" fillId="9" borderId="0" xfId="0" applyFont="1" applyFill="1" applyAlignment="1">
      <alignment horizontal="justify" vertical="center"/>
    </xf>
    <xf numFmtId="0" fontId="23" fillId="9" borderId="0" xfId="0" applyFont="1" applyFill="1" applyAlignment="1">
      <alignment vertical="center"/>
    </xf>
    <xf numFmtId="0" fontId="23" fillId="9" borderId="0" xfId="0" applyFont="1" applyFill="1" applyAlignment="1">
      <alignment vertical="center" wrapText="1"/>
    </xf>
    <xf numFmtId="10" fontId="23" fillId="9" borderId="0" xfId="0" applyNumberFormat="1" applyFont="1" applyFill="1" applyAlignment="1">
      <alignment horizontal="center" vertical="center"/>
    </xf>
    <xf numFmtId="43" fontId="23" fillId="9" borderId="0" xfId="1" applyFont="1" applyFill="1" applyAlignment="1">
      <alignment vertical="center"/>
    </xf>
    <xf numFmtId="0" fontId="23" fillId="9" borderId="0" xfId="0" applyFont="1" applyFill="1" applyAlignment="1">
      <alignment horizontal="justify" vertical="center" wrapText="1"/>
    </xf>
    <xf numFmtId="43" fontId="23" fillId="9" borderId="0" xfId="1" applyFont="1" applyFill="1" applyAlignment="1">
      <alignment horizontal="center" vertical="center"/>
    </xf>
    <xf numFmtId="1" fontId="23" fillId="9" borderId="0" xfId="0" applyNumberFormat="1" applyFont="1" applyFill="1" applyAlignment="1">
      <alignment horizontal="center" vertical="center"/>
    </xf>
    <xf numFmtId="167" fontId="23" fillId="9" borderId="0" xfId="0" applyNumberFormat="1" applyFont="1" applyFill="1" applyAlignment="1">
      <alignment vertical="center" wrapText="1"/>
    </xf>
    <xf numFmtId="3" fontId="23" fillId="9" borderId="0" xfId="0" applyNumberFormat="1" applyFont="1" applyFill="1" applyAlignment="1">
      <alignment vertical="center" wrapText="1"/>
    </xf>
    <xf numFmtId="0" fontId="23" fillId="0" borderId="11" xfId="0" applyFont="1" applyFill="1" applyBorder="1" applyAlignment="1">
      <alignment vertical="center"/>
    </xf>
    <xf numFmtId="43" fontId="23" fillId="0" borderId="2" xfId="1" applyFont="1" applyFill="1" applyBorder="1" applyAlignment="1">
      <alignment vertical="center"/>
    </xf>
    <xf numFmtId="0" fontId="23" fillId="0" borderId="13" xfId="0" applyFont="1" applyFill="1" applyBorder="1" applyAlignment="1">
      <alignment vertical="center"/>
    </xf>
    <xf numFmtId="0" fontId="23" fillId="0" borderId="6" xfId="0" applyFont="1" applyFill="1" applyBorder="1" applyAlignment="1">
      <alignment vertical="center"/>
    </xf>
    <xf numFmtId="3" fontId="23" fillId="0" borderId="6" xfId="0" applyNumberFormat="1" applyFont="1" applyFill="1" applyBorder="1" applyAlignment="1">
      <alignment horizontal="center" vertical="center" wrapText="1"/>
    </xf>
    <xf numFmtId="3" fontId="23" fillId="0" borderId="11" xfId="1" applyNumberFormat="1" applyFont="1" applyFill="1" applyBorder="1" applyAlignment="1" applyProtection="1">
      <alignment horizontal="center" vertical="center" wrapText="1"/>
      <protection locked="0"/>
    </xf>
    <xf numFmtId="10" fontId="23" fillId="0" borderId="2" xfId="0" applyNumberFormat="1" applyFont="1" applyFill="1" applyBorder="1" applyAlignment="1">
      <alignment horizontal="center" vertical="center"/>
    </xf>
    <xf numFmtId="0" fontId="23" fillId="0" borderId="2" xfId="0" applyFont="1" applyFill="1" applyBorder="1" applyAlignment="1">
      <alignment horizontal="left" vertical="center" wrapText="1" readingOrder="2"/>
    </xf>
    <xf numFmtId="3" fontId="23" fillId="0" borderId="2" xfId="1" applyNumberFormat="1" applyFont="1" applyFill="1" applyBorder="1" applyAlignment="1" applyProtection="1">
      <alignment horizontal="center" vertical="center" wrapText="1"/>
      <protection locked="0"/>
    </xf>
    <xf numFmtId="0" fontId="23" fillId="0" borderId="6" xfId="0" applyFont="1" applyFill="1" applyBorder="1" applyAlignment="1">
      <alignment horizontal="justify" vertical="center" wrapText="1"/>
    </xf>
    <xf numFmtId="0" fontId="23" fillId="0" borderId="11" xfId="0" applyFont="1" applyFill="1" applyBorder="1" applyAlignment="1">
      <alignment horizontal="center" vertical="center"/>
    </xf>
    <xf numFmtId="0" fontId="25" fillId="0" borderId="0" xfId="0" applyFont="1" applyFill="1" applyAlignment="1">
      <alignment horizontal="justify" vertical="center" wrapText="1"/>
    </xf>
    <xf numFmtId="10" fontId="23" fillId="0" borderId="11" xfId="0" applyNumberFormat="1" applyFont="1" applyFill="1" applyBorder="1" applyAlignment="1">
      <alignment horizontal="center" vertical="center"/>
    </xf>
    <xf numFmtId="43" fontId="23" fillId="0" borderId="11" xfId="1" applyFont="1" applyFill="1" applyBorder="1" applyAlignment="1">
      <alignment vertical="center"/>
    </xf>
    <xf numFmtId="1" fontId="23" fillId="0" borderId="11" xfId="0" applyNumberFormat="1" applyFont="1" applyFill="1" applyBorder="1" applyAlignment="1">
      <alignment horizontal="center" vertical="center"/>
    </xf>
    <xf numFmtId="1" fontId="4" fillId="6" borderId="2" xfId="0" applyNumberFormat="1" applyFont="1" applyFill="1" applyBorder="1" applyAlignment="1">
      <alignment horizontal="center" vertical="center"/>
    </xf>
    <xf numFmtId="0" fontId="23" fillId="6" borderId="9" xfId="0" applyFont="1" applyFill="1" applyBorder="1" applyAlignment="1">
      <alignment vertical="center"/>
    </xf>
    <xf numFmtId="0" fontId="23" fillId="6" borderId="9" xfId="0" applyFont="1" applyFill="1" applyBorder="1" applyAlignment="1">
      <alignment horizontal="center" vertical="center"/>
    </xf>
    <xf numFmtId="0" fontId="23" fillId="6" borderId="5" xfId="0" applyFont="1" applyFill="1" applyBorder="1" applyAlignment="1">
      <alignment horizontal="justify" vertical="center"/>
    </xf>
    <xf numFmtId="0" fontId="23" fillId="6" borderId="5" xfId="0" applyFont="1" applyFill="1" applyBorder="1" applyAlignment="1">
      <alignment vertical="center"/>
    </xf>
    <xf numFmtId="0" fontId="23" fillId="6" borderId="5" xfId="0" applyFont="1" applyFill="1" applyBorder="1" applyAlignment="1">
      <alignment horizontal="center" vertical="center"/>
    </xf>
    <xf numFmtId="10" fontId="23" fillId="6" borderId="5" xfId="0" applyNumberFormat="1" applyFont="1" applyFill="1" applyBorder="1" applyAlignment="1">
      <alignment horizontal="center" vertical="center"/>
    </xf>
    <xf numFmtId="43" fontId="23" fillId="6" borderId="5" xfId="1" applyFont="1" applyFill="1" applyBorder="1" applyAlignment="1">
      <alignment vertical="center"/>
    </xf>
    <xf numFmtId="43" fontId="23" fillId="6" borderId="5" xfId="1" applyFont="1" applyFill="1" applyBorder="1" applyAlignment="1">
      <alignment horizontal="center" vertical="center"/>
    </xf>
    <xf numFmtId="1" fontId="23" fillId="6" borderId="5" xfId="0" applyNumberFormat="1" applyFont="1" applyFill="1" applyBorder="1" applyAlignment="1">
      <alignment horizontal="center" vertical="center"/>
    </xf>
    <xf numFmtId="167" fontId="23" fillId="6" borderId="5" xfId="0" applyNumberFormat="1" applyFont="1" applyFill="1" applyBorder="1" applyAlignment="1">
      <alignment horizontal="right" vertical="center"/>
    </xf>
    <xf numFmtId="167" fontId="23" fillId="6" borderId="5" xfId="0" applyNumberFormat="1" applyFont="1" applyFill="1" applyBorder="1" applyAlignment="1">
      <alignment horizontal="center" vertical="center"/>
    </xf>
    <xf numFmtId="0" fontId="23" fillId="6" borderId="10" xfId="0" applyFont="1" applyFill="1" applyBorder="1" applyAlignment="1">
      <alignment horizontal="justify" vertical="center"/>
    </xf>
    <xf numFmtId="0" fontId="4" fillId="8" borderId="6" xfId="0" applyFont="1" applyFill="1" applyBorder="1" applyAlignment="1">
      <alignment horizontal="center" vertical="center"/>
    </xf>
    <xf numFmtId="0" fontId="23" fillId="8" borderId="3" xfId="0" applyFont="1" applyFill="1" applyBorder="1" applyAlignment="1">
      <alignment horizontal="center" vertical="center"/>
    </xf>
    <xf numFmtId="0" fontId="23" fillId="8" borderId="9" xfId="0" applyFont="1" applyFill="1" applyBorder="1" applyAlignment="1">
      <alignment horizontal="justify" vertical="center"/>
    </xf>
    <xf numFmtId="0" fontId="23" fillId="8" borderId="9" xfId="0" applyFont="1" applyFill="1" applyBorder="1" applyAlignment="1">
      <alignment vertical="center"/>
    </xf>
    <xf numFmtId="0" fontId="23" fillId="8" borderId="9" xfId="0" applyFont="1" applyFill="1" applyBorder="1" applyAlignment="1">
      <alignment horizontal="center" vertical="center"/>
    </xf>
    <xf numFmtId="10" fontId="23" fillId="8" borderId="9" xfId="0" applyNumberFormat="1" applyFont="1" applyFill="1" applyBorder="1" applyAlignment="1">
      <alignment horizontal="center" vertical="center"/>
    </xf>
    <xf numFmtId="43" fontId="23" fillId="8" borderId="9" xfId="1" applyFont="1" applyFill="1" applyBorder="1" applyAlignment="1">
      <alignment vertical="center"/>
    </xf>
    <xf numFmtId="43" fontId="23" fillId="8" borderId="9" xfId="1" applyFont="1" applyFill="1" applyBorder="1" applyAlignment="1">
      <alignment horizontal="center" vertical="center"/>
    </xf>
    <xf numFmtId="1" fontId="23" fillId="8" borderId="9" xfId="0" applyNumberFormat="1" applyFont="1" applyFill="1" applyBorder="1" applyAlignment="1">
      <alignment horizontal="center" vertical="center"/>
    </xf>
    <xf numFmtId="167" fontId="23" fillId="8" borderId="9" xfId="0" applyNumberFormat="1" applyFont="1" applyFill="1" applyBorder="1" applyAlignment="1">
      <alignment horizontal="right" vertical="center"/>
    </xf>
    <xf numFmtId="167" fontId="23" fillId="8" borderId="9" xfId="0" applyNumberFormat="1" applyFont="1" applyFill="1" applyBorder="1" applyAlignment="1">
      <alignment horizontal="center" vertical="center"/>
    </xf>
    <xf numFmtId="0" fontId="23" fillId="8" borderId="1" xfId="0" applyFont="1" applyFill="1" applyBorder="1" applyAlignment="1">
      <alignment horizontal="justify" vertical="center"/>
    </xf>
    <xf numFmtId="0" fontId="4" fillId="9" borderId="5" xfId="0" applyFont="1" applyFill="1" applyBorder="1" applyAlignment="1">
      <alignment vertical="center"/>
    </xf>
    <xf numFmtId="0" fontId="23" fillId="9" borderId="9" xfId="0" applyFont="1" applyFill="1" applyBorder="1" applyAlignment="1">
      <alignment horizontal="justify" vertical="center"/>
    </xf>
    <xf numFmtId="10" fontId="23" fillId="9" borderId="9" xfId="0" applyNumberFormat="1" applyFont="1" applyFill="1" applyBorder="1" applyAlignment="1">
      <alignment horizontal="center" vertical="center"/>
    </xf>
    <xf numFmtId="43" fontId="23" fillId="9" borderId="9" xfId="1" applyFont="1" applyFill="1" applyBorder="1" applyAlignment="1">
      <alignment vertical="center"/>
    </xf>
    <xf numFmtId="43" fontId="23" fillId="9" borderId="9" xfId="1" applyFont="1" applyFill="1" applyBorder="1" applyAlignment="1">
      <alignment horizontal="center" vertical="center"/>
    </xf>
    <xf numFmtId="1" fontId="23" fillId="9" borderId="9" xfId="0" applyNumberFormat="1" applyFont="1" applyFill="1" applyBorder="1" applyAlignment="1">
      <alignment horizontal="center" vertical="center"/>
    </xf>
    <xf numFmtId="0" fontId="23" fillId="9" borderId="9" xfId="0" applyFont="1" applyFill="1" applyBorder="1" applyAlignment="1">
      <alignment horizontal="center" vertical="center"/>
    </xf>
    <xf numFmtId="0" fontId="23" fillId="9" borderId="9" xfId="0" applyFont="1" applyFill="1" applyBorder="1" applyAlignment="1">
      <alignment vertical="center"/>
    </xf>
    <xf numFmtId="167" fontId="23" fillId="9" borderId="9" xfId="0" applyNumberFormat="1" applyFont="1" applyFill="1" applyBorder="1" applyAlignment="1">
      <alignment horizontal="right" vertical="center"/>
    </xf>
    <xf numFmtId="167" fontId="23" fillId="9" borderId="9" xfId="0" applyNumberFormat="1" applyFont="1" applyFill="1" applyBorder="1" applyAlignment="1">
      <alignment horizontal="center" vertical="center"/>
    </xf>
    <xf numFmtId="0" fontId="23" fillId="9" borderId="1" xfId="0" applyFont="1" applyFill="1" applyBorder="1" applyAlignment="1">
      <alignment horizontal="justify" vertical="center"/>
    </xf>
    <xf numFmtId="43" fontId="23" fillId="0" borderId="2" xfId="1" applyFont="1" applyBorder="1" applyAlignment="1">
      <alignment horizontal="right" vertical="center"/>
    </xf>
    <xf numFmtId="1" fontId="23" fillId="0" borderId="2" xfId="0" applyNumberFormat="1" applyFont="1" applyBorder="1" applyAlignment="1">
      <alignment horizontal="center" vertical="center"/>
    </xf>
    <xf numFmtId="1" fontId="23" fillId="7" borderId="2" xfId="0" applyNumberFormat="1" applyFont="1" applyFill="1" applyBorder="1" applyAlignment="1">
      <alignment horizontal="center" vertical="center"/>
    </xf>
    <xf numFmtId="0" fontId="23" fillId="0" borderId="11" xfId="0" applyFont="1" applyBorder="1" applyAlignment="1">
      <alignment horizontal="center" vertical="center"/>
    </xf>
    <xf numFmtId="10" fontId="23" fillId="7" borderId="2" xfId="0" applyNumberFormat="1" applyFont="1" applyFill="1" applyBorder="1" applyAlignment="1">
      <alignment horizontal="center" vertical="center"/>
    </xf>
    <xf numFmtId="0" fontId="4" fillId="9" borderId="0" xfId="0" applyFont="1" applyFill="1" applyAlignment="1">
      <alignment vertical="center"/>
    </xf>
    <xf numFmtId="0" fontId="4" fillId="9" borderId="0" xfId="0" applyFont="1" applyFill="1" applyAlignment="1">
      <alignment horizontal="center" vertical="center"/>
    </xf>
    <xf numFmtId="43" fontId="23" fillId="0" borderId="8" xfId="1" applyFont="1" applyFill="1" applyBorder="1" applyAlignment="1">
      <alignment horizontal="right" vertical="center"/>
    </xf>
    <xf numFmtId="43" fontId="23" fillId="0" borderId="9" xfId="1" applyFont="1" applyFill="1" applyBorder="1" applyAlignment="1">
      <alignment horizontal="right" vertical="center"/>
    </xf>
    <xf numFmtId="43" fontId="23" fillId="0" borderId="0" xfId="1" applyFont="1" applyFill="1" applyAlignment="1">
      <alignment horizontal="right" vertical="center"/>
    </xf>
    <xf numFmtId="181" fontId="23" fillId="0" borderId="2" xfId="0" applyNumberFormat="1" applyFont="1" applyFill="1" applyBorder="1" applyAlignment="1">
      <alignment horizontal="center" vertical="center" wrapText="1"/>
    </xf>
    <xf numFmtId="43" fontId="9" fillId="0" borderId="6" xfId="1" applyFont="1" applyFill="1" applyBorder="1" applyAlignment="1">
      <alignment horizontal="right" vertical="center" wrapText="1"/>
    </xf>
    <xf numFmtId="43" fontId="23" fillId="0" borderId="11" xfId="1" applyFont="1" applyFill="1" applyBorder="1" applyAlignment="1">
      <alignment horizontal="right" vertical="center"/>
    </xf>
    <xf numFmtId="0" fontId="4" fillId="9" borderId="4" xfId="0" applyFont="1" applyFill="1" applyBorder="1" applyAlignment="1">
      <alignment vertical="center"/>
    </xf>
    <xf numFmtId="43" fontId="4" fillId="9" borderId="5" xfId="1" applyFont="1" applyFill="1" applyBorder="1" applyAlignment="1">
      <alignment vertical="center"/>
    </xf>
    <xf numFmtId="0" fontId="4" fillId="9" borderId="10" xfId="0" applyFont="1" applyFill="1" applyBorder="1" applyAlignment="1">
      <alignment vertical="center"/>
    </xf>
    <xf numFmtId="3" fontId="23" fillId="0" borderId="56" xfId="0" applyNumberFormat="1" applyFont="1" applyFill="1" applyBorder="1" applyAlignment="1">
      <alignment horizontal="center" vertical="center" wrapText="1"/>
    </xf>
    <xf numFmtId="0" fontId="4" fillId="9" borderId="8" xfId="0" applyFont="1" applyFill="1" applyBorder="1" applyAlignment="1">
      <alignment horizontal="justify" vertical="center"/>
    </xf>
    <xf numFmtId="0" fontId="23" fillId="9" borderId="3" xfId="0" applyFont="1" applyFill="1" applyBorder="1" applyAlignment="1">
      <alignment vertical="center"/>
    </xf>
    <xf numFmtId="0" fontId="23" fillId="0" borderId="2" xfId="0" applyFont="1" applyFill="1" applyBorder="1" applyAlignment="1">
      <alignment horizontal="justify" vertical="center"/>
    </xf>
    <xf numFmtId="2" fontId="23" fillId="0" borderId="2" xfId="0" applyNumberFormat="1" applyFont="1" applyFill="1" applyBorder="1" applyAlignment="1">
      <alignment horizontal="center" vertical="center" wrapText="1"/>
    </xf>
    <xf numFmtId="1" fontId="4" fillId="6" borderId="8" xfId="0" applyNumberFormat="1" applyFont="1" applyFill="1" applyBorder="1" applyAlignment="1">
      <alignment horizontal="center" vertical="center"/>
    </xf>
    <xf numFmtId="0" fontId="4" fillId="6" borderId="5" xfId="0" applyFont="1" applyFill="1" applyBorder="1" applyAlignment="1">
      <alignment vertical="center"/>
    </xf>
    <xf numFmtId="0" fontId="23" fillId="6" borderId="0" xfId="0" applyFont="1" applyFill="1" applyAlignment="1">
      <alignment vertical="center"/>
    </xf>
    <xf numFmtId="0" fontId="23" fillId="6" borderId="3" xfId="0" applyFont="1" applyFill="1" applyBorder="1" applyAlignment="1">
      <alignment vertical="center"/>
    </xf>
    <xf numFmtId="0" fontId="23" fillId="6" borderId="3" xfId="0" applyFont="1" applyFill="1" applyBorder="1" applyAlignment="1">
      <alignment horizontal="center" vertical="center"/>
    </xf>
    <xf numFmtId="0" fontId="23" fillId="6" borderId="3" xfId="0" applyFont="1" applyFill="1" applyBorder="1" applyAlignment="1">
      <alignment horizontal="justify" vertical="center"/>
    </xf>
    <xf numFmtId="10" fontId="23" fillId="6" borderId="3" xfId="0" applyNumberFormat="1" applyFont="1" applyFill="1" applyBorder="1" applyAlignment="1">
      <alignment horizontal="center" vertical="center"/>
    </xf>
    <xf numFmtId="43" fontId="23" fillId="6" borderId="3" xfId="1" applyFont="1" applyFill="1" applyBorder="1" applyAlignment="1">
      <alignment vertical="center"/>
    </xf>
    <xf numFmtId="43" fontId="23" fillId="6" borderId="3" xfId="1" applyFont="1" applyFill="1" applyBorder="1" applyAlignment="1">
      <alignment horizontal="center" vertical="center"/>
    </xf>
    <xf numFmtId="1" fontId="23" fillId="6" borderId="3" xfId="0" applyNumberFormat="1" applyFont="1" applyFill="1" applyBorder="1" applyAlignment="1">
      <alignment horizontal="center" vertical="center"/>
    </xf>
    <xf numFmtId="167" fontId="23" fillId="6" borderId="3" xfId="0" applyNumberFormat="1" applyFont="1" applyFill="1" applyBorder="1" applyAlignment="1">
      <alignment horizontal="right" vertical="center"/>
    </xf>
    <xf numFmtId="167" fontId="23" fillId="6" borderId="3" xfId="0" applyNumberFormat="1" applyFont="1" applyFill="1" applyBorder="1" applyAlignment="1">
      <alignment horizontal="center" vertical="center"/>
    </xf>
    <xf numFmtId="0" fontId="23" fillId="6" borderId="12" xfId="0" applyFont="1" applyFill="1" applyBorder="1" applyAlignment="1">
      <alignment horizontal="justify" vertical="center"/>
    </xf>
    <xf numFmtId="0" fontId="4" fillId="20" borderId="2" xfId="0" applyFont="1" applyFill="1" applyBorder="1" applyAlignment="1">
      <alignment horizontal="center" vertical="center"/>
    </xf>
    <xf numFmtId="0" fontId="4" fillId="20" borderId="9" xfId="0" applyFont="1" applyFill="1" applyBorder="1" applyAlignment="1">
      <alignment vertical="center"/>
    </xf>
    <xf numFmtId="0" fontId="4" fillId="20" borderId="9" xfId="0" applyFont="1" applyFill="1" applyBorder="1" applyAlignment="1">
      <alignment horizontal="center" vertical="center"/>
    </xf>
    <xf numFmtId="0" fontId="23" fillId="20" borderId="9" xfId="0" applyFont="1" applyFill="1" applyBorder="1" applyAlignment="1">
      <alignment horizontal="center" vertical="center"/>
    </xf>
    <xf numFmtId="0" fontId="23" fillId="20" borderId="9" xfId="0" applyFont="1" applyFill="1" applyBorder="1" applyAlignment="1">
      <alignment horizontal="justify" vertical="center"/>
    </xf>
    <xf numFmtId="0" fontId="23" fillId="20" borderId="9" xfId="0" applyFont="1" applyFill="1" applyBorder="1" applyAlignment="1">
      <alignment vertical="center"/>
    </xf>
    <xf numFmtId="10" fontId="23" fillId="20" borderId="9" xfId="0" applyNumberFormat="1" applyFont="1" applyFill="1" applyBorder="1" applyAlignment="1">
      <alignment horizontal="center" vertical="center"/>
    </xf>
    <xf numFmtId="43" fontId="23" fillId="20" borderId="9" xfId="1" applyFont="1" applyFill="1" applyBorder="1" applyAlignment="1">
      <alignment vertical="center"/>
    </xf>
    <xf numFmtId="43" fontId="23" fillId="20" borderId="9" xfId="1" applyFont="1" applyFill="1" applyBorder="1" applyAlignment="1">
      <alignment horizontal="center" vertical="center"/>
    </xf>
    <xf numFmtId="1" fontId="23" fillId="20" borderId="9" xfId="0" applyNumberFormat="1" applyFont="1" applyFill="1" applyBorder="1" applyAlignment="1">
      <alignment horizontal="center" vertical="center"/>
    </xf>
    <xf numFmtId="167" fontId="23" fillId="20" borderId="9" xfId="0" applyNumberFormat="1" applyFont="1" applyFill="1" applyBorder="1" applyAlignment="1">
      <alignment horizontal="right" vertical="center"/>
    </xf>
    <xf numFmtId="167" fontId="23" fillId="20" borderId="9" xfId="0" applyNumberFormat="1" applyFont="1" applyFill="1" applyBorder="1" applyAlignment="1">
      <alignment horizontal="center" vertical="center"/>
    </xf>
    <xf numFmtId="0" fontId="23" fillId="20" borderId="1" xfId="0" applyFont="1" applyFill="1" applyBorder="1" applyAlignment="1">
      <alignment horizontal="justify" vertical="center"/>
    </xf>
    <xf numFmtId="0" fontId="4" fillId="9" borderId="8" xfId="0" applyFont="1" applyFill="1" applyBorder="1" applyAlignment="1">
      <alignment vertical="center"/>
    </xf>
    <xf numFmtId="1" fontId="23" fillId="0" borderId="2" xfId="0" applyNumberFormat="1" applyFont="1" applyBorder="1" applyAlignment="1">
      <alignment horizontal="center" vertical="center" wrapText="1"/>
    </xf>
    <xf numFmtId="2" fontId="23" fillId="0" borderId="2" xfId="0" applyNumberFormat="1" applyFont="1" applyBorder="1" applyAlignment="1">
      <alignment horizontal="center" vertical="center" wrapText="1"/>
    </xf>
    <xf numFmtId="2" fontId="23" fillId="7" borderId="2" xfId="0" applyNumberFormat="1" applyFont="1" applyFill="1" applyBorder="1" applyAlignment="1">
      <alignment horizontal="center" vertical="center" wrapText="1"/>
    </xf>
    <xf numFmtId="1" fontId="4" fillId="0" borderId="2" xfId="0" applyNumberFormat="1" applyFont="1" applyBorder="1" applyAlignment="1">
      <alignment vertical="center"/>
    </xf>
    <xf numFmtId="0" fontId="4" fillId="7" borderId="2" xfId="0" applyFont="1" applyFill="1" applyBorder="1" applyAlignment="1">
      <alignment horizontal="justify" vertical="center"/>
    </xf>
    <xf numFmtId="0" fontId="7" fillId="7" borderId="2" xfId="0" applyFont="1" applyFill="1" applyBorder="1" applyAlignment="1">
      <alignment vertical="center" wrapText="1"/>
    </xf>
    <xf numFmtId="0" fontId="4" fillId="7" borderId="2" xfId="0" applyFont="1" applyFill="1" applyBorder="1" applyAlignment="1">
      <alignment vertical="center"/>
    </xf>
    <xf numFmtId="0" fontId="4" fillId="7" borderId="2" xfId="0" applyFont="1" applyFill="1" applyBorder="1" applyAlignment="1">
      <alignment horizontal="center" vertical="center"/>
    </xf>
    <xf numFmtId="10" fontId="4" fillId="7" borderId="2" xfId="0" applyNumberFormat="1" applyFont="1" applyFill="1" applyBorder="1" applyAlignment="1">
      <alignment horizontal="center" vertical="center"/>
    </xf>
    <xf numFmtId="43" fontId="4" fillId="7" borderId="2" xfId="1" applyFont="1" applyFill="1" applyBorder="1" applyAlignment="1">
      <alignment horizontal="center" vertical="center"/>
    </xf>
    <xf numFmtId="0" fontId="7" fillId="7" borderId="2" xfId="0" applyFont="1" applyFill="1" applyBorder="1" applyAlignment="1">
      <alignment horizontal="justify" vertical="center" wrapText="1"/>
    </xf>
    <xf numFmtId="43" fontId="4" fillId="7" borderId="2" xfId="1" applyFont="1" applyFill="1" applyBorder="1" applyAlignment="1">
      <alignment horizontal="right" vertical="center"/>
    </xf>
    <xf numFmtId="1" fontId="4" fillId="7" borderId="2" xfId="0" applyNumberFormat="1" applyFont="1" applyFill="1" applyBorder="1" applyAlignment="1">
      <alignment horizontal="center" vertical="center"/>
    </xf>
    <xf numFmtId="169" fontId="4" fillId="7" borderId="2" xfId="0" applyNumberFormat="1" applyFont="1" applyFill="1" applyBorder="1" applyAlignment="1">
      <alignment horizontal="right" vertical="center"/>
    </xf>
    <xf numFmtId="0" fontId="4" fillId="0" borderId="8" xfId="0" applyFont="1" applyBorder="1" applyAlignment="1">
      <alignment vertical="center"/>
    </xf>
    <xf numFmtId="0" fontId="23" fillId="0" borderId="2" xfId="0" applyFont="1" applyBorder="1" applyAlignment="1">
      <alignment vertical="center"/>
    </xf>
    <xf numFmtId="0" fontId="23" fillId="0" borderId="2" xfId="0" applyFont="1" applyBorder="1" applyAlignment="1">
      <alignment vertical="center" wrapText="1"/>
    </xf>
    <xf numFmtId="167" fontId="23" fillId="0" borderId="2" xfId="0" applyNumberFormat="1" applyFont="1" applyBorder="1" applyAlignment="1">
      <alignment vertical="center"/>
    </xf>
    <xf numFmtId="0" fontId="4" fillId="0" borderId="1" xfId="0" applyFont="1" applyBorder="1" applyAlignment="1">
      <alignment horizontal="justify" vertical="center"/>
    </xf>
    <xf numFmtId="1" fontId="23" fillId="0" borderId="0" xfId="0" applyNumberFormat="1" applyFont="1" applyAlignment="1">
      <alignment vertical="center"/>
    </xf>
    <xf numFmtId="10" fontId="23" fillId="7" borderId="0" xfId="0" applyNumberFormat="1" applyFont="1" applyFill="1" applyAlignment="1">
      <alignment horizontal="center" vertical="center"/>
    </xf>
    <xf numFmtId="0" fontId="23" fillId="0" borderId="0" xfId="0" applyFont="1" applyBorder="1" applyAlignment="1">
      <alignment vertical="center"/>
    </xf>
    <xf numFmtId="0" fontId="23" fillId="0" borderId="0" xfId="0" applyFont="1" applyBorder="1" applyAlignment="1">
      <alignment vertical="center" wrapText="1"/>
    </xf>
    <xf numFmtId="167" fontId="23" fillId="0" borderId="0" xfId="0" applyNumberFormat="1" applyFont="1" applyBorder="1" applyAlignment="1">
      <alignment vertical="center"/>
    </xf>
    <xf numFmtId="3" fontId="32" fillId="0" borderId="0" xfId="16" applyNumberFormat="1" applyFont="1" applyAlignment="1">
      <alignment horizontal="center" vertical="center"/>
    </xf>
    <xf numFmtId="3" fontId="32" fillId="0" borderId="0" xfId="0" applyNumberFormat="1" applyFont="1" applyAlignment="1">
      <alignment horizontal="center" vertical="center"/>
    </xf>
    <xf numFmtId="166" fontId="32" fillId="0" borderId="0" xfId="16" applyNumberFormat="1" applyFont="1" applyAlignment="1">
      <alignment horizontal="center" vertical="center"/>
    </xf>
    <xf numFmtId="167" fontId="23" fillId="0" borderId="0" xfId="0" applyNumberFormat="1" applyFont="1" applyAlignment="1">
      <alignment horizontal="center" vertical="center"/>
    </xf>
    <xf numFmtId="0" fontId="4" fillId="7" borderId="0" xfId="0" applyFont="1" applyFill="1" applyAlignment="1">
      <alignment horizontal="center" vertical="center"/>
    </xf>
    <xf numFmtId="0" fontId="7" fillId="0" borderId="56" xfId="0" applyFont="1" applyBorder="1"/>
    <xf numFmtId="0" fontId="7" fillId="0" borderId="57" xfId="0" applyFont="1" applyBorder="1"/>
    <xf numFmtId="0" fontId="7" fillId="0" borderId="2" xfId="0" applyFont="1" applyBorder="1" applyAlignment="1">
      <alignment horizontal="left"/>
    </xf>
    <xf numFmtId="164" fontId="7" fillId="0" borderId="34" xfId="0" applyNumberFormat="1" applyFont="1" applyBorder="1" applyAlignment="1">
      <alignment horizontal="left"/>
    </xf>
    <xf numFmtId="0" fontId="7" fillId="0" borderId="2" xfId="0" applyFont="1" applyBorder="1"/>
    <xf numFmtId="17" fontId="7" fillId="0" borderId="34" xfId="0" applyNumberFormat="1" applyFont="1" applyBorder="1" applyAlignment="1">
      <alignment horizontal="left"/>
    </xf>
    <xf numFmtId="0" fontId="7" fillId="0" borderId="2" xfId="0" applyFont="1" applyBorder="1" applyAlignment="1">
      <alignment vertical="center"/>
    </xf>
    <xf numFmtId="3" fontId="7" fillId="2" borderId="34" xfId="0" applyNumberFormat="1" applyFont="1" applyFill="1" applyBorder="1" applyAlignment="1">
      <alignment horizontal="left" vertical="center" wrapText="1"/>
    </xf>
    <xf numFmtId="182" fontId="7" fillId="0" borderId="9" xfId="17" applyFont="1" applyBorder="1" applyAlignment="1">
      <alignment horizontal="justify" vertical="center"/>
    </xf>
    <xf numFmtId="9" fontId="7" fillId="0" borderId="9" xfId="2" applyFont="1" applyBorder="1" applyAlignment="1">
      <alignment horizontal="center" vertical="center"/>
    </xf>
    <xf numFmtId="182" fontId="7" fillId="3" borderId="2" xfId="17" applyFont="1" applyFill="1" applyBorder="1" applyAlignment="1">
      <alignment vertical="center" wrapText="1"/>
    </xf>
    <xf numFmtId="165" fontId="7" fillId="3" borderId="2" xfId="0" applyNumberFormat="1" applyFont="1" applyFill="1" applyBorder="1" applyAlignment="1">
      <alignment horizontal="center" vertical="center" wrapText="1"/>
    </xf>
    <xf numFmtId="1" fontId="7" fillId="21" borderId="8" xfId="0" applyNumberFormat="1" applyFont="1" applyFill="1" applyBorder="1" applyAlignment="1">
      <alignment horizontal="left" vertical="center" wrapText="1"/>
    </xf>
    <xf numFmtId="0" fontId="7" fillId="21" borderId="9" xfId="0" applyFont="1" applyFill="1" applyBorder="1" applyAlignment="1">
      <alignment vertical="center"/>
    </xf>
    <xf numFmtId="0" fontId="7" fillId="21" borderId="9" xfId="0" applyFont="1" applyFill="1" applyBorder="1" applyAlignment="1">
      <alignment horizontal="justify" vertical="center"/>
    </xf>
    <xf numFmtId="0" fontId="7" fillId="21" borderId="9" xfId="0" applyFont="1" applyFill="1" applyBorder="1" applyAlignment="1">
      <alignment horizontal="center" vertical="center"/>
    </xf>
    <xf numFmtId="170" fontId="7" fillId="21" borderId="9" xfId="0" applyNumberFormat="1" applyFont="1" applyFill="1" applyBorder="1" applyAlignment="1">
      <alignment horizontal="center" vertical="center"/>
    </xf>
    <xf numFmtId="169" fontId="7" fillId="21" borderId="9" xfId="0" applyNumberFormat="1" applyFont="1" applyFill="1" applyBorder="1" applyAlignment="1">
      <alignment vertical="center"/>
    </xf>
    <xf numFmtId="182" fontId="7" fillId="21" borderId="9" xfId="17" applyFont="1" applyFill="1" applyBorder="1" applyAlignment="1">
      <alignment vertical="center"/>
    </xf>
    <xf numFmtId="1" fontId="7" fillId="21" borderId="9" xfId="0" applyNumberFormat="1" applyFont="1" applyFill="1" applyBorder="1" applyAlignment="1">
      <alignment horizontal="center" vertical="center"/>
    </xf>
    <xf numFmtId="167" fontId="7" fillId="21" borderId="9" xfId="0" applyNumberFormat="1" applyFont="1" applyFill="1" applyBorder="1" applyAlignment="1">
      <alignment horizontal="left" vertical="center"/>
    </xf>
    <xf numFmtId="182" fontId="7" fillId="21" borderId="9" xfId="17" applyFont="1" applyFill="1" applyBorder="1" applyAlignment="1">
      <alignment horizontal="justify" vertical="center"/>
    </xf>
    <xf numFmtId="9" fontId="7" fillId="21" borderId="2" xfId="2" applyFont="1" applyFill="1" applyBorder="1" applyAlignment="1">
      <alignment horizontal="left" vertical="center"/>
    </xf>
    <xf numFmtId="167" fontId="7" fillId="21" borderId="9" xfId="0" applyNumberFormat="1" applyFont="1" applyFill="1" applyBorder="1" applyAlignment="1">
      <alignment vertical="center"/>
    </xf>
    <xf numFmtId="0" fontId="7" fillId="21" borderId="1" xfId="0" applyFont="1" applyFill="1" applyBorder="1" applyAlignment="1">
      <alignment horizontal="justify" vertical="center"/>
    </xf>
    <xf numFmtId="0" fontId="9" fillId="7" borderId="4" xfId="0" applyFont="1" applyFill="1" applyBorder="1" applyAlignment="1">
      <alignment vertical="center" wrapText="1"/>
    </xf>
    <xf numFmtId="0" fontId="9" fillId="7" borderId="5" xfId="0" applyFont="1" applyFill="1" applyBorder="1" applyAlignment="1">
      <alignment vertical="center" wrapText="1"/>
    </xf>
    <xf numFmtId="0" fontId="9" fillId="7" borderId="10" xfId="0" applyFont="1" applyFill="1" applyBorder="1" applyAlignment="1">
      <alignment vertical="center" wrapText="1"/>
    </xf>
    <xf numFmtId="1" fontId="7" fillId="22" borderId="7" xfId="0" applyNumberFormat="1" applyFont="1" applyFill="1" applyBorder="1" applyAlignment="1">
      <alignment horizontal="center" vertical="center"/>
    </xf>
    <xf numFmtId="0" fontId="7" fillId="22" borderId="3" xfId="0" applyFont="1" applyFill="1" applyBorder="1" applyAlignment="1">
      <alignment vertical="center"/>
    </xf>
    <xf numFmtId="0" fontId="7" fillId="22" borderId="3" xfId="0" applyFont="1" applyFill="1" applyBorder="1" applyAlignment="1">
      <alignment horizontal="justify" vertical="center"/>
    </xf>
    <xf numFmtId="0" fontId="7" fillId="22" borderId="3" xfId="0" applyFont="1" applyFill="1" applyBorder="1" applyAlignment="1">
      <alignment horizontal="center" vertical="center"/>
    </xf>
    <xf numFmtId="170" fontId="7" fillId="22" borderId="3" xfId="0" applyNumberFormat="1" applyFont="1" applyFill="1" applyBorder="1" applyAlignment="1">
      <alignment horizontal="center" vertical="center"/>
    </xf>
    <xf numFmtId="169" fontId="7" fillId="22" borderId="3" xfId="0" applyNumberFormat="1" applyFont="1" applyFill="1" applyBorder="1" applyAlignment="1">
      <alignment vertical="center"/>
    </xf>
    <xf numFmtId="182" fontId="7" fillId="22" borderId="3" xfId="17" applyFont="1" applyFill="1" applyBorder="1" applyAlignment="1">
      <alignment vertical="center"/>
    </xf>
    <xf numFmtId="1" fontId="7" fillId="22" borderId="3" xfId="0" applyNumberFormat="1" applyFont="1" applyFill="1" applyBorder="1" applyAlignment="1">
      <alignment horizontal="center" vertical="center"/>
    </xf>
    <xf numFmtId="167" fontId="7" fillId="22" borderId="3" xfId="0" applyNumberFormat="1" applyFont="1" applyFill="1" applyBorder="1" applyAlignment="1">
      <alignment horizontal="left" vertical="center"/>
    </xf>
    <xf numFmtId="182" fontId="7" fillId="22" borderId="3" xfId="17" applyFont="1" applyFill="1" applyBorder="1" applyAlignment="1">
      <alignment horizontal="justify" vertical="center"/>
    </xf>
    <xf numFmtId="9" fontId="7" fillId="22" borderId="3" xfId="2" applyFont="1" applyFill="1" applyBorder="1" applyAlignment="1">
      <alignment horizontal="left" vertical="center"/>
    </xf>
    <xf numFmtId="167" fontId="7" fillId="22" borderId="2" xfId="0" applyNumberFormat="1" applyFont="1" applyFill="1" applyBorder="1" applyAlignment="1">
      <alignment horizontal="left" vertical="center"/>
    </xf>
    <xf numFmtId="167" fontId="7" fillId="22" borderId="3" xfId="0" applyNumberFormat="1" applyFont="1" applyFill="1" applyBorder="1" applyAlignment="1">
      <alignment vertical="center"/>
    </xf>
    <xf numFmtId="0" fontId="7" fillId="22" borderId="12" xfId="0" applyFont="1" applyFill="1" applyBorder="1" applyAlignment="1">
      <alignment horizontal="justify" vertical="center"/>
    </xf>
    <xf numFmtId="1" fontId="7" fillId="23" borderId="8" xfId="0" applyNumberFormat="1" applyFont="1" applyFill="1" applyBorder="1" applyAlignment="1">
      <alignment horizontal="left" vertical="center" wrapText="1" indent="1"/>
    </xf>
    <xf numFmtId="0" fontId="7" fillId="23" borderId="9" xfId="0" applyFont="1" applyFill="1" applyBorder="1" applyAlignment="1">
      <alignment vertical="center"/>
    </xf>
    <xf numFmtId="0" fontId="7" fillId="23" borderId="9" xfId="0" applyFont="1" applyFill="1" applyBorder="1" applyAlignment="1">
      <alignment horizontal="justify" vertical="center"/>
    </xf>
    <xf numFmtId="0" fontId="7" fillId="23" borderId="5" xfId="0" applyFont="1" applyFill="1" applyBorder="1" applyAlignment="1">
      <alignment horizontal="center" vertical="center"/>
    </xf>
    <xf numFmtId="0" fontId="7" fillId="23" borderId="9" xfId="0" applyFont="1" applyFill="1" applyBorder="1" applyAlignment="1">
      <alignment horizontal="center" vertical="center"/>
    </xf>
    <xf numFmtId="170" fontId="7" fillId="23" borderId="9" xfId="0" applyNumberFormat="1" applyFont="1" applyFill="1" applyBorder="1" applyAlignment="1">
      <alignment horizontal="center" vertical="center"/>
    </xf>
    <xf numFmtId="169" fontId="7" fillId="23" borderId="9" xfId="0" applyNumberFormat="1" applyFont="1" applyFill="1" applyBorder="1" applyAlignment="1">
      <alignment vertical="center"/>
    </xf>
    <xf numFmtId="182" fontId="7" fillId="23" borderId="9" xfId="17" applyFont="1" applyFill="1" applyBorder="1" applyAlignment="1">
      <alignment vertical="center"/>
    </xf>
    <xf numFmtId="1" fontId="7" fillId="23" borderId="9" xfId="0" applyNumberFormat="1" applyFont="1" applyFill="1" applyBorder="1" applyAlignment="1">
      <alignment horizontal="center" vertical="center"/>
    </xf>
    <xf numFmtId="167" fontId="7" fillId="23" borderId="9" xfId="0" applyNumberFormat="1" applyFont="1" applyFill="1" applyBorder="1" applyAlignment="1">
      <alignment horizontal="left" vertical="center"/>
    </xf>
    <xf numFmtId="182" fontId="7" fillId="23" borderId="9" xfId="17" applyFont="1" applyFill="1" applyBorder="1" applyAlignment="1">
      <alignment horizontal="justify" vertical="center"/>
    </xf>
    <xf numFmtId="9" fontId="7" fillId="23" borderId="9" xfId="2" applyFont="1" applyFill="1" applyBorder="1" applyAlignment="1">
      <alignment horizontal="left" vertical="center"/>
    </xf>
    <xf numFmtId="167" fontId="7" fillId="23" borderId="2" xfId="0" applyNumberFormat="1" applyFont="1" applyFill="1" applyBorder="1" applyAlignment="1">
      <alignment horizontal="left" vertical="center"/>
    </xf>
    <xf numFmtId="167" fontId="7" fillId="23" borderId="9" xfId="0" applyNumberFormat="1" applyFont="1" applyFill="1" applyBorder="1" applyAlignment="1">
      <alignment vertical="center"/>
    </xf>
    <xf numFmtId="0" fontId="7" fillId="23" borderId="1" xfId="0" applyFont="1" applyFill="1" applyBorder="1" applyAlignment="1">
      <alignment horizontal="justify" vertical="center"/>
    </xf>
    <xf numFmtId="1" fontId="9" fillId="7" borderId="6" xfId="0" applyNumberFormat="1"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13" xfId="0" applyFont="1" applyFill="1" applyBorder="1" applyAlignment="1">
      <alignment horizontal="center" vertical="center"/>
    </xf>
    <xf numFmtId="0" fontId="9" fillId="7" borderId="8"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7" xfId="0" applyFont="1" applyFill="1" applyBorder="1" applyAlignment="1">
      <alignment horizontal="justify" vertical="center" wrapText="1"/>
    </xf>
    <xf numFmtId="169" fontId="7" fillId="23" borderId="9" xfId="0" applyNumberFormat="1" applyFont="1" applyFill="1" applyBorder="1" applyAlignment="1">
      <alignment horizontal="center" vertical="center"/>
    </xf>
    <xf numFmtId="9" fontId="9" fillId="23" borderId="9" xfId="2" applyFont="1" applyFill="1" applyBorder="1" applyAlignment="1">
      <alignment vertical="center"/>
    </xf>
    <xf numFmtId="0" fontId="9" fillId="23" borderId="9" xfId="0" applyFont="1" applyFill="1" applyBorder="1" applyAlignment="1">
      <alignment vertical="center"/>
    </xf>
    <xf numFmtId="0" fontId="9" fillId="23" borderId="1" xfId="0" applyFont="1" applyFill="1" applyBorder="1" applyAlignment="1">
      <alignment horizontal="justify" vertical="center"/>
    </xf>
    <xf numFmtId="0" fontId="7" fillId="23" borderId="0" xfId="0" applyFont="1" applyFill="1" applyBorder="1" applyAlignment="1">
      <alignment horizontal="center" vertical="center"/>
    </xf>
    <xf numFmtId="0" fontId="9" fillId="7" borderId="6" xfId="0" applyFont="1" applyFill="1" applyBorder="1" applyAlignment="1">
      <alignment horizontal="center" vertical="center"/>
    </xf>
    <xf numFmtId="182" fontId="9" fillId="7" borderId="0" xfId="17" applyFont="1" applyFill="1" applyAlignment="1">
      <alignment vertical="center"/>
    </xf>
    <xf numFmtId="0" fontId="9" fillId="7" borderId="56" xfId="0" applyFont="1" applyFill="1" applyBorder="1" applyAlignment="1">
      <alignment horizontal="center" vertical="center" wrapText="1"/>
    </xf>
    <xf numFmtId="0" fontId="9" fillId="0" borderId="13" xfId="0" applyFont="1" applyBorder="1" applyAlignment="1">
      <alignment horizontal="center" vertical="center"/>
    </xf>
    <xf numFmtId="0" fontId="9" fillId="7" borderId="0" xfId="0" applyFont="1" applyFill="1" applyAlignment="1">
      <alignment vertical="center"/>
    </xf>
    <xf numFmtId="1" fontId="9" fillId="0" borderId="8" xfId="0" applyNumberFormat="1" applyFont="1" applyBorder="1"/>
    <xf numFmtId="0" fontId="9" fillId="0" borderId="9" xfId="0" applyFont="1" applyBorder="1"/>
    <xf numFmtId="0" fontId="9" fillId="7" borderId="9" xfId="0" applyFont="1" applyFill="1" applyBorder="1" applyAlignment="1">
      <alignment horizontal="justify" vertical="center"/>
    </xf>
    <xf numFmtId="0" fontId="9" fillId="7" borderId="9" xfId="0" applyFont="1" applyFill="1" applyBorder="1" applyAlignment="1">
      <alignment horizontal="justify"/>
    </xf>
    <xf numFmtId="0" fontId="9" fillId="7" borderId="9" xfId="0" applyFont="1" applyFill="1" applyBorder="1"/>
    <xf numFmtId="0" fontId="9" fillId="7" borderId="3" xfId="0" applyFont="1" applyFill="1" applyBorder="1" applyAlignment="1">
      <alignment horizontal="center"/>
    </xf>
    <xf numFmtId="0" fontId="9" fillId="7" borderId="9" xfId="0" applyFont="1" applyFill="1" applyBorder="1" applyAlignment="1">
      <alignment horizontal="center"/>
    </xf>
    <xf numFmtId="170" fontId="9" fillId="7" borderId="9" xfId="0" applyNumberFormat="1" applyFont="1" applyFill="1" applyBorder="1" applyAlignment="1">
      <alignment horizontal="center" vertical="center"/>
    </xf>
    <xf numFmtId="0" fontId="9" fillId="7" borderId="1" xfId="0" applyFont="1" applyFill="1" applyBorder="1" applyAlignment="1">
      <alignment horizontal="justify" vertical="center"/>
    </xf>
    <xf numFmtId="1" fontId="9" fillId="7" borderId="8" xfId="0" applyNumberFormat="1" applyFont="1" applyFill="1" applyBorder="1" applyAlignment="1">
      <alignment horizontal="center" vertical="center"/>
    </xf>
    <xf numFmtId="0" fontId="9" fillId="7" borderId="9" xfId="0" applyFont="1" applyFill="1" applyBorder="1" applyAlignment="1">
      <alignment horizontal="center" vertical="center"/>
    </xf>
    <xf numFmtId="0" fontId="9" fillId="0" borderId="1" xfId="0" applyFont="1" applyBorder="1"/>
    <xf numFmtId="9" fontId="9" fillId="0" borderId="8" xfId="2" applyFont="1" applyBorder="1"/>
    <xf numFmtId="167" fontId="9" fillId="0" borderId="9" xfId="0" applyNumberFormat="1" applyFont="1" applyBorder="1" applyAlignment="1">
      <alignment horizontal="right" vertical="center"/>
    </xf>
    <xf numFmtId="167" fontId="9" fillId="0" borderId="9" xfId="0" applyNumberFormat="1" applyFont="1" applyBorder="1" applyAlignment="1">
      <alignment horizontal="center"/>
    </xf>
    <xf numFmtId="0" fontId="9" fillId="0" borderId="9" xfId="0" applyFont="1" applyBorder="1" applyAlignment="1">
      <alignment horizontal="justify" vertical="center"/>
    </xf>
    <xf numFmtId="169" fontId="9" fillId="7" borderId="0" xfId="0" applyNumberFormat="1" applyFont="1" applyFill="1" applyAlignment="1">
      <alignment vertical="center"/>
    </xf>
    <xf numFmtId="182" fontId="9" fillId="0" borderId="0" xfId="17" applyFont="1" applyAlignment="1">
      <alignment horizontal="justify"/>
    </xf>
    <xf numFmtId="9" fontId="9" fillId="0" borderId="0" xfId="2" applyFont="1"/>
    <xf numFmtId="167" fontId="9" fillId="0" borderId="0" xfId="0" applyNumberFormat="1" applyFont="1" applyAlignment="1">
      <alignment horizontal="right" vertical="center"/>
    </xf>
    <xf numFmtId="167" fontId="9" fillId="0" borderId="0" xfId="0" applyNumberFormat="1" applyFont="1" applyAlignment="1">
      <alignment horizontal="center"/>
    </xf>
    <xf numFmtId="169" fontId="9" fillId="7" borderId="0" xfId="0" applyNumberFormat="1" applyFont="1" applyFill="1" applyAlignment="1">
      <alignment horizontal="justify" vertical="center"/>
    </xf>
    <xf numFmtId="43" fontId="7" fillId="23" borderId="9" xfId="1" applyFont="1" applyFill="1" applyBorder="1" applyAlignment="1">
      <alignment vertical="center"/>
    </xf>
    <xf numFmtId="43" fontId="7" fillId="22" borderId="3" xfId="1" applyFont="1" applyFill="1" applyBorder="1" applyAlignment="1">
      <alignment vertical="center"/>
    </xf>
    <xf numFmtId="43" fontId="7" fillId="7" borderId="9" xfId="1" applyFont="1" applyFill="1" applyBorder="1" applyAlignment="1">
      <alignment vertical="center"/>
    </xf>
    <xf numFmtId="43" fontId="9" fillId="7" borderId="6" xfId="1" applyFont="1" applyFill="1" applyBorder="1" applyAlignment="1">
      <alignment vertical="center" wrapText="1"/>
    </xf>
    <xf numFmtId="43" fontId="9" fillId="10" borderId="6" xfId="1" applyFont="1" applyFill="1" applyBorder="1" applyAlignment="1" applyProtection="1">
      <alignment vertical="center" wrapText="1"/>
      <protection locked="0"/>
    </xf>
    <xf numFmtId="43" fontId="9" fillId="10" borderId="2" xfId="1" applyFont="1" applyFill="1" applyBorder="1" applyAlignment="1" applyProtection="1">
      <alignment vertical="center" wrapText="1"/>
      <protection locked="0"/>
    </xf>
    <xf numFmtId="43" fontId="9" fillId="7" borderId="2" xfId="1" applyFont="1" applyFill="1" applyBorder="1" applyAlignment="1">
      <alignment vertical="center"/>
    </xf>
    <xf numFmtId="43" fontId="9" fillId="0" borderId="2" xfId="1" applyFont="1" applyFill="1" applyBorder="1" applyAlignment="1" applyProtection="1">
      <alignment vertical="center" wrapText="1"/>
      <protection locked="0"/>
    </xf>
    <xf numFmtId="43" fontId="9" fillId="10" borderId="11" xfId="1" applyFont="1" applyFill="1" applyBorder="1" applyAlignment="1" applyProtection="1">
      <alignment vertical="center" wrapText="1"/>
      <protection locked="0"/>
    </xf>
    <xf numFmtId="43" fontId="9" fillId="7" borderId="56" xfId="1" applyFont="1" applyFill="1" applyBorder="1" applyAlignment="1">
      <alignment vertical="center" wrapText="1"/>
    </xf>
    <xf numFmtId="43" fontId="9" fillId="0" borderId="2" xfId="1" applyFont="1" applyBorder="1" applyAlignment="1">
      <alignment vertical="center"/>
    </xf>
    <xf numFmtId="43" fontId="7" fillId="7" borderId="8" xfId="1" applyFont="1" applyFill="1" applyBorder="1" applyAlignment="1">
      <alignment vertical="center"/>
    </xf>
    <xf numFmtId="0" fontId="6" fillId="0" borderId="0" xfId="0" applyFont="1" applyAlignment="1">
      <alignment horizontal="justify"/>
    </xf>
    <xf numFmtId="0" fontId="5" fillId="0" borderId="0" xfId="0" applyFont="1" applyAlignment="1">
      <alignment horizontal="justify"/>
    </xf>
    <xf numFmtId="0" fontId="5" fillId="0" borderId="2" xfId="0" applyFont="1" applyFill="1" applyBorder="1" applyAlignment="1">
      <alignment horizontal="justify" vertical="center" wrapText="1"/>
    </xf>
    <xf numFmtId="0" fontId="5" fillId="0" borderId="2" xfId="0" applyFont="1" applyBorder="1" applyAlignment="1">
      <alignment horizontal="justify" vertical="center" wrapText="1"/>
    </xf>
    <xf numFmtId="0" fontId="6" fillId="0" borderId="5" xfId="0" applyFont="1" applyBorder="1" applyAlignment="1">
      <alignment horizontal="center" vertical="center"/>
    </xf>
    <xf numFmtId="0" fontId="6" fillId="3" borderId="2" xfId="0" applyFont="1" applyFill="1" applyBorder="1" applyAlignment="1">
      <alignment horizontal="center" vertical="center" wrapText="1"/>
    </xf>
    <xf numFmtId="0" fontId="23" fillId="0" borderId="2" xfId="0" applyFont="1" applyBorder="1" applyAlignment="1">
      <alignment horizontal="justify" vertical="center" wrapText="1"/>
    </xf>
    <xf numFmtId="0" fontId="22" fillId="7" borderId="0" xfId="0" applyFont="1" applyFill="1" applyAlignment="1">
      <alignment horizontal="center" vertical="center"/>
    </xf>
    <xf numFmtId="0" fontId="4" fillId="3" borderId="2" xfId="0" applyFont="1" applyFill="1" applyBorder="1" applyAlignment="1">
      <alignment horizontal="center" vertical="center" wrapText="1"/>
    </xf>
    <xf numFmtId="0" fontId="23" fillId="0" borderId="2" xfId="0" applyFont="1" applyFill="1" applyBorder="1" applyAlignment="1">
      <alignment horizontal="justify" vertical="center" wrapText="1"/>
    </xf>
    <xf numFmtId="43" fontId="9" fillId="23" borderId="9" xfId="1" applyFont="1" applyFill="1" applyBorder="1" applyAlignment="1">
      <alignment horizontal="justify" vertical="center"/>
    </xf>
    <xf numFmtId="43" fontId="7" fillId="22" borderId="3" xfId="1" applyFont="1" applyFill="1" applyBorder="1" applyAlignment="1">
      <alignment horizontal="justify" vertical="center"/>
    </xf>
    <xf numFmtId="43" fontId="9" fillId="0" borderId="2" xfId="1" applyFont="1" applyBorder="1" applyAlignment="1">
      <alignment horizontal="justify"/>
    </xf>
    <xf numFmtId="0" fontId="24" fillId="0" borderId="2" xfId="0" applyFont="1" applyBorder="1"/>
    <xf numFmtId="164" fontId="24" fillId="0" borderId="2" xfId="0" applyNumberFormat="1" applyFont="1" applyBorder="1" applyAlignment="1">
      <alignment horizontal="left"/>
    </xf>
    <xf numFmtId="17" fontId="24" fillId="0" borderId="2" xfId="0" applyNumberFormat="1" applyFont="1" applyBorder="1" applyAlignment="1">
      <alignment horizontal="left"/>
    </xf>
    <xf numFmtId="0" fontId="24" fillId="0" borderId="2" xfId="0" applyFont="1" applyBorder="1" applyAlignment="1">
      <alignment vertical="center"/>
    </xf>
    <xf numFmtId="3" fontId="33" fillId="2" borderId="2" xfId="0" applyNumberFormat="1" applyFont="1" applyFill="1" applyBorder="1" applyAlignment="1">
      <alignment horizontal="left" vertical="center" wrapText="1"/>
    </xf>
    <xf numFmtId="0" fontId="24" fillId="0" borderId="5"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vertical="center"/>
    </xf>
    <xf numFmtId="0" fontId="24" fillId="0" borderId="0" xfId="0" applyFont="1" applyAlignment="1">
      <alignment vertical="center"/>
    </xf>
    <xf numFmtId="0" fontId="24" fillId="0" borderId="15" xfId="0" applyFont="1" applyBorder="1" applyAlignment="1">
      <alignment vertical="center"/>
    </xf>
    <xf numFmtId="1" fontId="24" fillId="3" borderId="2"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24" fillId="3" borderId="2" xfId="0" applyNumberFormat="1" applyFont="1" applyFill="1" applyBorder="1" applyAlignment="1">
      <alignment horizontal="center" vertical="center" wrapText="1"/>
    </xf>
    <xf numFmtId="0" fontId="22" fillId="0" borderId="0" xfId="0" applyFont="1" applyAlignment="1"/>
    <xf numFmtId="1" fontId="6" fillId="24" borderId="71" xfId="0" applyNumberFormat="1" applyFont="1" applyFill="1" applyBorder="1" applyAlignment="1">
      <alignment horizontal="left" vertical="center" wrapText="1"/>
    </xf>
    <xf numFmtId="0" fontId="6" fillId="24" borderId="8" xfId="0" applyFont="1" applyFill="1" applyBorder="1" applyAlignment="1">
      <alignment vertical="center"/>
    </xf>
    <xf numFmtId="0" fontId="6" fillId="24" borderId="9" xfId="0" applyFont="1" applyFill="1" applyBorder="1" applyAlignment="1">
      <alignment vertical="center"/>
    </xf>
    <xf numFmtId="0" fontId="6" fillId="24" borderId="9" xfId="0" applyFont="1" applyFill="1" applyBorder="1" applyAlignment="1">
      <alignment horizontal="justify" vertical="center"/>
    </xf>
    <xf numFmtId="0" fontId="6" fillId="24" borderId="9" xfId="0" applyFont="1" applyFill="1" applyBorder="1" applyAlignment="1">
      <alignment horizontal="center" vertical="center"/>
    </xf>
    <xf numFmtId="170" fontId="6" fillId="24" borderId="9" xfId="0" applyNumberFormat="1" applyFont="1" applyFill="1" applyBorder="1" applyAlignment="1">
      <alignment horizontal="center" vertical="center"/>
    </xf>
    <xf numFmtId="169" fontId="6" fillId="24" borderId="9" xfId="0" applyNumberFormat="1" applyFont="1" applyFill="1" applyBorder="1" applyAlignment="1">
      <alignment vertical="center"/>
    </xf>
    <xf numFmtId="169" fontId="6" fillId="24" borderId="9" xfId="0" applyNumberFormat="1" applyFont="1" applyFill="1" applyBorder="1" applyAlignment="1">
      <alignment horizontal="center" vertical="center"/>
    </xf>
    <xf numFmtId="1" fontId="6" fillId="24" borderId="9" xfId="0" applyNumberFormat="1" applyFont="1" applyFill="1" applyBorder="1" applyAlignment="1">
      <alignment horizontal="center" vertical="center"/>
    </xf>
    <xf numFmtId="1" fontId="24" fillId="7" borderId="4" xfId="0" applyNumberFormat="1" applyFont="1" applyFill="1" applyBorder="1" applyAlignment="1">
      <alignment horizontal="center" vertical="center" wrapText="1"/>
    </xf>
    <xf numFmtId="0" fontId="24" fillId="8" borderId="2" xfId="0" applyFont="1" applyFill="1" applyBorder="1" applyAlignment="1">
      <alignment horizontal="center" vertical="center"/>
    </xf>
    <xf numFmtId="0" fontId="24" fillId="8" borderId="9" xfId="0" applyFont="1" applyFill="1" applyBorder="1" applyAlignment="1">
      <alignment vertical="center"/>
    </xf>
    <xf numFmtId="0" fontId="24" fillId="8" borderId="9" xfId="0" applyFont="1" applyFill="1" applyBorder="1" applyAlignment="1">
      <alignment horizontal="justify" vertical="center"/>
    </xf>
    <xf numFmtId="0" fontId="24" fillId="8" borderId="9" xfId="0" applyFont="1" applyFill="1" applyBorder="1" applyAlignment="1">
      <alignment horizontal="center" vertical="center"/>
    </xf>
    <xf numFmtId="170" fontId="24" fillId="8" borderId="9" xfId="0" applyNumberFormat="1" applyFont="1" applyFill="1" applyBorder="1" applyAlignment="1">
      <alignment horizontal="center" vertical="center"/>
    </xf>
    <xf numFmtId="169" fontId="24" fillId="8" borderId="9" xfId="0" applyNumberFormat="1" applyFont="1" applyFill="1" applyBorder="1" applyAlignment="1">
      <alignment vertical="center"/>
    </xf>
    <xf numFmtId="169" fontId="24" fillId="8" borderId="9" xfId="0" applyNumberFormat="1" applyFont="1" applyFill="1" applyBorder="1" applyAlignment="1">
      <alignment horizontal="center" vertical="center"/>
    </xf>
    <xf numFmtId="1" fontId="24" fillId="8" borderId="9" xfId="0" applyNumberFormat="1" applyFont="1" applyFill="1" applyBorder="1" applyAlignment="1">
      <alignment horizontal="center" vertical="center"/>
    </xf>
    <xf numFmtId="167" fontId="24" fillId="8" borderId="9" xfId="0" applyNumberFormat="1" applyFont="1" applyFill="1" applyBorder="1" applyAlignment="1">
      <alignment vertical="center"/>
    </xf>
    <xf numFmtId="0" fontId="24" fillId="8" borderId="1" xfId="0" applyFont="1" applyFill="1" applyBorder="1" applyAlignment="1">
      <alignment horizontal="justify" vertical="center"/>
    </xf>
    <xf numFmtId="1" fontId="24" fillId="7" borderId="14" xfId="0" applyNumberFormat="1" applyFont="1" applyFill="1" applyBorder="1" applyAlignment="1">
      <alignment horizontal="center" vertical="center" wrapText="1"/>
    </xf>
    <xf numFmtId="0" fontId="24" fillId="7" borderId="0" xfId="0" applyFont="1" applyFill="1" applyAlignment="1">
      <alignment horizontal="center" vertical="center" wrapText="1"/>
    </xf>
    <xf numFmtId="0" fontId="24" fillId="7" borderId="4" xfId="0" applyFont="1" applyFill="1" applyBorder="1" applyAlignment="1">
      <alignment horizontal="center" vertical="center" wrapText="1"/>
    </xf>
    <xf numFmtId="0" fontId="24" fillId="9" borderId="2" xfId="0" applyFont="1" applyFill="1" applyBorder="1" applyAlignment="1">
      <alignment horizontal="center" vertical="center"/>
    </xf>
    <xf numFmtId="0" fontId="24" fillId="9" borderId="9" xfId="0" applyFont="1" applyFill="1" applyBorder="1" applyAlignment="1">
      <alignment vertical="center"/>
    </xf>
    <xf numFmtId="0" fontId="24" fillId="9" borderId="9" xfId="0" applyFont="1" applyFill="1" applyBorder="1" applyAlignment="1">
      <alignment horizontal="justify" vertical="center"/>
    </xf>
    <xf numFmtId="0" fontId="24" fillId="9" borderId="9" xfId="0" applyFont="1" applyFill="1" applyBorder="1" applyAlignment="1">
      <alignment horizontal="center" vertical="center"/>
    </xf>
    <xf numFmtId="170" fontId="24" fillId="9" borderId="9" xfId="0" applyNumberFormat="1" applyFont="1" applyFill="1" applyBorder="1" applyAlignment="1">
      <alignment horizontal="center" vertical="center"/>
    </xf>
    <xf numFmtId="169" fontId="24" fillId="9" borderId="9" xfId="0" applyNumberFormat="1" applyFont="1" applyFill="1" applyBorder="1" applyAlignment="1">
      <alignment vertical="center"/>
    </xf>
    <xf numFmtId="169" fontId="24" fillId="9" borderId="9" xfId="0" applyNumberFormat="1" applyFont="1" applyFill="1" applyBorder="1" applyAlignment="1">
      <alignment horizontal="center" vertical="center"/>
    </xf>
    <xf numFmtId="1" fontId="24" fillId="9" borderId="9" xfId="0" applyNumberFormat="1" applyFont="1" applyFill="1" applyBorder="1" applyAlignment="1">
      <alignment horizontal="center" vertical="center"/>
    </xf>
    <xf numFmtId="167" fontId="24" fillId="9" borderId="9" xfId="0" applyNumberFormat="1" applyFont="1" applyFill="1" applyBorder="1" applyAlignment="1">
      <alignment vertical="center"/>
    </xf>
    <xf numFmtId="0" fontId="24" fillId="9" borderId="1" xfId="0" applyFont="1" applyFill="1" applyBorder="1" applyAlignment="1">
      <alignment horizontal="justify" vertical="center"/>
    </xf>
    <xf numFmtId="1" fontId="22" fillId="7" borderId="14" xfId="0" applyNumberFormat="1" applyFont="1" applyFill="1" applyBorder="1" applyAlignment="1">
      <alignment horizontal="center" vertical="center" wrapText="1"/>
    </xf>
    <xf numFmtId="0" fontId="22" fillId="7" borderId="0" xfId="0" applyFont="1" applyFill="1" applyAlignment="1">
      <alignment horizontal="center" vertical="center" wrapText="1"/>
    </xf>
    <xf numFmtId="0" fontId="22" fillId="7" borderId="14" xfId="0" applyFont="1" applyFill="1" applyBorder="1" applyAlignment="1">
      <alignment horizontal="center" vertical="center" wrapText="1"/>
    </xf>
    <xf numFmtId="0" fontId="22" fillId="7" borderId="4" xfId="0" applyFont="1" applyFill="1" applyBorder="1" applyAlignment="1">
      <alignment horizontal="center" vertical="center" wrapText="1"/>
    </xf>
    <xf numFmtId="43" fontId="5" fillId="7" borderId="6" xfId="1" applyFont="1" applyFill="1" applyBorder="1" applyAlignment="1" applyProtection="1">
      <alignment vertical="center"/>
      <protection locked="0"/>
    </xf>
    <xf numFmtId="1" fontId="22" fillId="7" borderId="2" xfId="0" applyNumberFormat="1" applyFont="1" applyFill="1" applyBorder="1" applyAlignment="1">
      <alignment horizontal="center" vertical="center" wrapText="1"/>
    </xf>
    <xf numFmtId="0" fontId="5" fillId="0" borderId="6" xfId="0" applyFont="1" applyBorder="1" applyAlignment="1">
      <alignment vertical="center" wrapText="1"/>
    </xf>
    <xf numFmtId="1" fontId="5" fillId="7" borderId="11" xfId="0" applyNumberFormat="1" applyFont="1" applyFill="1" applyBorder="1" applyAlignment="1">
      <alignment horizontal="center" vertical="center" wrapText="1"/>
    </xf>
    <xf numFmtId="1" fontId="5" fillId="7" borderId="13" xfId="0" applyNumberFormat="1" applyFont="1" applyFill="1" applyBorder="1" applyAlignment="1">
      <alignment horizontal="center" vertical="center" wrapText="1"/>
    </xf>
    <xf numFmtId="1" fontId="22" fillId="7" borderId="7" xfId="0" applyNumberFormat="1" applyFont="1" applyFill="1" applyBorder="1" applyAlignment="1">
      <alignment horizontal="center" vertical="center" wrapText="1"/>
    </xf>
    <xf numFmtId="0" fontId="22" fillId="7" borderId="3" xfId="0" applyFont="1" applyFill="1" applyBorder="1" applyAlignment="1">
      <alignment horizontal="center" vertical="center" wrapText="1"/>
    </xf>
    <xf numFmtId="0" fontId="22" fillId="7" borderId="7" xfId="0" applyFont="1" applyFill="1" applyBorder="1" applyAlignment="1">
      <alignment horizontal="center" vertical="center" wrapText="1"/>
    </xf>
    <xf numFmtId="1" fontId="22" fillId="7" borderId="6" xfId="0" applyNumberFormat="1" applyFont="1" applyFill="1" applyBorder="1" applyAlignment="1">
      <alignment horizontal="center" vertical="center" wrapText="1"/>
    </xf>
    <xf numFmtId="0" fontId="22" fillId="7" borderId="2" xfId="0" applyFont="1" applyFill="1" applyBorder="1" applyAlignment="1">
      <alignment horizontal="justify" vertical="center"/>
    </xf>
    <xf numFmtId="1" fontId="22" fillId="7" borderId="2" xfId="0" applyNumberFormat="1" applyFont="1" applyFill="1" applyBorder="1" applyAlignment="1">
      <alignment horizontal="center" vertical="center"/>
    </xf>
    <xf numFmtId="0" fontId="22" fillId="7" borderId="2" xfId="0" applyFont="1" applyFill="1" applyBorder="1" applyAlignment="1">
      <alignment horizontal="center" vertical="center"/>
    </xf>
    <xf numFmtId="0" fontId="22" fillId="0" borderId="2" xfId="0" applyFont="1" applyBorder="1"/>
    <xf numFmtId="167" fontId="22" fillId="0" borderId="2" xfId="0" applyNumberFormat="1" applyFont="1" applyBorder="1" applyAlignment="1">
      <alignment horizontal="right" vertical="center"/>
    </xf>
    <xf numFmtId="167" fontId="22" fillId="0" borderId="2" xfId="0" applyNumberFormat="1" applyFont="1" applyBorder="1" applyAlignment="1">
      <alignment horizontal="center"/>
    </xf>
    <xf numFmtId="0" fontId="22" fillId="0" borderId="2" xfId="0" applyFont="1" applyBorder="1" applyAlignment="1">
      <alignment horizontal="justify" vertical="center"/>
    </xf>
    <xf numFmtId="183" fontId="35" fillId="25" borderId="0" xfId="2" applyNumberFormat="1" applyFont="1" applyFill="1" applyAlignment="1">
      <alignment horizontal="center" vertical="center"/>
    </xf>
    <xf numFmtId="0" fontId="35" fillId="7" borderId="0" xfId="0" applyFont="1" applyFill="1" applyAlignment="1">
      <alignment horizontal="center" vertical="center"/>
    </xf>
    <xf numFmtId="0" fontId="24" fillId="0" borderId="0" xfId="0" applyFont="1"/>
    <xf numFmtId="0" fontId="20" fillId="0" borderId="34" xfId="0" applyFont="1" applyBorder="1" applyAlignment="1">
      <alignment vertical="center"/>
    </xf>
    <xf numFmtId="0" fontId="20" fillId="0" borderId="34" xfId="0" applyFont="1" applyBorder="1" applyAlignment="1">
      <alignment vertical="center" wrapText="1"/>
    </xf>
    <xf numFmtId="3" fontId="21" fillId="0" borderId="34" xfId="0" applyNumberFormat="1" applyFont="1" applyBorder="1" applyAlignment="1">
      <alignment horizontal="left" vertical="center" wrapText="1"/>
    </xf>
    <xf numFmtId="0" fontId="5" fillId="0" borderId="0" xfId="0" applyFont="1" applyAlignment="1">
      <alignment horizontal="center" vertical="center"/>
    </xf>
    <xf numFmtId="167" fontId="6" fillId="3" borderId="2" xfId="0" applyNumberFormat="1" applyFont="1" applyFill="1" applyBorder="1" applyAlignment="1">
      <alignment horizontal="center" vertical="center" wrapText="1"/>
    </xf>
    <xf numFmtId="167" fontId="6" fillId="4" borderId="2" xfId="0" applyNumberFormat="1" applyFont="1" applyFill="1" applyBorder="1" applyAlignment="1">
      <alignment horizontal="center" vertical="center" wrapText="1"/>
    </xf>
    <xf numFmtId="3" fontId="6" fillId="3" borderId="34" xfId="0" applyNumberFormat="1" applyFont="1" applyFill="1" applyBorder="1" applyAlignment="1">
      <alignment horizontal="center" vertical="center" wrapText="1"/>
    </xf>
    <xf numFmtId="1" fontId="6" fillId="6" borderId="59" xfId="0" applyNumberFormat="1" applyFont="1" applyFill="1" applyBorder="1" applyAlignment="1">
      <alignment horizontal="justify" vertical="center" wrapText="1"/>
    </xf>
    <xf numFmtId="170" fontId="6" fillId="6" borderId="9" xfId="0" applyNumberFormat="1" applyFont="1" applyFill="1" applyBorder="1" applyAlignment="1">
      <alignment horizontal="justify" vertical="center"/>
    </xf>
    <xf numFmtId="169" fontId="6" fillId="6" borderId="9" xfId="0" applyNumberFormat="1" applyFont="1" applyFill="1" applyBorder="1" applyAlignment="1">
      <alignment horizontal="center" vertical="center"/>
    </xf>
    <xf numFmtId="0" fontId="5" fillId="6" borderId="9" xfId="0" applyFont="1" applyFill="1" applyBorder="1" applyAlignment="1">
      <alignment horizontal="justify" vertical="center"/>
    </xf>
    <xf numFmtId="43" fontId="5" fillId="6" borderId="9" xfId="9" applyNumberFormat="1" applyFont="1" applyFill="1" applyBorder="1" applyAlignment="1">
      <alignment horizontal="right" vertical="center"/>
    </xf>
    <xf numFmtId="167" fontId="6" fillId="6" borderId="9" xfId="0" applyNumberFormat="1" applyFont="1" applyFill="1" applyBorder="1" applyAlignment="1">
      <alignment vertical="center"/>
    </xf>
    <xf numFmtId="1" fontId="6" fillId="7" borderId="59" xfId="0" applyNumberFormat="1" applyFont="1" applyFill="1" applyBorder="1" applyAlignment="1">
      <alignment horizontal="justify" vertical="center" wrapText="1"/>
    </xf>
    <xf numFmtId="0" fontId="6" fillId="7" borderId="5" xfId="0" applyFont="1" applyFill="1" applyBorder="1" applyAlignment="1">
      <alignment horizontal="justify" vertical="center" wrapText="1"/>
    </xf>
    <xf numFmtId="0" fontId="6" fillId="7" borderId="10" xfId="0" applyFont="1" applyFill="1" applyBorder="1" applyAlignment="1">
      <alignment horizontal="justify" vertical="center" wrapText="1"/>
    </xf>
    <xf numFmtId="1" fontId="6" fillId="8" borderId="0" xfId="0" applyNumberFormat="1" applyFont="1" applyFill="1" applyBorder="1" applyAlignment="1">
      <alignment horizontal="justify" vertical="center"/>
    </xf>
    <xf numFmtId="170" fontId="6" fillId="8" borderId="3" xfId="0" applyNumberFormat="1" applyFont="1" applyFill="1" applyBorder="1" applyAlignment="1">
      <alignment horizontal="justify" vertical="center"/>
    </xf>
    <xf numFmtId="169" fontId="6" fillId="8" borderId="3" xfId="0" applyNumberFormat="1" applyFont="1" applyFill="1" applyBorder="1" applyAlignment="1">
      <alignment horizontal="center" vertical="center"/>
    </xf>
    <xf numFmtId="0" fontId="5" fillId="8" borderId="3" xfId="0" applyFont="1" applyFill="1" applyBorder="1" applyAlignment="1">
      <alignment horizontal="justify" vertical="center"/>
    </xf>
    <xf numFmtId="43" fontId="5" fillId="8" borderId="3" xfId="9" applyNumberFormat="1" applyFont="1" applyFill="1" applyBorder="1" applyAlignment="1">
      <alignment horizontal="right" vertical="center"/>
    </xf>
    <xf numFmtId="1" fontId="6" fillId="7" borderId="45" xfId="0" applyNumberFormat="1" applyFont="1" applyFill="1" applyBorder="1" applyAlignment="1">
      <alignment horizontal="justify" vertical="center" wrapText="1"/>
    </xf>
    <xf numFmtId="0" fontId="6" fillId="7" borderId="0" xfId="0" applyFont="1" applyFill="1" applyBorder="1" applyAlignment="1">
      <alignment horizontal="justify" vertical="center" wrapText="1"/>
    </xf>
    <xf numFmtId="0" fontId="6" fillId="7" borderId="4" xfId="0" applyFont="1" applyFill="1" applyBorder="1" applyAlignment="1">
      <alignment horizontal="justify" vertical="center" wrapText="1"/>
    </xf>
    <xf numFmtId="1" fontId="6" fillId="9" borderId="4" xfId="0" applyNumberFormat="1" applyFont="1" applyFill="1" applyBorder="1" applyAlignment="1">
      <alignment horizontal="justify" vertical="center" wrapText="1"/>
    </xf>
    <xf numFmtId="170" fontId="6" fillId="9" borderId="5" xfId="0" applyNumberFormat="1" applyFont="1" applyFill="1" applyBorder="1" applyAlignment="1">
      <alignment horizontal="justify" vertical="center"/>
    </xf>
    <xf numFmtId="169" fontId="6" fillId="9" borderId="5" xfId="0" applyNumberFormat="1" applyFont="1" applyFill="1" applyBorder="1" applyAlignment="1">
      <alignment horizontal="center" vertical="center"/>
    </xf>
    <xf numFmtId="0" fontId="5" fillId="9" borderId="5" xfId="0" applyFont="1" applyFill="1" applyBorder="1" applyAlignment="1">
      <alignment horizontal="justify" vertical="center"/>
    </xf>
    <xf numFmtId="43" fontId="5" fillId="9" borderId="5" xfId="9" applyNumberFormat="1" applyFont="1" applyFill="1" applyBorder="1" applyAlignment="1">
      <alignment horizontal="right" vertical="center"/>
    </xf>
    <xf numFmtId="1" fontId="5" fillId="0" borderId="45" xfId="0" applyNumberFormat="1" applyFont="1" applyBorder="1" applyAlignment="1">
      <alignment horizontal="justify" vertical="center" wrapText="1"/>
    </xf>
    <xf numFmtId="0" fontId="5" fillId="0" borderId="0" xfId="0" applyFont="1" applyBorder="1" applyAlignment="1">
      <alignment horizontal="justify" vertical="center" wrapText="1"/>
    </xf>
    <xf numFmtId="0" fontId="5" fillId="0" borderId="72" xfId="0" applyFont="1" applyBorder="1" applyAlignment="1">
      <alignment horizontal="justify" vertical="center" wrapText="1"/>
    </xf>
    <xf numFmtId="0" fontId="5" fillId="0" borderId="54" xfId="0" applyFont="1" applyBorder="1" applyAlignment="1">
      <alignment horizontal="justify" vertical="center" wrapText="1"/>
    </xf>
    <xf numFmtId="0" fontId="5" fillId="0" borderId="55" xfId="0" applyFont="1" applyBorder="1" applyAlignment="1">
      <alignment horizontal="justify" vertical="center" wrapText="1"/>
    </xf>
    <xf numFmtId="3" fontId="22" fillId="0" borderId="56" xfId="0" applyNumberFormat="1" applyFont="1" applyBorder="1" applyAlignment="1">
      <alignment horizontal="justify" vertical="center" wrapText="1"/>
    </xf>
    <xf numFmtId="0" fontId="22" fillId="0" borderId="56" xfId="0" applyFont="1" applyBorder="1" applyAlignment="1">
      <alignment horizontal="justify" vertical="center" wrapText="1"/>
    </xf>
    <xf numFmtId="43" fontId="5" fillId="0" borderId="56" xfId="4" applyFont="1" applyBorder="1" applyAlignment="1">
      <alignment horizontal="right" vertical="center"/>
    </xf>
    <xf numFmtId="1" fontId="5" fillId="0" borderId="56" xfId="0" applyNumberFormat="1" applyFont="1" applyBorder="1" applyAlignment="1">
      <alignment horizontal="center" vertical="center"/>
    </xf>
    <xf numFmtId="1" fontId="5" fillId="0" borderId="56" xfId="0" applyNumberFormat="1" applyFont="1" applyBorder="1" applyAlignment="1">
      <alignment vertical="center" wrapText="1"/>
    </xf>
    <xf numFmtId="0" fontId="5" fillId="0" borderId="14" xfId="0" applyFont="1" applyBorder="1" applyAlignment="1">
      <alignment horizontal="justify" vertical="center" wrapText="1"/>
    </xf>
    <xf numFmtId="0" fontId="5" fillId="0" borderId="15" xfId="0" applyFont="1" applyBorder="1" applyAlignment="1">
      <alignment horizontal="justify" vertical="center" wrapText="1"/>
    </xf>
    <xf numFmtId="0" fontId="22" fillId="7" borderId="2" xfId="19" applyFont="1" applyFill="1" applyBorder="1" applyAlignment="1">
      <alignment horizontal="justify" vertical="center" wrapText="1"/>
    </xf>
    <xf numFmtId="43" fontId="5" fillId="0" borderId="2" xfId="4" applyFont="1" applyBorder="1" applyAlignment="1">
      <alignment horizontal="right" vertical="center"/>
    </xf>
    <xf numFmtId="1" fontId="5" fillId="0" borderId="2" xfId="0" applyNumberFormat="1" applyFont="1" applyBorder="1" applyAlignment="1">
      <alignment horizontal="center" vertical="center"/>
    </xf>
    <xf numFmtId="1" fontId="5" fillId="0" borderId="2" xfId="0" applyNumberFormat="1" applyFont="1" applyBorder="1" applyAlignment="1">
      <alignment vertical="center" wrapText="1"/>
    </xf>
    <xf numFmtId="0" fontId="23" fillId="7" borderId="2" xfId="19" applyFont="1" applyFill="1" applyBorder="1" applyAlignment="1">
      <alignment horizontal="justify" vertical="center" wrapText="1"/>
    </xf>
    <xf numFmtId="4" fontId="9" fillId="0" borderId="2" xfId="19" applyNumberFormat="1" applyFont="1" applyBorder="1" applyAlignment="1">
      <alignment horizontal="right" vertical="center"/>
    </xf>
    <xf numFmtId="3" fontId="9" fillId="0" borderId="2" xfId="19" applyNumberFormat="1" applyFont="1" applyBorder="1" applyAlignment="1">
      <alignment horizontal="right" vertical="center"/>
    </xf>
    <xf numFmtId="0" fontId="5" fillId="0" borderId="7" xfId="0" applyFont="1" applyBorder="1" applyAlignment="1">
      <alignment horizontal="justify" vertical="center" wrapText="1"/>
    </xf>
    <xf numFmtId="1" fontId="5" fillId="7" borderId="45" xfId="0" applyNumberFormat="1" applyFont="1" applyFill="1" applyBorder="1" applyAlignment="1">
      <alignment horizontal="justify"/>
    </xf>
    <xf numFmtId="0" fontId="5" fillId="7" borderId="0" xfId="0" applyFont="1" applyFill="1" applyBorder="1" applyAlignment="1">
      <alignment horizontal="justify"/>
    </xf>
    <xf numFmtId="0" fontId="5" fillId="7" borderId="14" xfId="0" applyFont="1" applyFill="1" applyBorder="1" applyAlignment="1">
      <alignment horizontal="justify"/>
    </xf>
    <xf numFmtId="0" fontId="5" fillId="0" borderId="0" xfId="0" applyFont="1" applyBorder="1" applyAlignment="1">
      <alignment horizontal="justify"/>
    </xf>
    <xf numFmtId="1" fontId="6" fillId="9" borderId="8" xfId="0" applyNumberFormat="1" applyFont="1" applyFill="1" applyBorder="1" applyAlignment="1">
      <alignment horizontal="justify" vertical="center" wrapText="1"/>
    </xf>
    <xf numFmtId="0" fontId="6" fillId="9" borderId="9" xfId="0" applyFont="1" applyFill="1" applyBorder="1" applyAlignment="1">
      <alignment horizontal="justify" vertical="center"/>
    </xf>
    <xf numFmtId="0" fontId="6" fillId="9" borderId="9" xfId="0" applyFont="1" applyFill="1" applyBorder="1" applyAlignment="1">
      <alignment horizontal="center" vertical="center"/>
    </xf>
    <xf numFmtId="170" fontId="6" fillId="9" borderId="9" xfId="0" applyNumberFormat="1" applyFont="1" applyFill="1" applyBorder="1" applyAlignment="1">
      <alignment horizontal="justify" vertical="center"/>
    </xf>
    <xf numFmtId="169" fontId="6" fillId="9" borderId="3" xfId="0" applyNumberFormat="1" applyFont="1" applyFill="1" applyBorder="1" applyAlignment="1">
      <alignment horizontal="center" vertical="center"/>
    </xf>
    <xf numFmtId="0" fontId="6" fillId="9" borderId="9" xfId="0" applyFont="1" applyFill="1" applyBorder="1" applyAlignment="1">
      <alignment horizontal="justify" vertical="center" wrapText="1"/>
    </xf>
    <xf numFmtId="43" fontId="6" fillId="9" borderId="9" xfId="4" applyFont="1" applyFill="1" applyBorder="1" applyAlignment="1">
      <alignment horizontal="right" vertical="center"/>
    </xf>
    <xf numFmtId="43" fontId="6" fillId="9" borderId="2" xfId="4" applyFont="1" applyFill="1" applyBorder="1" applyAlignment="1">
      <alignment horizontal="right" vertical="center"/>
    </xf>
    <xf numFmtId="1" fontId="5" fillId="9" borderId="9" xfId="0" applyNumberFormat="1" applyFont="1" applyFill="1" applyBorder="1" applyAlignment="1">
      <alignment horizontal="center" vertical="center"/>
    </xf>
    <xf numFmtId="0" fontId="5" fillId="9" borderId="9" xfId="0" applyFont="1" applyFill="1" applyBorder="1" applyAlignment="1">
      <alignment horizontal="center" vertical="center"/>
    </xf>
    <xf numFmtId="0" fontId="5" fillId="9" borderId="9" xfId="0" applyFont="1" applyFill="1" applyBorder="1"/>
    <xf numFmtId="2" fontId="5" fillId="9" borderId="9" xfId="0" applyNumberFormat="1" applyFont="1" applyFill="1" applyBorder="1" applyAlignment="1">
      <alignment vertical="center" wrapText="1"/>
    </xf>
    <xf numFmtId="9" fontId="5" fillId="9" borderId="9" xfId="2" applyFont="1" applyFill="1" applyBorder="1"/>
    <xf numFmtId="167" fontId="5" fillId="9" borderId="9" xfId="0" applyNumberFormat="1" applyFont="1" applyFill="1" applyBorder="1" applyAlignment="1">
      <alignment horizontal="right" vertical="center"/>
    </xf>
    <xf numFmtId="167" fontId="5" fillId="9" borderId="9" xfId="0" applyNumberFormat="1" applyFont="1" applyFill="1" applyBorder="1" applyAlignment="1">
      <alignment horizontal="center"/>
    </xf>
    <xf numFmtId="0" fontId="5" fillId="9" borderId="60" xfId="0" applyFont="1" applyFill="1" applyBorder="1" applyAlignment="1">
      <alignment horizontal="justify" vertical="center" wrapText="1"/>
    </xf>
    <xf numFmtId="1" fontId="5" fillId="0" borderId="45" xfId="0" applyNumberFormat="1" applyFont="1" applyBorder="1" applyAlignment="1">
      <alignment horizontal="justify"/>
    </xf>
    <xf numFmtId="0" fontId="5" fillId="0" borderId="14" xfId="0" applyFont="1" applyBorder="1" applyAlignment="1">
      <alignment horizontal="justify"/>
    </xf>
    <xf numFmtId="43" fontId="9" fillId="0" borderId="2" xfId="4" applyFont="1" applyFill="1" applyBorder="1" applyAlignment="1">
      <alignment horizontal="right" vertical="center"/>
    </xf>
    <xf numFmtId="1" fontId="9" fillId="0" borderId="2" xfId="0" applyNumberFormat="1" applyFont="1" applyFill="1" applyBorder="1" applyAlignment="1">
      <alignment horizontal="center" vertical="center"/>
    </xf>
    <xf numFmtId="1" fontId="9" fillId="0" borderId="2" xfId="0" applyNumberFormat="1" applyFont="1" applyFill="1" applyBorder="1" applyAlignment="1">
      <alignment vertical="center" wrapText="1"/>
    </xf>
    <xf numFmtId="43" fontId="5" fillId="0" borderId="2" xfId="4" applyFont="1" applyFill="1" applyBorder="1" applyAlignment="1">
      <alignment horizontal="right" vertical="center"/>
    </xf>
    <xf numFmtId="1" fontId="5" fillId="0" borderId="2" xfId="0" applyNumberFormat="1" applyFont="1" applyFill="1" applyBorder="1" applyAlignment="1">
      <alignment horizontal="center" vertical="center"/>
    </xf>
    <xf numFmtId="1" fontId="5" fillId="0" borderId="2" xfId="0" applyNumberFormat="1" applyFont="1" applyFill="1" applyBorder="1" applyAlignment="1">
      <alignment vertical="center" wrapText="1"/>
    </xf>
    <xf numFmtId="1" fontId="5" fillId="0" borderId="10" xfId="0" applyNumberFormat="1" applyFont="1" applyFill="1" applyBorder="1" applyAlignment="1">
      <alignment horizontal="center" vertical="center"/>
    </xf>
    <xf numFmtId="1" fontId="5" fillId="0" borderId="11" xfId="0" applyNumberFormat="1" applyFont="1" applyFill="1" applyBorder="1" applyAlignment="1">
      <alignment vertical="center" wrapText="1"/>
    </xf>
    <xf numFmtId="0" fontId="5" fillId="0" borderId="7" xfId="0" applyFont="1" applyBorder="1" applyAlignment="1">
      <alignment horizontal="justify"/>
    </xf>
    <xf numFmtId="0" fontId="5" fillId="0" borderId="8" xfId="0" applyFont="1" applyBorder="1" applyAlignment="1">
      <alignment horizontal="justify" vertical="center" wrapText="1"/>
    </xf>
    <xf numFmtId="0" fontId="9" fillId="0" borderId="50" xfId="0" applyFont="1" applyFill="1" applyBorder="1" applyAlignment="1">
      <alignment horizontal="center" vertical="center"/>
    </xf>
    <xf numFmtId="1" fontId="6" fillId="17" borderId="8" xfId="0" applyNumberFormat="1" applyFont="1" applyFill="1" applyBorder="1" applyAlignment="1">
      <alignment horizontal="justify" vertical="center"/>
    </xf>
    <xf numFmtId="0" fontId="6" fillId="17" borderId="5" xfId="0" applyFont="1" applyFill="1" applyBorder="1" applyAlignment="1">
      <alignment horizontal="justify" vertical="center"/>
    </xf>
    <xf numFmtId="0" fontId="6" fillId="17" borderId="5" xfId="0" applyFont="1" applyFill="1" applyBorder="1" applyAlignment="1">
      <alignment horizontal="center" vertical="center"/>
    </xf>
    <xf numFmtId="170" fontId="6" fillId="17" borderId="5" xfId="0" applyNumberFormat="1" applyFont="1" applyFill="1" applyBorder="1" applyAlignment="1">
      <alignment horizontal="justify" vertical="center"/>
    </xf>
    <xf numFmtId="169" fontId="6" fillId="17" borderId="5" xfId="0" applyNumberFormat="1" applyFont="1" applyFill="1" applyBorder="1" applyAlignment="1">
      <alignment horizontal="center" vertical="center"/>
    </xf>
    <xf numFmtId="0" fontId="6" fillId="17" borderId="5" xfId="0" applyFont="1" applyFill="1" applyBorder="1" applyAlignment="1">
      <alignment horizontal="justify" vertical="center" wrapText="1"/>
    </xf>
    <xf numFmtId="0" fontId="5" fillId="17" borderId="9" xfId="0" applyFont="1" applyFill="1" applyBorder="1" applyAlignment="1">
      <alignment horizontal="justify" vertical="center" wrapText="1"/>
    </xf>
    <xf numFmtId="43" fontId="5" fillId="17" borderId="9" xfId="9" applyNumberFormat="1" applyFont="1" applyFill="1" applyBorder="1" applyAlignment="1">
      <alignment horizontal="right" vertical="center"/>
    </xf>
    <xf numFmtId="1" fontId="5" fillId="17" borderId="9" xfId="0" applyNumberFormat="1" applyFont="1" applyFill="1" applyBorder="1" applyAlignment="1">
      <alignment horizontal="center" vertical="center"/>
    </xf>
    <xf numFmtId="0" fontId="5" fillId="17" borderId="9" xfId="0" applyFont="1" applyFill="1" applyBorder="1" applyAlignment="1">
      <alignment horizontal="center" vertical="center"/>
    </xf>
    <xf numFmtId="0" fontId="5" fillId="17" borderId="9" xfId="0" applyFont="1" applyFill="1" applyBorder="1"/>
    <xf numFmtId="0" fontId="5" fillId="17" borderId="5" xfId="0" applyFont="1" applyFill="1" applyBorder="1"/>
    <xf numFmtId="2" fontId="5" fillId="17" borderId="5" xfId="0" applyNumberFormat="1" applyFont="1" applyFill="1" applyBorder="1" applyAlignment="1">
      <alignment vertical="center" wrapText="1"/>
    </xf>
    <xf numFmtId="9" fontId="5" fillId="17" borderId="5" xfId="2" applyFont="1" applyFill="1" applyBorder="1"/>
    <xf numFmtId="167" fontId="5" fillId="17" borderId="5" xfId="0" applyNumberFormat="1" applyFont="1" applyFill="1" applyBorder="1" applyAlignment="1">
      <alignment horizontal="right" vertical="center"/>
    </xf>
    <xf numFmtId="167" fontId="5" fillId="17" borderId="5" xfId="0" applyNumberFormat="1" applyFont="1" applyFill="1" applyBorder="1" applyAlignment="1">
      <alignment horizontal="center"/>
    </xf>
    <xf numFmtId="0" fontId="5" fillId="17" borderId="62" xfId="0" applyFont="1" applyFill="1" applyBorder="1" applyAlignment="1">
      <alignment horizontal="justify" vertical="center" wrapText="1"/>
    </xf>
    <xf numFmtId="0" fontId="5" fillId="7" borderId="15" xfId="0" applyFont="1" applyFill="1" applyBorder="1" applyAlignment="1">
      <alignment horizontal="justify"/>
    </xf>
    <xf numFmtId="169" fontId="6" fillId="9" borderId="9" xfId="0" applyNumberFormat="1" applyFont="1" applyFill="1" applyBorder="1" applyAlignment="1">
      <alignment horizontal="center" vertical="center"/>
    </xf>
    <xf numFmtId="43" fontId="5" fillId="9" borderId="9" xfId="9" applyNumberFormat="1" applyFont="1" applyFill="1" applyBorder="1" applyAlignment="1">
      <alignment horizontal="right" vertical="center"/>
    </xf>
    <xf numFmtId="1" fontId="5" fillId="0" borderId="45" xfId="0" applyNumberFormat="1" applyFont="1" applyBorder="1" applyAlignment="1">
      <alignment horizontal="justify" vertical="center"/>
    </xf>
    <xf numFmtId="0" fontId="5" fillId="0" borderId="0" xfId="0" applyFont="1" applyBorder="1" applyAlignment="1">
      <alignment horizontal="justify" vertical="center"/>
    </xf>
    <xf numFmtId="0" fontId="5" fillId="0" borderId="14" xfId="0" applyFont="1" applyBorder="1" applyAlignment="1">
      <alignment horizontal="justify" vertical="center"/>
    </xf>
    <xf numFmtId="0" fontId="5" fillId="0" borderId="4" xfId="0" applyFont="1" applyBorder="1" applyAlignment="1">
      <alignment horizontal="justify" vertical="center"/>
    </xf>
    <xf numFmtId="49" fontId="23" fillId="0" borderId="2" xfId="20" applyNumberFormat="1" applyFont="1" applyBorder="1" applyAlignment="1">
      <alignment horizontal="justify" vertical="center" wrapText="1"/>
    </xf>
    <xf numFmtId="0" fontId="5" fillId="0" borderId="2" xfId="0" applyFont="1" applyBorder="1" applyAlignment="1">
      <alignment vertical="center" wrapText="1"/>
    </xf>
    <xf numFmtId="49" fontId="23" fillId="7" borderId="2" xfId="20" applyNumberFormat="1" applyFont="1" applyFill="1" applyBorder="1" applyAlignment="1">
      <alignment horizontal="justify" vertical="center" wrapText="1"/>
    </xf>
    <xf numFmtId="1" fontId="6" fillId="22" borderId="8" xfId="0" applyNumberFormat="1" applyFont="1" applyFill="1" applyBorder="1" applyAlignment="1">
      <alignment horizontal="justify" vertical="center"/>
    </xf>
    <xf numFmtId="0" fontId="6" fillId="22" borderId="9" xfId="0" applyFont="1" applyFill="1" applyBorder="1" applyAlignment="1">
      <alignment horizontal="justify" vertical="center"/>
    </xf>
    <xf numFmtId="0" fontId="6" fillId="22" borderId="5" xfId="0" applyFont="1" applyFill="1" applyBorder="1" applyAlignment="1">
      <alignment horizontal="justify" vertical="center"/>
    </xf>
    <xf numFmtId="0" fontId="6" fillId="22" borderId="5" xfId="0" applyFont="1" applyFill="1" applyBorder="1" applyAlignment="1">
      <alignment horizontal="center" vertical="center"/>
    </xf>
    <xf numFmtId="170" fontId="6" fillId="22" borderId="5" xfId="0" applyNumberFormat="1" applyFont="1" applyFill="1" applyBorder="1" applyAlignment="1">
      <alignment horizontal="justify" vertical="center"/>
    </xf>
    <xf numFmtId="169" fontId="6" fillId="22" borderId="5" xfId="0" applyNumberFormat="1" applyFont="1" applyFill="1" applyBorder="1" applyAlignment="1">
      <alignment horizontal="center" vertical="center"/>
    </xf>
    <xf numFmtId="0" fontId="6" fillId="22" borderId="5" xfId="0" applyFont="1" applyFill="1" applyBorder="1" applyAlignment="1">
      <alignment horizontal="justify" vertical="center" wrapText="1"/>
    </xf>
    <xf numFmtId="0" fontId="5" fillId="22" borderId="5" xfId="0" applyFont="1" applyFill="1" applyBorder="1" applyAlignment="1">
      <alignment horizontal="justify" vertical="center" wrapText="1"/>
    </xf>
    <xf numFmtId="43" fontId="5" fillId="22" borderId="5" xfId="9" applyNumberFormat="1" applyFont="1" applyFill="1" applyBorder="1" applyAlignment="1">
      <alignment horizontal="right" vertical="center"/>
    </xf>
    <xf numFmtId="1" fontId="5" fillId="22" borderId="5" xfId="0" applyNumberFormat="1" applyFont="1" applyFill="1" applyBorder="1" applyAlignment="1">
      <alignment horizontal="center" vertical="center"/>
    </xf>
    <xf numFmtId="0" fontId="5" fillId="22" borderId="5" xfId="0" applyFont="1" applyFill="1" applyBorder="1" applyAlignment="1">
      <alignment horizontal="center" vertical="center"/>
    </xf>
    <xf numFmtId="0" fontId="5" fillId="22" borderId="5" xfId="0" applyFont="1" applyFill="1" applyBorder="1"/>
    <xf numFmtId="2" fontId="5" fillId="22" borderId="5" xfId="0" applyNumberFormat="1" applyFont="1" applyFill="1" applyBorder="1" applyAlignment="1">
      <alignment vertical="center" wrapText="1"/>
    </xf>
    <xf numFmtId="9" fontId="5" fillId="22" borderId="5" xfId="2" applyFont="1" applyFill="1" applyBorder="1"/>
    <xf numFmtId="167" fontId="5" fillId="22" borderId="5" xfId="0" applyNumberFormat="1" applyFont="1" applyFill="1" applyBorder="1" applyAlignment="1">
      <alignment horizontal="right" vertical="center"/>
    </xf>
    <xf numFmtId="167" fontId="5" fillId="22" borderId="5" xfId="0" applyNumberFormat="1" applyFont="1" applyFill="1" applyBorder="1" applyAlignment="1">
      <alignment horizontal="center"/>
    </xf>
    <xf numFmtId="0" fontId="5" fillId="22" borderId="62" xfId="0" applyFont="1" applyFill="1" applyBorder="1" applyAlignment="1">
      <alignment horizontal="justify" vertical="center" wrapText="1"/>
    </xf>
    <xf numFmtId="0" fontId="5" fillId="7" borderId="4" xfId="0" applyFont="1" applyFill="1" applyBorder="1" applyAlignment="1">
      <alignment horizontal="justify"/>
    </xf>
    <xf numFmtId="0" fontId="5" fillId="7" borderId="5" xfId="0" applyFont="1" applyFill="1" applyBorder="1" applyAlignment="1">
      <alignment horizontal="justify"/>
    </xf>
    <xf numFmtId="0" fontId="5" fillId="7" borderId="10" xfId="0" applyFont="1" applyFill="1" applyBorder="1" applyAlignment="1">
      <alignment horizontal="justify"/>
    </xf>
    <xf numFmtId="1" fontId="5" fillId="9" borderId="5" xfId="0" applyNumberFormat="1" applyFont="1" applyFill="1" applyBorder="1" applyAlignment="1">
      <alignment horizontal="center" vertical="center"/>
    </xf>
    <xf numFmtId="0" fontId="5" fillId="9" borderId="5" xfId="0" applyFont="1" applyFill="1" applyBorder="1" applyAlignment="1">
      <alignment horizontal="center" vertical="center"/>
    </xf>
    <xf numFmtId="0" fontId="5" fillId="9" borderId="5" xfId="0" applyFont="1" applyFill="1" applyBorder="1"/>
    <xf numFmtId="1" fontId="5" fillId="0" borderId="45" xfId="0" applyNumberFormat="1" applyFont="1" applyFill="1" applyBorder="1" applyAlignment="1">
      <alignment horizontal="justify"/>
    </xf>
    <xf numFmtId="0" fontId="5" fillId="0" borderId="0" xfId="0" applyFont="1" applyFill="1" applyBorder="1" applyAlignment="1">
      <alignment horizontal="justify"/>
    </xf>
    <xf numFmtId="0" fontId="5" fillId="0" borderId="14" xfId="0" applyFont="1" applyFill="1" applyBorder="1" applyAlignment="1">
      <alignment horizontal="justify"/>
    </xf>
    <xf numFmtId="0" fontId="5" fillId="0" borderId="4" xfId="0" applyFont="1" applyFill="1" applyBorder="1" applyAlignment="1">
      <alignment horizontal="justify"/>
    </xf>
    <xf numFmtId="0" fontId="5" fillId="0" borderId="5" xfId="0" applyFont="1" applyFill="1" applyBorder="1" applyAlignment="1">
      <alignment horizontal="justify"/>
    </xf>
    <xf numFmtId="0" fontId="22" fillId="0" borderId="2" xfId="0" applyFont="1" applyFill="1" applyBorder="1" applyAlignment="1">
      <alignment horizontal="justify" vertical="center" wrapText="1"/>
    </xf>
    <xf numFmtId="43" fontId="5" fillId="0" borderId="11" xfId="4" applyFont="1" applyFill="1" applyBorder="1" applyAlignment="1">
      <alignment horizontal="right" vertical="center"/>
    </xf>
    <xf numFmtId="1" fontId="5" fillId="0" borderId="11" xfId="0" applyNumberFormat="1" applyFont="1" applyFill="1" applyBorder="1" applyAlignment="1">
      <alignment horizontal="center" vertical="center" wrapText="1"/>
    </xf>
    <xf numFmtId="0" fontId="5" fillId="0" borderId="0" xfId="0" applyFont="1" applyFill="1"/>
    <xf numFmtId="1" fontId="5" fillId="0" borderId="2" xfId="0" applyNumberFormat="1" applyFont="1" applyFill="1" applyBorder="1" applyAlignment="1">
      <alignment horizontal="center" vertical="center" wrapText="1"/>
    </xf>
    <xf numFmtId="1" fontId="5" fillId="0" borderId="10" xfId="0" applyNumberFormat="1" applyFont="1" applyFill="1" applyBorder="1" applyAlignment="1">
      <alignment vertical="center" wrapText="1"/>
    </xf>
    <xf numFmtId="43" fontId="5" fillId="0" borderId="2" xfId="4" applyFont="1" applyFill="1" applyBorder="1" applyAlignment="1">
      <alignment horizontal="center" vertical="center"/>
    </xf>
    <xf numFmtId="1" fontId="5" fillId="0" borderId="50" xfId="0" applyNumberFormat="1" applyFont="1" applyFill="1" applyBorder="1" applyAlignment="1">
      <alignment vertical="center" wrapText="1"/>
    </xf>
    <xf numFmtId="0" fontId="5" fillId="0" borderId="49" xfId="0" applyFont="1" applyFill="1" applyBorder="1" applyAlignment="1">
      <alignment vertical="center"/>
    </xf>
    <xf numFmtId="184" fontId="5" fillId="0" borderId="2" xfId="0" applyNumberFormat="1" applyFont="1" applyFill="1" applyBorder="1" applyAlignment="1">
      <alignment horizontal="center" vertical="center"/>
    </xf>
    <xf numFmtId="41" fontId="5" fillId="0" borderId="2" xfId="0" applyNumberFormat="1" applyFont="1" applyFill="1" applyBorder="1" applyAlignment="1">
      <alignment horizontal="center" vertical="center"/>
    </xf>
    <xf numFmtId="1" fontId="5" fillId="0" borderId="51" xfId="0" applyNumberFormat="1" applyFont="1" applyFill="1" applyBorder="1" applyAlignment="1">
      <alignment vertical="center" wrapText="1"/>
    </xf>
    <xf numFmtId="0" fontId="22" fillId="0" borderId="17" xfId="0" applyFont="1" applyFill="1" applyBorder="1" applyAlignment="1">
      <alignment horizontal="left" vertical="center" wrapText="1"/>
    </xf>
    <xf numFmtId="184" fontId="5" fillId="0" borderId="2" xfId="4" applyNumberFormat="1" applyFont="1" applyFill="1" applyBorder="1" applyAlignment="1">
      <alignment horizontal="center" vertical="center"/>
    </xf>
    <xf numFmtId="0" fontId="5" fillId="0" borderId="0" xfId="0" applyFont="1" applyFill="1" applyBorder="1" applyAlignment="1">
      <alignment horizontal="justify" wrapText="1"/>
    </xf>
    <xf numFmtId="0" fontId="5" fillId="0" borderId="17" xfId="0" applyFont="1" applyFill="1" applyBorder="1" applyAlignment="1">
      <alignment vertical="center" wrapText="1"/>
    </xf>
    <xf numFmtId="0" fontId="5" fillId="0" borderId="11" xfId="0" applyFont="1" applyFill="1" applyBorder="1" applyAlignment="1">
      <alignment horizontal="justify" vertical="center" wrapText="1"/>
    </xf>
    <xf numFmtId="1" fontId="5" fillId="0" borderId="11" xfId="0" applyNumberFormat="1" applyFont="1" applyFill="1" applyBorder="1" applyAlignment="1">
      <alignment horizontal="center" vertical="center"/>
    </xf>
    <xf numFmtId="2" fontId="5" fillId="0" borderId="11" xfId="0" applyNumberFormat="1" applyFont="1" applyFill="1" applyBorder="1" applyAlignment="1">
      <alignment horizontal="center" vertical="center"/>
    </xf>
    <xf numFmtId="9" fontId="5" fillId="0" borderId="11" xfId="18" applyFont="1" applyFill="1" applyBorder="1" applyAlignment="1">
      <alignment horizontal="center" vertical="center"/>
    </xf>
    <xf numFmtId="0" fontId="22" fillId="0" borderId="7" xfId="0" applyFont="1" applyFill="1" applyBorder="1" applyAlignment="1">
      <alignment horizontal="justify" vertical="center" wrapText="1"/>
    </xf>
    <xf numFmtId="1" fontId="5" fillId="0" borderId="15" xfId="0" applyNumberFormat="1" applyFont="1" applyFill="1" applyBorder="1" applyAlignment="1">
      <alignment vertical="center" wrapText="1"/>
    </xf>
    <xf numFmtId="1" fontId="5" fillId="0" borderId="8" xfId="0" applyNumberFormat="1" applyFont="1" applyFill="1" applyBorder="1" applyAlignment="1">
      <alignment horizontal="center" vertical="center"/>
    </xf>
    <xf numFmtId="170" fontId="5" fillId="0" borderId="8" xfId="0" applyNumberFormat="1" applyFont="1" applyFill="1" applyBorder="1" applyAlignment="1">
      <alignment horizontal="center" vertical="center"/>
    </xf>
    <xf numFmtId="9" fontId="5" fillId="0" borderId="2" xfId="18" applyFont="1" applyFill="1" applyBorder="1" applyAlignment="1">
      <alignment horizontal="center" vertical="center"/>
    </xf>
    <xf numFmtId="0" fontId="22" fillId="0" borderId="8" xfId="0" applyFont="1" applyFill="1" applyBorder="1" applyAlignment="1">
      <alignment horizontal="justify" vertical="center" wrapText="1"/>
    </xf>
    <xf numFmtId="41" fontId="5" fillId="0" borderId="2" xfId="0" applyNumberFormat="1" applyFont="1" applyFill="1" applyBorder="1" applyAlignment="1">
      <alignment vertical="center"/>
    </xf>
    <xf numFmtId="1" fontId="5" fillId="0" borderId="45" xfId="0" applyNumberFormat="1" applyFont="1" applyFill="1" applyBorder="1" applyAlignment="1">
      <alignment horizontal="justify" vertical="center" wrapText="1"/>
    </xf>
    <xf numFmtId="0" fontId="5" fillId="0" borderId="14" xfId="0" applyFont="1" applyFill="1" applyBorder="1" applyAlignment="1">
      <alignment horizontal="justify" vertical="center" wrapText="1"/>
    </xf>
    <xf numFmtId="43" fontId="5" fillId="0" borderId="7" xfId="4" applyFont="1" applyFill="1" applyBorder="1" applyAlignment="1">
      <alignment horizontal="right" vertical="center"/>
    </xf>
    <xf numFmtId="43" fontId="5" fillId="0" borderId="14" xfId="4" applyFont="1" applyFill="1" applyBorder="1" applyAlignment="1">
      <alignment horizontal="right" vertical="center"/>
    </xf>
    <xf numFmtId="1" fontId="5" fillId="0" borderId="13" xfId="0" applyNumberFormat="1" applyFont="1" applyFill="1" applyBorder="1" applyAlignment="1">
      <alignment horizontal="center" vertical="center" wrapText="1"/>
    </xf>
    <xf numFmtId="0" fontId="1" fillId="0" borderId="52" xfId="0" applyFont="1" applyFill="1" applyBorder="1" applyAlignment="1">
      <alignment vertical="center" wrapText="1"/>
    </xf>
    <xf numFmtId="43" fontId="5" fillId="0" borderId="78" xfId="4" applyFont="1" applyFill="1" applyBorder="1" applyAlignment="1">
      <alignment horizontal="right" vertical="center"/>
    </xf>
    <xf numFmtId="1" fontId="5" fillId="0" borderId="52" xfId="0" applyNumberFormat="1" applyFont="1" applyFill="1" applyBorder="1" applyAlignment="1">
      <alignment horizontal="center" vertical="center" wrapText="1"/>
    </xf>
    <xf numFmtId="1" fontId="5" fillId="0" borderId="13" xfId="0" applyNumberFormat="1" applyFont="1" applyFill="1" applyBorder="1" applyAlignment="1">
      <alignment vertical="center" wrapText="1"/>
    </xf>
    <xf numFmtId="0" fontId="1" fillId="0" borderId="81" xfId="0" applyFont="1" applyFill="1" applyBorder="1" applyAlignment="1">
      <alignment vertical="center" wrapText="1"/>
    </xf>
    <xf numFmtId="184" fontId="5" fillId="0" borderId="82" xfId="0" applyNumberFormat="1" applyFont="1" applyFill="1" applyBorder="1" applyAlignment="1">
      <alignment horizontal="right" vertical="center"/>
    </xf>
    <xf numFmtId="0" fontId="5" fillId="0" borderId="79" xfId="0" applyFont="1" applyFill="1" applyBorder="1" applyAlignment="1">
      <alignment horizontal="center" vertical="center"/>
    </xf>
    <xf numFmtId="0" fontId="25" fillId="0" borderId="2" xfId="15" applyFont="1" applyFill="1" applyBorder="1" applyAlignment="1">
      <alignment horizontal="left" vertical="center" wrapText="1"/>
    </xf>
    <xf numFmtId="41" fontId="5" fillId="0" borderId="2" xfId="4" applyNumberFormat="1" applyFont="1" applyFill="1" applyBorder="1" applyAlignment="1">
      <alignment horizontal="right" vertical="center"/>
    </xf>
    <xf numFmtId="0" fontId="5" fillId="0" borderId="0" xfId="0" applyFont="1" applyFill="1" applyBorder="1"/>
    <xf numFmtId="0" fontId="0" fillId="0" borderId="2" xfId="15" applyFont="1" applyFill="1" applyBorder="1" applyAlignment="1">
      <alignment horizontal="left" vertical="center" wrapText="1"/>
    </xf>
    <xf numFmtId="0" fontId="22" fillId="0" borderId="6" xfId="0" applyFont="1" applyFill="1" applyBorder="1" applyAlignment="1">
      <alignment horizontal="justify" vertical="center" wrapText="1"/>
    </xf>
    <xf numFmtId="43" fontId="5" fillId="0" borderId="6" xfId="4" applyFont="1" applyFill="1" applyBorder="1" applyAlignment="1">
      <alignment horizontal="right" vertical="center"/>
    </xf>
    <xf numFmtId="1" fontId="5" fillId="0" borderId="78" xfId="0" applyNumberFormat="1" applyFont="1" applyFill="1" applyBorder="1" applyAlignment="1">
      <alignment horizontal="center" vertical="center" wrapText="1"/>
    </xf>
    <xf numFmtId="0" fontId="5" fillId="0" borderId="13" xfId="4" applyNumberFormat="1" applyFont="1" applyFill="1" applyBorder="1" applyAlignment="1">
      <alignment horizontal="center" vertical="center"/>
    </xf>
    <xf numFmtId="1" fontId="5" fillId="0" borderId="5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43" fontId="5" fillId="0" borderId="2" xfId="1" applyFont="1" applyFill="1" applyBorder="1" applyAlignment="1">
      <alignment vertical="center"/>
    </xf>
    <xf numFmtId="1" fontId="5" fillId="0" borderId="51" xfId="0" applyNumberFormat="1" applyFont="1" applyFill="1" applyBorder="1" applyAlignment="1">
      <alignment horizontal="center" vertical="center" wrapText="1"/>
    </xf>
    <xf numFmtId="1" fontId="5" fillId="0" borderId="18" xfId="0" applyNumberFormat="1" applyFont="1" applyFill="1" applyBorder="1" applyAlignment="1">
      <alignment vertical="center" wrapText="1"/>
    </xf>
    <xf numFmtId="1" fontId="5" fillId="0" borderId="1" xfId="0" applyNumberFormat="1" applyFont="1" applyFill="1" applyBorder="1" applyAlignment="1">
      <alignment horizontal="center" vertical="center" wrapText="1"/>
    </xf>
    <xf numFmtId="1" fontId="5" fillId="0" borderId="15" xfId="0" applyNumberFormat="1" applyFont="1" applyFill="1" applyBorder="1" applyAlignment="1">
      <alignment horizontal="center" vertical="center" wrapText="1"/>
    </xf>
    <xf numFmtId="1" fontId="5" fillId="0" borderId="6" xfId="0" applyNumberFormat="1" applyFont="1" applyFill="1" applyBorder="1" applyAlignment="1">
      <alignment vertical="center" wrapText="1"/>
    </xf>
    <xf numFmtId="0" fontId="23" fillId="0" borderId="17" xfId="0" applyFont="1" applyFill="1" applyBorder="1" applyAlignment="1">
      <alignment horizontal="left" vertical="center" wrapText="1"/>
    </xf>
    <xf numFmtId="1" fontId="5" fillId="0" borderId="18" xfId="0" applyNumberFormat="1" applyFont="1" applyFill="1" applyBorder="1" applyAlignment="1">
      <alignment horizontal="center" vertical="center" wrapText="1"/>
    </xf>
    <xf numFmtId="0" fontId="23" fillId="0" borderId="14" xfId="0" applyFont="1" applyFill="1" applyBorder="1" applyAlignment="1">
      <alignment vertical="center" wrapText="1"/>
    </xf>
    <xf numFmtId="43" fontId="5" fillId="0" borderId="70" xfId="4" applyFont="1" applyFill="1" applyBorder="1" applyAlignment="1">
      <alignment vertical="center"/>
    </xf>
    <xf numFmtId="0" fontId="5" fillId="0" borderId="6" xfId="4" applyNumberFormat="1" applyFont="1" applyFill="1" applyBorder="1" applyAlignment="1">
      <alignment horizontal="center" vertical="center"/>
    </xf>
    <xf numFmtId="0" fontId="23" fillId="0" borderId="2" xfId="19" applyFont="1" applyBorder="1" applyAlignment="1">
      <alignment horizontal="justify" vertical="center" wrapText="1"/>
    </xf>
    <xf numFmtId="4" fontId="5" fillId="0" borderId="2" xfId="4" applyNumberFormat="1" applyFont="1" applyFill="1" applyBorder="1" applyAlignment="1">
      <alignment horizontal="right" vertical="center"/>
    </xf>
    <xf numFmtId="1" fontId="5" fillId="0" borderId="2" xfId="0" applyNumberFormat="1" applyFont="1" applyBorder="1" applyAlignment="1">
      <alignment horizontal="center" vertical="center" wrapText="1"/>
    </xf>
    <xf numFmtId="1" fontId="5" fillId="0" borderId="11" xfId="0" applyNumberFormat="1" applyFont="1" applyBorder="1" applyAlignment="1">
      <alignment horizontal="center" vertical="center"/>
    </xf>
    <xf numFmtId="4" fontId="5" fillId="0" borderId="11" xfId="4" applyNumberFormat="1" applyFont="1" applyFill="1" applyBorder="1" applyAlignment="1">
      <alignment horizontal="right" vertical="center"/>
    </xf>
    <xf numFmtId="1" fontId="5" fillId="0" borderId="11" xfId="0" applyNumberFormat="1" applyFont="1" applyBorder="1" applyAlignment="1">
      <alignment horizontal="center" vertical="center" wrapText="1"/>
    </xf>
    <xf numFmtId="1" fontId="5" fillId="0" borderId="13" xfId="0" applyNumberFormat="1" applyFont="1" applyBorder="1" applyAlignment="1">
      <alignment horizontal="center" vertical="center"/>
    </xf>
    <xf numFmtId="0" fontId="25" fillId="0" borderId="11" xfId="19" applyFont="1" applyBorder="1" applyAlignment="1">
      <alignment horizontal="justify" vertical="center" wrapText="1"/>
    </xf>
    <xf numFmtId="0" fontId="23" fillId="0" borderId="4" xfId="19" applyFont="1" applyBorder="1" applyAlignment="1">
      <alignment horizontal="justify" vertical="center" wrapText="1"/>
    </xf>
    <xf numFmtId="1" fontId="5" fillId="0" borderId="10" xfId="0" applyNumberFormat="1" applyFont="1" applyBorder="1" applyAlignment="1">
      <alignment horizontal="center" vertical="center" wrapText="1"/>
    </xf>
    <xf numFmtId="1" fontId="5" fillId="0" borderId="11" xfId="0" applyNumberFormat="1" applyFont="1" applyBorder="1" applyAlignment="1">
      <alignment vertical="center" wrapText="1"/>
    </xf>
    <xf numFmtId="0" fontId="5" fillId="0" borderId="11" xfId="0" applyFont="1" applyBorder="1" applyAlignment="1">
      <alignment horizontal="justify" vertical="center" wrapText="1"/>
    </xf>
    <xf numFmtId="1" fontId="5" fillId="0" borderId="1" xfId="0" applyNumberFormat="1" applyFont="1" applyBorder="1" applyAlignment="1">
      <alignment horizontal="center" vertical="center" wrapText="1"/>
    </xf>
    <xf numFmtId="0" fontId="5" fillId="0" borderId="15" xfId="0" applyFont="1" applyFill="1" applyBorder="1" applyAlignment="1">
      <alignment horizontal="justify"/>
    </xf>
    <xf numFmtId="1" fontId="5" fillId="0" borderId="16" xfId="0" applyNumberFormat="1" applyFont="1" applyFill="1" applyBorder="1" applyAlignment="1">
      <alignment vertical="center" wrapText="1"/>
    </xf>
    <xf numFmtId="0" fontId="36" fillId="0" borderId="2" xfId="21" applyFont="1" applyFill="1" applyBorder="1" applyAlignment="1">
      <alignment horizontal="justify" vertical="center" wrapText="1"/>
    </xf>
    <xf numFmtId="43" fontId="5" fillId="0" borderId="13" xfId="4" applyFont="1" applyFill="1" applyBorder="1" applyAlignment="1">
      <alignment horizontal="right" vertical="center"/>
    </xf>
    <xf numFmtId="0" fontId="23" fillId="0" borderId="2" xfId="21" applyFont="1" applyFill="1" applyBorder="1" applyAlignment="1">
      <alignment horizontal="justify" vertical="center" wrapText="1"/>
    </xf>
    <xf numFmtId="0" fontId="23" fillId="0" borderId="18" xfId="0" applyFont="1" applyFill="1" applyBorder="1" applyAlignment="1">
      <alignment horizontal="center" vertical="center" wrapText="1"/>
    </xf>
    <xf numFmtId="0" fontId="23" fillId="0" borderId="18" xfId="0" applyFont="1" applyFill="1" applyBorder="1" applyAlignment="1">
      <alignment horizontal="justify" vertical="center" wrapText="1"/>
    </xf>
    <xf numFmtId="0" fontId="23" fillId="0" borderId="1" xfId="0" applyFont="1" applyFill="1" applyBorder="1" applyAlignment="1" applyProtection="1">
      <alignment horizontal="justify" vertical="center" wrapText="1"/>
      <protection locked="0"/>
    </xf>
    <xf numFmtId="9" fontId="5" fillId="0" borderId="2" xfId="2" applyNumberFormat="1" applyFont="1" applyFill="1" applyBorder="1" applyAlignment="1">
      <alignment horizontal="center" vertical="center"/>
    </xf>
    <xf numFmtId="0" fontId="5" fillId="0" borderId="22" xfId="0" applyFont="1" applyFill="1" applyBorder="1" applyAlignment="1">
      <alignment horizontal="justify"/>
    </xf>
    <xf numFmtId="0" fontId="5" fillId="0" borderId="33" xfId="0" applyFont="1" applyFill="1" applyBorder="1" applyAlignment="1">
      <alignment horizontal="justify"/>
    </xf>
    <xf numFmtId="0" fontId="5" fillId="0" borderId="25" xfId="0" applyFont="1" applyFill="1" applyBorder="1" applyAlignment="1">
      <alignment horizontal="justify"/>
    </xf>
    <xf numFmtId="1" fontId="5" fillId="0" borderId="28" xfId="0" applyNumberFormat="1" applyFont="1" applyBorder="1" applyAlignment="1">
      <alignment horizontal="justify"/>
    </xf>
    <xf numFmtId="0" fontId="5" fillId="0" borderId="29" xfId="0" applyFont="1" applyBorder="1" applyAlignment="1">
      <alignment horizontal="justify"/>
    </xf>
    <xf numFmtId="0" fontId="5" fillId="7" borderId="29" xfId="0" applyFont="1" applyFill="1" applyBorder="1" applyAlignment="1">
      <alignment horizontal="justify" vertical="center"/>
    </xf>
    <xf numFmtId="0" fontId="5" fillId="7" borderId="29" xfId="0" applyFont="1" applyFill="1" applyBorder="1" applyAlignment="1">
      <alignment horizontal="justify"/>
    </xf>
    <xf numFmtId="0" fontId="6" fillId="7" borderId="29" xfId="0" applyFont="1" applyFill="1" applyBorder="1" applyAlignment="1">
      <alignment horizontal="center" vertical="center"/>
    </xf>
    <xf numFmtId="0" fontId="5" fillId="7" borderId="29" xfId="0" applyFont="1" applyFill="1" applyBorder="1" applyAlignment="1">
      <alignment horizontal="center"/>
    </xf>
    <xf numFmtId="170" fontId="5" fillId="7" borderId="30" xfId="0" applyNumberFormat="1" applyFont="1" applyFill="1" applyBorder="1" applyAlignment="1">
      <alignment horizontal="justify" vertical="center"/>
    </xf>
    <xf numFmtId="43" fontId="6" fillId="7" borderId="31" xfId="4" applyFont="1" applyFill="1" applyBorder="1" applyAlignment="1">
      <alignment horizontal="right" vertical="center"/>
    </xf>
    <xf numFmtId="0" fontId="5" fillId="7" borderId="28" xfId="0" applyFont="1" applyFill="1" applyBorder="1" applyAlignment="1">
      <alignment horizontal="justify" vertical="center"/>
    </xf>
    <xf numFmtId="0" fontId="5" fillId="7" borderId="30" xfId="0" applyFont="1" applyFill="1" applyBorder="1" applyAlignment="1">
      <alignment horizontal="justify" vertical="center"/>
    </xf>
    <xf numFmtId="1" fontId="5" fillId="7" borderId="28" xfId="0" applyNumberFormat="1" applyFont="1" applyFill="1" applyBorder="1" applyAlignment="1">
      <alignment horizontal="center" vertical="center"/>
    </xf>
    <xf numFmtId="0" fontId="5" fillId="7" borderId="29" xfId="0" applyFont="1" applyFill="1" applyBorder="1" applyAlignment="1">
      <alignment horizontal="center" vertical="center"/>
    </xf>
    <xf numFmtId="0" fontId="5" fillId="0" borderId="29" xfId="0" applyFont="1" applyBorder="1"/>
    <xf numFmtId="9" fontId="6" fillId="7" borderId="31" xfId="2" applyFont="1" applyFill="1" applyBorder="1" applyAlignment="1">
      <alignment horizontal="center" vertical="center"/>
    </xf>
    <xf numFmtId="167" fontId="5" fillId="0" borderId="29" xfId="0" applyNumberFormat="1" applyFont="1" applyBorder="1" applyAlignment="1">
      <alignment horizontal="right" vertical="center"/>
    </xf>
    <xf numFmtId="167" fontId="5" fillId="0" borderId="29" xfId="0" applyNumberFormat="1" applyFont="1" applyBorder="1" applyAlignment="1">
      <alignment horizontal="center"/>
    </xf>
    <xf numFmtId="0" fontId="5" fillId="0" borderId="30" xfId="0" applyFont="1" applyBorder="1" applyAlignment="1">
      <alignment horizontal="justify" vertical="center"/>
    </xf>
    <xf numFmtId="1" fontId="5" fillId="0" borderId="0" xfId="0" applyNumberFormat="1" applyFont="1" applyAlignment="1">
      <alignment horizontal="justify"/>
    </xf>
    <xf numFmtId="170" fontId="5" fillId="7" borderId="0" xfId="0" applyNumberFormat="1" applyFont="1" applyFill="1" applyAlignment="1">
      <alignment horizontal="justify" vertical="center"/>
    </xf>
    <xf numFmtId="169" fontId="5" fillId="7" borderId="0" xfId="0" applyNumberFormat="1" applyFont="1" applyFill="1" applyAlignment="1">
      <alignment horizontal="center" vertical="center"/>
    </xf>
    <xf numFmtId="43" fontId="5" fillId="7" borderId="0" xfId="4" applyFont="1" applyFill="1" applyAlignment="1">
      <alignment horizontal="right" vertical="center"/>
    </xf>
    <xf numFmtId="0" fontId="5" fillId="7" borderId="0" xfId="0" applyFont="1" applyFill="1" applyAlignment="1">
      <alignment horizontal="center" vertical="center"/>
    </xf>
    <xf numFmtId="170" fontId="5" fillId="0" borderId="0" xfId="0" applyNumberFormat="1" applyFont="1" applyAlignment="1">
      <alignment horizontal="center" vertical="center"/>
    </xf>
    <xf numFmtId="169" fontId="5" fillId="0" borderId="0" xfId="0" applyNumberFormat="1" applyFont="1" applyAlignment="1">
      <alignment horizontal="justify" vertical="center"/>
    </xf>
    <xf numFmtId="43" fontId="5" fillId="7" borderId="0" xfId="9" applyNumberFormat="1" applyFont="1" applyFill="1" applyAlignment="1">
      <alignment horizontal="right" vertical="center"/>
    </xf>
    <xf numFmtId="43" fontId="24" fillId="7" borderId="2" xfId="1" applyFont="1" applyFill="1" applyBorder="1" applyAlignment="1">
      <alignment vertical="center"/>
    </xf>
    <xf numFmtId="43" fontId="22" fillId="0" borderId="2" xfId="1" applyFont="1" applyBorder="1" applyAlignment="1">
      <alignment horizontal="center" vertical="center"/>
    </xf>
    <xf numFmtId="43" fontId="22" fillId="0" borderId="2" xfId="1" applyFont="1" applyBorder="1" applyAlignment="1">
      <alignment horizontal="center" vertical="center" wrapText="1"/>
    </xf>
    <xf numFmtId="43" fontId="5" fillId="7" borderId="2" xfId="1" applyFont="1" applyFill="1" applyBorder="1" applyAlignment="1">
      <alignment horizontal="center" vertical="center"/>
    </xf>
    <xf numFmtId="43" fontId="5" fillId="7" borderId="6" xfId="1" applyFont="1" applyFill="1" applyBorder="1" applyAlignment="1">
      <alignment vertical="center"/>
    </xf>
    <xf numFmtId="43" fontId="24" fillId="7" borderId="2" xfId="1" applyFont="1" applyFill="1" applyBorder="1" applyAlignment="1">
      <alignment horizontal="center" vertical="center"/>
    </xf>
    <xf numFmtId="9" fontId="24" fillId="0" borderId="2" xfId="2" applyFont="1" applyBorder="1" applyAlignment="1">
      <alignment horizontal="center"/>
    </xf>
    <xf numFmtId="0" fontId="24" fillId="7" borderId="2" xfId="1" applyNumberFormat="1" applyFont="1" applyFill="1" applyBorder="1" applyAlignment="1">
      <alignment horizontal="center" vertical="center"/>
    </xf>
    <xf numFmtId="1" fontId="5" fillId="0" borderId="2"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1" xfId="0" applyNumberFormat="1" applyFont="1" applyBorder="1" applyAlignment="1">
      <alignment horizontal="center" vertical="center"/>
    </xf>
    <xf numFmtId="0" fontId="5" fillId="0" borderId="2" xfId="0" applyFont="1" applyBorder="1" applyAlignment="1">
      <alignment horizontal="justify"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justify" vertical="center" wrapText="1"/>
    </xf>
    <xf numFmtId="0" fontId="5" fillId="0" borderId="11" xfId="0" applyFont="1" applyBorder="1" applyAlignment="1">
      <alignment horizontal="justify" vertical="center" wrapText="1"/>
    </xf>
    <xf numFmtId="1" fontId="5" fillId="0" borderId="2" xfId="0" applyNumberFormat="1" applyFont="1" applyBorder="1" applyAlignment="1">
      <alignment horizontal="center" vertical="center"/>
    </xf>
    <xf numFmtId="0" fontId="5" fillId="0" borderId="6" xfId="0" applyFont="1" applyBorder="1" applyAlignment="1">
      <alignment horizontal="justify" vertical="center"/>
    </xf>
    <xf numFmtId="0" fontId="5" fillId="0" borderId="2" xfId="0" applyFont="1" applyBorder="1" applyAlignment="1">
      <alignment horizontal="justify" vertical="center"/>
    </xf>
    <xf numFmtId="0" fontId="5" fillId="0" borderId="16" xfId="0"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1" fontId="5" fillId="0" borderId="52" xfId="0" applyNumberFormat="1" applyFont="1" applyFill="1" applyBorder="1" applyAlignment="1">
      <alignment horizontal="center" vertical="center"/>
    </xf>
    <xf numFmtId="1" fontId="5" fillId="0" borderId="16"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43" fontId="5" fillId="0" borderId="11" xfId="4" applyFont="1" applyFill="1" applyBorder="1" applyAlignment="1">
      <alignment horizontal="center" vertical="center" wrapText="1"/>
    </xf>
    <xf numFmtId="43" fontId="5" fillId="0" borderId="13" xfId="4" applyFont="1" applyFill="1" applyBorder="1" applyAlignment="1">
      <alignment horizontal="center" vertical="center" wrapText="1"/>
    </xf>
    <xf numFmtId="0" fontId="5" fillId="0" borderId="13" xfId="0" applyFont="1" applyBorder="1" applyAlignment="1">
      <alignment horizontal="justify" vertical="center" wrapText="1"/>
    </xf>
    <xf numFmtId="0" fontId="5" fillId="0" borderId="2" xfId="0" applyFont="1" applyBorder="1" applyAlignment="1">
      <alignment horizontal="center" vertical="center"/>
    </xf>
    <xf numFmtId="0" fontId="6" fillId="9" borderId="9" xfId="0" applyFont="1" applyFill="1" applyBorder="1" applyAlignment="1">
      <alignment horizontal="left" vertical="center"/>
    </xf>
    <xf numFmtId="0" fontId="6" fillId="8" borderId="9" xfId="0" applyFont="1" applyFill="1" applyBorder="1" applyAlignment="1">
      <alignment horizontal="left" vertical="center"/>
    </xf>
    <xf numFmtId="1" fontId="6" fillId="3" borderId="11" xfId="0" applyNumberFormat="1" applyFont="1" applyFill="1" applyBorder="1" applyAlignment="1">
      <alignment horizontal="center" vertical="center" wrapText="1"/>
    </xf>
    <xf numFmtId="0" fontId="6" fillId="0" borderId="2" xfId="0" applyFont="1" applyBorder="1" applyAlignment="1">
      <alignment horizontal="center" vertical="center"/>
    </xf>
    <xf numFmtId="0" fontId="5" fillId="0" borderId="0" xfId="0" applyFont="1" applyAlignment="1">
      <alignment horizontal="justify"/>
    </xf>
    <xf numFmtId="0" fontId="5" fillId="0" borderId="1" xfId="0" applyFont="1" applyBorder="1" applyAlignment="1">
      <alignment horizontal="justify" vertical="center" wrapText="1"/>
    </xf>
    <xf numFmtId="0" fontId="5" fillId="0" borderId="11" xfId="0" applyFont="1" applyFill="1" applyBorder="1" applyAlignment="1">
      <alignment horizontal="left" vertical="center" wrapText="1"/>
    </xf>
    <xf numFmtId="0" fontId="5" fillId="0" borderId="6"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5" fillId="7" borderId="11" xfId="0" applyFont="1" applyFill="1" applyBorder="1" applyAlignment="1">
      <alignment horizontal="center" vertical="center"/>
    </xf>
    <xf numFmtId="0" fontId="6" fillId="7" borderId="2" xfId="0" applyFont="1" applyFill="1" applyBorder="1" applyAlignment="1">
      <alignment horizontal="center" vertical="center"/>
    </xf>
    <xf numFmtId="0" fontId="5" fillId="7" borderId="2"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1" xfId="0" applyFont="1" applyFill="1" applyBorder="1" applyAlignment="1">
      <alignment horizontal="justify" vertical="center" wrapText="1"/>
    </xf>
    <xf numFmtId="0" fontId="5" fillId="7" borderId="13" xfId="0" applyFont="1" applyFill="1" applyBorder="1" applyAlignment="1">
      <alignment horizontal="center" vertical="center" wrapText="1"/>
    </xf>
    <xf numFmtId="0" fontId="5" fillId="7" borderId="6" xfId="0" applyFont="1" applyFill="1" applyBorder="1" applyAlignment="1">
      <alignment horizontal="justify" vertical="center" wrapText="1"/>
    </xf>
    <xf numFmtId="0" fontId="5" fillId="7"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9" fillId="0" borderId="14" xfId="0" applyFont="1" applyBorder="1" applyAlignment="1">
      <alignment horizontal="justify" vertical="center" wrapText="1"/>
    </xf>
    <xf numFmtId="170" fontId="6" fillId="3" borderId="11" xfId="0" applyNumberFormat="1" applyFont="1" applyFill="1" applyBorder="1" applyAlignment="1">
      <alignment horizontal="center" vertical="center" wrapText="1"/>
    </xf>
    <xf numFmtId="9" fontId="5" fillId="7" borderId="11" xfId="18" applyFont="1" applyFill="1" applyBorder="1" applyAlignment="1">
      <alignment horizontal="center" vertical="center"/>
    </xf>
    <xf numFmtId="9" fontId="5" fillId="7" borderId="6" xfId="18" applyFont="1" applyFill="1" applyBorder="1" applyAlignment="1">
      <alignment horizontal="center" vertical="center"/>
    </xf>
    <xf numFmtId="9" fontId="5" fillId="7" borderId="13" xfId="18" applyFont="1" applyFill="1" applyBorder="1" applyAlignment="1">
      <alignment horizontal="center" vertical="center"/>
    </xf>
    <xf numFmtId="0" fontId="5" fillId="7" borderId="13" xfId="0" applyFont="1" applyFill="1" applyBorder="1" applyAlignment="1">
      <alignment horizontal="justify" vertical="center" wrapText="1"/>
    </xf>
    <xf numFmtId="1" fontId="6" fillId="3" borderId="2"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1" fontId="6" fillId="6" borderId="4" xfId="0" applyNumberFormat="1" applyFont="1" applyFill="1" applyBorder="1" applyAlignment="1">
      <alignment horizontal="left" vertical="center"/>
    </xf>
    <xf numFmtId="0" fontId="6" fillId="6" borderId="5" xfId="0" applyFont="1" applyFill="1" applyBorder="1" applyAlignment="1">
      <alignment horizontal="left" vertical="center"/>
    </xf>
    <xf numFmtId="0" fontId="6" fillId="6" borderId="11" xfId="0" applyFont="1" applyFill="1" applyBorder="1" applyAlignment="1">
      <alignment horizontal="left" vertical="center"/>
    </xf>
    <xf numFmtId="170" fontId="6" fillId="6" borderId="5" xfId="0" applyNumberFormat="1" applyFont="1" applyFill="1" applyBorder="1" applyAlignment="1">
      <alignment horizontal="left" vertical="center"/>
    </xf>
    <xf numFmtId="169" fontId="6" fillId="6" borderId="5" xfId="0" applyNumberFormat="1" applyFont="1" applyFill="1" applyBorder="1" applyAlignment="1">
      <alignment horizontal="left" vertical="center"/>
    </xf>
    <xf numFmtId="0" fontId="40" fillId="0" borderId="0" xfId="0" applyFont="1"/>
    <xf numFmtId="1" fontId="6" fillId="7" borderId="4" xfId="0" applyNumberFormat="1" applyFont="1" applyFill="1" applyBorder="1" applyAlignment="1">
      <alignment horizontal="center" vertical="center" wrapText="1"/>
    </xf>
    <xf numFmtId="1" fontId="6" fillId="7" borderId="5" xfId="0" applyNumberFormat="1" applyFont="1" applyFill="1" applyBorder="1" applyAlignment="1">
      <alignment horizontal="center" vertical="center" wrapText="1"/>
    </xf>
    <xf numFmtId="1" fontId="6" fillId="7" borderId="10" xfId="0" applyNumberFormat="1" applyFont="1" applyFill="1" applyBorder="1" applyAlignment="1">
      <alignment horizontal="center" vertical="center" wrapText="1"/>
    </xf>
    <xf numFmtId="1" fontId="6" fillId="8" borderId="5" xfId="0" applyNumberFormat="1" applyFont="1" applyFill="1" applyBorder="1" applyAlignment="1">
      <alignment horizontal="left" vertical="center"/>
    </xf>
    <xf numFmtId="0" fontId="6" fillId="8" borderId="5" xfId="0" applyFont="1" applyFill="1" applyBorder="1" applyAlignment="1">
      <alignment horizontal="left" vertical="center"/>
    </xf>
    <xf numFmtId="0" fontId="6" fillId="8" borderId="11" xfId="0" applyFont="1" applyFill="1" applyBorder="1" applyAlignment="1">
      <alignment horizontal="left" vertical="center"/>
    </xf>
    <xf numFmtId="170" fontId="6" fillId="8" borderId="5" xfId="0" applyNumberFormat="1" applyFont="1" applyFill="1" applyBorder="1" applyAlignment="1">
      <alignment horizontal="left" vertical="center"/>
    </xf>
    <xf numFmtId="169" fontId="6" fillId="8" borderId="5" xfId="0" applyNumberFormat="1" applyFont="1" applyFill="1" applyBorder="1" applyAlignment="1">
      <alignment horizontal="left" vertical="center"/>
    </xf>
    <xf numFmtId="167" fontId="6" fillId="8" borderId="5" xfId="0" applyNumberFormat="1" applyFont="1" applyFill="1" applyBorder="1" applyAlignment="1">
      <alignment horizontal="left" vertical="center"/>
    </xf>
    <xf numFmtId="0" fontId="40" fillId="8" borderId="5" xfId="0" applyFont="1" applyFill="1" applyBorder="1"/>
    <xf numFmtId="0" fontId="40" fillId="8" borderId="10" xfId="0" applyFont="1" applyFill="1" applyBorder="1" applyAlignment="1">
      <alignment horizontal="justify"/>
    </xf>
    <xf numFmtId="1" fontId="6" fillId="7" borderId="14" xfId="0" applyNumberFormat="1" applyFont="1" applyFill="1" applyBorder="1" applyAlignment="1">
      <alignment horizontal="center" vertical="center" wrapText="1"/>
    </xf>
    <xf numFmtId="1" fontId="6" fillId="7" borderId="0" xfId="0" applyNumberFormat="1" applyFont="1" applyFill="1" applyAlignment="1">
      <alignment horizontal="center" vertical="center" wrapText="1"/>
    </xf>
    <xf numFmtId="0" fontId="6" fillId="7" borderId="4"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10" xfId="0" applyFont="1" applyFill="1" applyBorder="1" applyAlignment="1">
      <alignment horizontal="center" vertical="center"/>
    </xf>
    <xf numFmtId="1" fontId="6" fillId="9" borderId="9" xfId="0" applyNumberFormat="1" applyFont="1" applyFill="1" applyBorder="1" applyAlignment="1">
      <alignment horizontal="left" vertical="center"/>
    </xf>
    <xf numFmtId="0" fontId="6" fillId="9" borderId="11" xfId="0" applyFont="1" applyFill="1" applyBorder="1" applyAlignment="1">
      <alignment horizontal="left" vertical="center"/>
    </xf>
    <xf numFmtId="170" fontId="6" fillId="9" borderId="9" xfId="0" applyNumberFormat="1" applyFont="1" applyFill="1" applyBorder="1" applyAlignment="1">
      <alignment horizontal="left" vertical="center"/>
    </xf>
    <xf numFmtId="169" fontId="6" fillId="9" borderId="9" xfId="0" applyNumberFormat="1" applyFont="1" applyFill="1" applyBorder="1" applyAlignment="1">
      <alignment horizontal="left" vertical="center"/>
    </xf>
    <xf numFmtId="0" fontId="6" fillId="9" borderId="16" xfId="0" applyFont="1" applyFill="1" applyBorder="1" applyAlignment="1">
      <alignment horizontal="justify" vertical="center"/>
    </xf>
    <xf numFmtId="0" fontId="6" fillId="9" borderId="16" xfId="0" applyFont="1" applyFill="1" applyBorder="1" applyAlignment="1">
      <alignment horizontal="center" vertical="center"/>
    </xf>
    <xf numFmtId="0" fontId="6" fillId="9" borderId="16" xfId="0" applyFont="1" applyFill="1" applyBorder="1" applyAlignment="1">
      <alignment horizontal="left" vertical="center"/>
    </xf>
    <xf numFmtId="1" fontId="5" fillId="9" borderId="9" xfId="0" applyNumberFormat="1" applyFont="1" applyFill="1" applyBorder="1" applyAlignment="1">
      <alignment vertical="center" wrapText="1"/>
    </xf>
    <xf numFmtId="167" fontId="6" fillId="9" borderId="9" xfId="0" applyNumberFormat="1" applyFont="1" applyFill="1" applyBorder="1" applyAlignment="1">
      <alignment horizontal="left" vertical="center"/>
    </xf>
    <xf numFmtId="0" fontId="40" fillId="9" borderId="9" xfId="0" applyFont="1" applyFill="1" applyBorder="1"/>
    <xf numFmtId="0" fontId="40" fillId="9" borderId="1" xfId="0" applyFont="1" applyFill="1" applyBorder="1" applyAlignment="1">
      <alignment horizontal="justify"/>
    </xf>
    <xf numFmtId="0" fontId="6" fillId="7" borderId="14" xfId="0" applyFont="1" applyFill="1" applyBorder="1" applyAlignment="1">
      <alignment horizontal="center" vertical="center"/>
    </xf>
    <xf numFmtId="0" fontId="6" fillId="7" borderId="0" xfId="0" applyFont="1" applyFill="1" applyAlignment="1">
      <alignment horizontal="center" vertical="center"/>
    </xf>
    <xf numFmtId="0" fontId="6" fillId="7" borderId="15" xfId="0" applyFont="1" applyFill="1" applyBorder="1" applyAlignment="1">
      <alignment horizontal="center" vertical="center"/>
    </xf>
    <xf numFmtId="0" fontId="40" fillId="0" borderId="0" xfId="0" applyFont="1" applyAlignment="1">
      <alignment vertical="center"/>
    </xf>
    <xf numFmtId="4" fontId="9" fillId="0" borderId="16" xfId="1" applyNumberFormat="1" applyFont="1" applyFill="1" applyBorder="1" applyAlignment="1">
      <alignment horizontal="right" vertical="center"/>
    </xf>
    <xf numFmtId="41" fontId="5" fillId="0" borderId="16" xfId="0" applyNumberFormat="1" applyFont="1" applyFill="1" applyBorder="1" applyAlignment="1">
      <alignment horizontal="left" vertical="center" wrapText="1"/>
    </xf>
    <xf numFmtId="4" fontId="40" fillId="0" borderId="16" xfId="0" applyNumberFormat="1" applyFont="1" applyFill="1" applyBorder="1" applyAlignment="1">
      <alignment horizontal="right" vertical="center"/>
    </xf>
    <xf numFmtId="1" fontId="40" fillId="0" borderId="16" xfId="0" applyNumberFormat="1" applyFont="1" applyFill="1" applyBorder="1" applyAlignment="1">
      <alignment horizontal="center" vertical="center" wrapText="1"/>
    </xf>
    <xf numFmtId="41" fontId="40" fillId="0" borderId="16" xfId="0" applyNumberFormat="1" applyFont="1" applyFill="1" applyBorder="1" applyAlignment="1">
      <alignment horizontal="left" vertical="center"/>
    </xf>
    <xf numFmtId="4" fontId="5" fillId="0" borderId="16" xfId="4" applyNumberFormat="1" applyFont="1" applyFill="1" applyBorder="1" applyAlignment="1">
      <alignment vertical="center"/>
    </xf>
    <xf numFmtId="0" fontId="5" fillId="0" borderId="16" xfId="0" applyFont="1" applyFill="1" applyBorder="1" applyAlignment="1">
      <alignment horizontal="left" vertical="center" wrapText="1"/>
    </xf>
    <xf numFmtId="4" fontId="5" fillId="0" borderId="16" xfId="4" applyNumberFormat="1" applyFont="1" applyFill="1" applyBorder="1" applyAlignment="1">
      <alignment horizontal="right" vertical="center"/>
    </xf>
    <xf numFmtId="4" fontId="5" fillId="0" borderId="16" xfId="4" applyNumberFormat="1" applyFont="1" applyFill="1" applyBorder="1" applyAlignment="1">
      <alignment horizontal="right" vertical="center" wrapText="1"/>
    </xf>
    <xf numFmtId="0" fontId="40" fillId="0" borderId="0" xfId="0" applyFont="1" applyAlignment="1">
      <alignment wrapText="1"/>
    </xf>
    <xf numFmtId="0" fontId="5" fillId="0" borderId="16" xfId="0" applyFont="1" applyFill="1" applyBorder="1" applyAlignment="1">
      <alignment horizontal="left" vertical="center"/>
    </xf>
    <xf numFmtId="0" fontId="40" fillId="0" borderId="16" xfId="0" applyFont="1" applyFill="1" applyBorder="1" applyAlignment="1">
      <alignment horizontal="center" vertical="center"/>
    </xf>
    <xf numFmtId="0" fontId="40" fillId="0" borderId="16" xfId="0" applyFont="1" applyFill="1" applyBorder="1" applyAlignment="1">
      <alignment horizontal="left" vertical="center"/>
    </xf>
    <xf numFmtId="1" fontId="6" fillId="7" borderId="14" xfId="0" applyNumberFormat="1" applyFont="1" applyFill="1" applyBorder="1" applyAlignment="1">
      <alignment horizontal="justify" vertical="center"/>
    </xf>
    <xf numFmtId="1" fontId="6" fillId="7" borderId="0" xfId="0" applyNumberFormat="1" applyFont="1" applyFill="1" applyAlignment="1">
      <alignment horizontal="justify" vertical="center"/>
    </xf>
    <xf numFmtId="1" fontId="6" fillId="7" borderId="15" xfId="0" applyNumberFormat="1" applyFont="1" applyFill="1" applyBorder="1" applyAlignment="1">
      <alignment horizontal="justify" vertical="center"/>
    </xf>
    <xf numFmtId="1" fontId="6" fillId="9" borderId="5" xfId="0" applyNumberFormat="1" applyFont="1" applyFill="1" applyBorder="1" applyAlignment="1">
      <alignment horizontal="justify" vertical="center"/>
    </xf>
    <xf numFmtId="0" fontId="6" fillId="9" borderId="6" xfId="0" applyNumberFormat="1" applyFont="1" applyFill="1" applyBorder="1" applyAlignment="1">
      <alignment vertical="center"/>
    </xf>
    <xf numFmtId="0" fontId="6" fillId="9" borderId="3" xfId="0" applyFont="1" applyFill="1" applyBorder="1" applyAlignment="1">
      <alignment horizontal="center" vertical="center"/>
    </xf>
    <xf numFmtId="43" fontId="6" fillId="9" borderId="9" xfId="4" applyFont="1" applyFill="1" applyBorder="1" applyAlignment="1">
      <alignment vertical="center"/>
    </xf>
    <xf numFmtId="4" fontId="6" fillId="9" borderId="16" xfId="0" applyNumberFormat="1" applyFont="1" applyFill="1" applyBorder="1" applyAlignment="1">
      <alignment horizontal="justify" vertical="center"/>
    </xf>
    <xf numFmtId="43" fontId="40" fillId="9" borderId="9" xfId="1" applyFont="1" applyFill="1" applyBorder="1"/>
    <xf numFmtId="0" fontId="40" fillId="9" borderId="1" xfId="0" applyFont="1" applyFill="1" applyBorder="1" applyAlignment="1">
      <alignment horizontal="center" vertical="center"/>
    </xf>
    <xf numFmtId="1" fontId="5" fillId="7" borderId="14" xfId="0" applyNumberFormat="1" applyFont="1" applyFill="1" applyBorder="1" applyAlignment="1">
      <alignment horizontal="justify" vertical="center"/>
    </xf>
    <xf numFmtId="1" fontId="5" fillId="7" borderId="0" xfId="0" applyNumberFormat="1" applyFont="1" applyFill="1" applyAlignment="1">
      <alignment horizontal="justify" vertical="center"/>
    </xf>
    <xf numFmtId="0" fontId="5" fillId="7" borderId="14" xfId="0" applyFont="1" applyFill="1" applyBorder="1" applyAlignment="1">
      <alignment horizontal="justify" vertical="center"/>
    </xf>
    <xf numFmtId="0" fontId="5" fillId="7" borderId="4" xfId="0" applyFont="1" applyFill="1" applyBorder="1" applyAlignment="1">
      <alignment horizontal="justify" vertical="center"/>
    </xf>
    <xf numFmtId="0" fontId="5" fillId="7" borderId="5" xfId="0" applyFont="1" applyFill="1" applyBorder="1" applyAlignment="1">
      <alignment horizontal="justify" vertical="center"/>
    </xf>
    <xf numFmtId="0" fontId="5" fillId="7" borderId="10" xfId="0" applyFont="1" applyFill="1" applyBorder="1" applyAlignment="1">
      <alignment horizontal="justify" vertical="center"/>
    </xf>
    <xf numFmtId="43" fontId="5" fillId="0" borderId="52" xfId="4" applyFont="1" applyFill="1" applyBorder="1" applyAlignment="1">
      <alignment horizontal="center" vertical="center"/>
    </xf>
    <xf numFmtId="0" fontId="5" fillId="0" borderId="52" xfId="0" applyFont="1" applyFill="1" applyBorder="1" applyAlignment="1">
      <alignment horizontal="left"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7" borderId="15" xfId="0" applyFont="1" applyFill="1" applyBorder="1" applyAlignment="1">
      <alignment horizontal="justify" vertical="center"/>
    </xf>
    <xf numFmtId="43" fontId="5" fillId="0" borderId="16" xfId="4" applyFont="1" applyFill="1" applyBorder="1" applyAlignment="1">
      <alignment horizontal="center" vertical="center"/>
    </xf>
    <xf numFmtId="0" fontId="5" fillId="0" borderId="1" xfId="0" applyFont="1" applyBorder="1" applyAlignment="1">
      <alignment horizontal="center" vertical="center"/>
    </xf>
    <xf numFmtId="0" fontId="5" fillId="7" borderId="2" xfId="0" applyFont="1" applyFill="1" applyBorder="1" applyAlignment="1">
      <alignment horizontal="justify" vertical="center"/>
    </xf>
    <xf numFmtId="0" fontId="5" fillId="0" borderId="2" xfId="0" applyNumberFormat="1" applyFont="1" applyBorder="1" applyAlignment="1">
      <alignment horizontal="center" vertical="center"/>
    </xf>
    <xf numFmtId="9" fontId="5" fillId="7" borderId="11" xfId="2" applyFont="1" applyFill="1" applyBorder="1" applyAlignment="1">
      <alignment horizontal="center" vertical="center"/>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185" fontId="42" fillId="0" borderId="2" xfId="0" applyNumberFormat="1" applyFont="1" applyBorder="1" applyAlignment="1">
      <alignment horizontal="right" vertical="center"/>
    </xf>
    <xf numFmtId="0" fontId="40" fillId="0" borderId="2" xfId="0" applyFont="1" applyFill="1" applyBorder="1" applyAlignment="1">
      <alignment horizontal="left"/>
    </xf>
    <xf numFmtId="0" fontId="5" fillId="7" borderId="8" xfId="0" applyFont="1" applyFill="1" applyBorder="1" applyAlignment="1">
      <alignment horizontal="center" vertical="center"/>
    </xf>
    <xf numFmtId="0" fontId="41" fillId="0" borderId="6" xfId="0" applyFont="1" applyFill="1" applyBorder="1" applyAlignment="1">
      <alignment horizontal="center" vertical="center" wrapText="1"/>
    </xf>
    <xf numFmtId="43" fontId="10" fillId="0" borderId="2" xfId="4" applyFont="1" applyFill="1" applyBorder="1" applyAlignment="1">
      <alignment horizontal="center" vertical="center"/>
    </xf>
    <xf numFmtId="0" fontId="5" fillId="0" borderId="11" xfId="0" applyFont="1" applyFill="1" applyBorder="1" applyAlignment="1">
      <alignment horizontal="left" vertical="center"/>
    </xf>
    <xf numFmtId="166" fontId="5" fillId="0" borderId="11" xfId="4" applyNumberFormat="1" applyFont="1" applyFill="1" applyBorder="1" applyAlignment="1">
      <alignment horizontal="center" vertical="center" wrapText="1"/>
    </xf>
    <xf numFmtId="0" fontId="5" fillId="7" borderId="6" xfId="0" applyFont="1" applyFill="1" applyBorder="1" applyAlignment="1">
      <alignment horizontal="justify" vertical="center"/>
    </xf>
    <xf numFmtId="0" fontId="5" fillId="0" borderId="16" xfId="0" applyFont="1" applyBorder="1" applyAlignment="1">
      <alignment horizontal="justify" vertical="center" wrapText="1"/>
    </xf>
    <xf numFmtId="166" fontId="5" fillId="0" borderId="10" xfId="4" applyNumberFormat="1" applyFont="1" applyFill="1" applyBorder="1" applyAlignment="1">
      <alignment horizontal="center" vertical="center" wrapText="1"/>
    </xf>
    <xf numFmtId="0" fontId="5" fillId="0" borderId="6" xfId="0" applyFont="1" applyBorder="1" applyAlignment="1">
      <alignment horizontal="center" vertical="center"/>
    </xf>
    <xf numFmtId="0" fontId="5" fillId="7" borderId="15" xfId="0" applyFont="1" applyFill="1" applyBorder="1" applyAlignment="1">
      <alignment horizontal="center" vertical="center"/>
    </xf>
    <xf numFmtId="0" fontId="5" fillId="7" borderId="0" xfId="0" applyFont="1" applyFill="1" applyAlignment="1">
      <alignment horizontal="center" vertical="center"/>
    </xf>
    <xf numFmtId="0" fontId="5" fillId="0" borderId="16" xfId="0" applyFont="1" applyFill="1" applyBorder="1" applyAlignment="1">
      <alignment horizontal="center" vertical="center"/>
    </xf>
    <xf numFmtId="0" fontId="5" fillId="7" borderId="3" xfId="0" applyFont="1" applyFill="1" applyBorder="1" applyAlignment="1">
      <alignment horizontal="justify" vertical="center"/>
    </xf>
    <xf numFmtId="1" fontId="6" fillId="8" borderId="0" xfId="0" applyNumberFormat="1" applyFont="1" applyFill="1" applyAlignment="1">
      <alignment horizontal="justify" vertical="center"/>
    </xf>
    <xf numFmtId="0" fontId="6" fillId="8" borderId="0" xfId="0" applyFont="1" applyFill="1" applyAlignment="1">
      <alignment horizontal="left" vertical="center"/>
    </xf>
    <xf numFmtId="0" fontId="6" fillId="8" borderId="11" xfId="0" applyNumberFormat="1" applyFont="1" applyFill="1" applyBorder="1" applyAlignment="1">
      <alignment vertical="center"/>
    </xf>
    <xf numFmtId="170" fontId="6" fillId="8" borderId="5" xfId="0" applyNumberFormat="1" applyFont="1" applyFill="1" applyBorder="1" applyAlignment="1">
      <alignment horizontal="center" vertical="center"/>
    </xf>
    <xf numFmtId="43" fontId="6" fillId="8" borderId="5" xfId="4" applyFont="1" applyFill="1" applyBorder="1" applyAlignment="1">
      <alignment vertical="center"/>
    </xf>
    <xf numFmtId="167" fontId="6" fillId="8" borderId="5" xfId="0" applyNumberFormat="1" applyFont="1" applyFill="1" applyBorder="1" applyAlignment="1">
      <alignment horizontal="center" vertical="center"/>
    </xf>
    <xf numFmtId="43" fontId="40" fillId="8" borderId="5" xfId="1" applyFont="1" applyFill="1" applyBorder="1"/>
    <xf numFmtId="0" fontId="40" fillId="8" borderId="10" xfId="0" applyFont="1" applyFill="1" applyBorder="1" applyAlignment="1">
      <alignment horizontal="center" vertical="center"/>
    </xf>
    <xf numFmtId="0" fontId="6" fillId="7" borderId="0" xfId="0" applyFont="1" applyFill="1" applyAlignment="1">
      <alignment horizontal="justify" vertical="center"/>
    </xf>
    <xf numFmtId="0" fontId="6" fillId="7" borderId="4" xfId="0" applyFont="1" applyFill="1" applyBorder="1" applyAlignment="1">
      <alignment horizontal="justify" vertical="center"/>
    </xf>
    <xf numFmtId="0" fontId="6" fillId="7" borderId="5" xfId="0" applyFont="1" applyFill="1" applyBorder="1" applyAlignment="1">
      <alignment horizontal="justify" vertical="center"/>
    </xf>
    <xf numFmtId="0" fontId="6" fillId="7" borderId="10" xfId="0" applyFont="1" applyFill="1" applyBorder="1" applyAlignment="1">
      <alignment horizontal="justify" vertical="center"/>
    </xf>
    <xf numFmtId="1" fontId="6" fillId="9" borderId="9" xfId="0" applyNumberFormat="1" applyFont="1" applyFill="1" applyBorder="1" applyAlignment="1">
      <alignment horizontal="justify" vertical="center"/>
    </xf>
    <xf numFmtId="0" fontId="6" fillId="9" borderId="2" xfId="0" applyNumberFormat="1" applyFont="1" applyFill="1" applyBorder="1" applyAlignment="1">
      <alignment vertical="center"/>
    </xf>
    <xf numFmtId="0" fontId="6" fillId="7" borderId="14" xfId="0" applyFont="1" applyFill="1" applyBorder="1" applyAlignment="1">
      <alignment horizontal="justify" vertical="center"/>
    </xf>
    <xf numFmtId="0" fontId="6" fillId="7" borderId="15" xfId="0" applyFont="1" applyFill="1" applyBorder="1" applyAlignment="1">
      <alignment horizontal="justify" vertical="center"/>
    </xf>
    <xf numFmtId="0" fontId="41" fillId="0" borderId="56" xfId="0" applyFont="1" applyFill="1" applyBorder="1" applyAlignment="1">
      <alignment horizontal="center" vertical="center" wrapText="1"/>
    </xf>
    <xf numFmtId="0" fontId="5" fillId="7" borderId="13" xfId="0" applyFont="1" applyFill="1" applyBorder="1" applyAlignment="1">
      <alignment horizontal="center"/>
    </xf>
    <xf numFmtId="0" fontId="5" fillId="0" borderId="13" xfId="0" applyFont="1" applyBorder="1" applyAlignment="1">
      <alignment horizontal="justify" vertical="center"/>
    </xf>
    <xf numFmtId="43" fontId="5" fillId="0" borderId="13" xfId="4" applyFont="1" applyFill="1" applyBorder="1" applyAlignment="1">
      <alignment horizontal="justify" vertical="center"/>
    </xf>
    <xf numFmtId="0" fontId="40" fillId="0" borderId="11" xfId="0" applyFont="1" applyFill="1" applyBorder="1" applyAlignment="1">
      <alignment horizontal="left"/>
    </xf>
    <xf numFmtId="41" fontId="5" fillId="0" borderId="16" xfId="4" applyNumberFormat="1" applyFont="1" applyFill="1" applyBorder="1" applyAlignment="1">
      <alignment horizontal="right" vertical="center" wrapText="1"/>
    </xf>
    <xf numFmtId="41" fontId="40" fillId="0" borderId="16" xfId="0" applyNumberFormat="1" applyFont="1" applyFill="1" applyBorder="1" applyAlignment="1">
      <alignment horizontal="right" vertical="center"/>
    </xf>
    <xf numFmtId="43" fontId="5" fillId="0" borderId="6" xfId="4" applyFont="1" applyFill="1" applyBorder="1" applyAlignment="1">
      <alignment horizontal="justify" vertical="center"/>
    </xf>
    <xf numFmtId="9" fontId="5" fillId="7" borderId="2" xfId="18" applyFont="1" applyFill="1" applyBorder="1" applyAlignment="1">
      <alignment horizontal="center" vertical="center"/>
    </xf>
    <xf numFmtId="43" fontId="5" fillId="0" borderId="2" xfId="4" applyFont="1" applyFill="1" applyBorder="1" applyAlignment="1">
      <alignment horizontal="justify" vertical="center"/>
    </xf>
    <xf numFmtId="43" fontId="11" fillId="0" borderId="2" xfId="4" applyFont="1" applyFill="1" applyBorder="1" applyAlignment="1">
      <alignment horizontal="center" vertical="center"/>
    </xf>
    <xf numFmtId="0" fontId="5" fillId="0" borderId="11" xfId="0" applyFont="1" applyBorder="1" applyAlignment="1">
      <alignment horizontal="center" vertical="center"/>
    </xf>
    <xf numFmtId="0" fontId="5" fillId="7" borderId="11" xfId="0" applyFont="1" applyFill="1" applyBorder="1" applyAlignment="1">
      <alignment horizontal="justify" vertical="center"/>
    </xf>
    <xf numFmtId="0" fontId="5" fillId="0" borderId="11" xfId="0" applyFont="1" applyBorder="1" applyAlignment="1">
      <alignment horizontal="justify" vertical="center"/>
    </xf>
    <xf numFmtId="0" fontId="5" fillId="7" borderId="14" xfId="0" applyFont="1" applyFill="1" applyBorder="1"/>
    <xf numFmtId="0" fontId="6" fillId="7" borderId="14" xfId="0" applyFont="1" applyFill="1" applyBorder="1" applyAlignment="1">
      <alignment vertical="center"/>
    </xf>
    <xf numFmtId="0" fontId="6" fillId="7" borderId="0" xfId="0" applyFont="1" applyFill="1" applyAlignment="1">
      <alignment vertical="center"/>
    </xf>
    <xf numFmtId="0" fontId="6" fillId="7" borderId="15" xfId="0" applyFont="1" applyFill="1" applyBorder="1" applyAlignment="1">
      <alignment vertical="center"/>
    </xf>
    <xf numFmtId="0" fontId="5" fillId="0" borderId="0" xfId="0" applyFont="1" applyAlignment="1">
      <alignment horizontal="center"/>
    </xf>
    <xf numFmtId="10" fontId="5" fillId="0" borderId="8" xfId="18" applyNumberFormat="1" applyFont="1" applyBorder="1" applyAlignment="1">
      <alignment horizontal="center" vertical="center"/>
    </xf>
    <xf numFmtId="166" fontId="5" fillId="0" borderId="2" xfId="4" applyNumberFormat="1" applyFont="1" applyFill="1" applyBorder="1" applyAlignment="1">
      <alignment vertical="center"/>
    </xf>
    <xf numFmtId="166" fontId="5" fillId="0" borderId="11" xfId="4" applyNumberFormat="1" applyFont="1" applyFill="1" applyBorder="1" applyAlignment="1">
      <alignment horizontal="center" vertical="center"/>
    </xf>
    <xf numFmtId="0" fontId="40" fillId="0" borderId="16" xfId="0" applyFont="1" applyBorder="1" applyAlignment="1">
      <alignment horizontal="justify" vertical="center" wrapText="1"/>
    </xf>
    <xf numFmtId="43" fontId="40" fillId="0" borderId="17" xfId="1" applyFont="1" applyFill="1" applyBorder="1" applyAlignment="1">
      <alignment vertical="center"/>
    </xf>
    <xf numFmtId="186" fontId="40" fillId="0" borderId="17" xfId="0" applyNumberFormat="1" applyFont="1" applyFill="1" applyBorder="1" applyAlignment="1">
      <alignment vertical="center"/>
    </xf>
    <xf numFmtId="43" fontId="5" fillId="0" borderId="2" xfId="4" applyFont="1" applyFill="1" applyBorder="1" applyAlignment="1">
      <alignment horizontal="justify" vertical="center" wrapText="1"/>
    </xf>
    <xf numFmtId="3" fontId="41" fillId="0" borderId="2" xfId="0" applyNumberFormat="1" applyFont="1" applyFill="1" applyBorder="1" applyAlignment="1">
      <alignment horizontal="center" vertical="center" wrapText="1"/>
    </xf>
    <xf numFmtId="3" fontId="5" fillId="0" borderId="4" xfId="0" applyNumberFormat="1" applyFont="1" applyBorder="1" applyAlignment="1">
      <alignment horizontal="center" vertical="center"/>
    </xf>
    <xf numFmtId="3" fontId="5" fillId="0" borderId="7" xfId="0" applyNumberFormat="1" applyFont="1" applyBorder="1" applyAlignment="1">
      <alignment horizontal="center" vertical="center"/>
    </xf>
    <xf numFmtId="0" fontId="5" fillId="0" borderId="11" xfId="0" applyNumberFormat="1" applyFont="1" applyBorder="1" applyAlignment="1">
      <alignment horizontal="center" vertical="center"/>
    </xf>
    <xf numFmtId="10" fontId="5" fillId="0" borderId="4" xfId="18" applyNumberFormat="1" applyFont="1" applyBorder="1" applyAlignment="1">
      <alignment horizontal="center" vertical="center"/>
    </xf>
    <xf numFmtId="43" fontId="5" fillId="0" borderId="11" xfId="4" applyFont="1" applyFill="1" applyBorder="1" applyAlignment="1">
      <alignment horizontal="justify" vertical="center"/>
    </xf>
    <xf numFmtId="3" fontId="5" fillId="0" borderId="8" xfId="0" applyNumberFormat="1" applyFont="1" applyBorder="1" applyAlignment="1">
      <alignment horizontal="center" vertical="center"/>
    </xf>
    <xf numFmtId="166" fontId="5" fillId="0" borderId="16" xfId="4" applyNumberFormat="1" applyFont="1" applyFill="1" applyBorder="1" applyAlignment="1">
      <alignment horizontal="center" vertical="center"/>
    </xf>
    <xf numFmtId="166" fontId="5" fillId="0" borderId="13" xfId="4" applyNumberFormat="1" applyFont="1" applyFill="1" applyBorder="1" applyAlignment="1">
      <alignment horizontal="center" vertical="center"/>
    </xf>
    <xf numFmtId="1" fontId="5" fillId="0" borderId="6" xfId="0" applyNumberFormat="1" applyFont="1" applyFill="1" applyBorder="1" applyAlignment="1">
      <alignment horizontal="center" vertical="center" wrapText="1"/>
    </xf>
    <xf numFmtId="9" fontId="5" fillId="7" borderId="4" xfId="18" applyFont="1" applyFill="1" applyBorder="1" applyAlignment="1">
      <alignment horizontal="center" vertical="center"/>
    </xf>
    <xf numFmtId="0" fontId="5" fillId="9" borderId="6" xfId="0" applyNumberFormat="1" applyFont="1" applyFill="1" applyBorder="1" applyAlignment="1">
      <alignment horizontal="center" vertical="center"/>
    </xf>
    <xf numFmtId="0" fontId="5" fillId="7" borderId="14" xfId="0" applyFont="1" applyFill="1" applyBorder="1" applyAlignment="1">
      <alignment vertical="center"/>
    </xf>
    <xf numFmtId="0" fontId="5" fillId="7" borderId="15" xfId="0" applyFont="1" applyFill="1" applyBorder="1" applyAlignment="1">
      <alignment vertical="center"/>
    </xf>
    <xf numFmtId="0" fontId="5" fillId="7" borderId="13" xfId="0" applyFont="1" applyFill="1" applyBorder="1" applyAlignment="1">
      <alignment horizontal="center" vertical="center"/>
    </xf>
    <xf numFmtId="43" fontId="9" fillId="0" borderId="50" xfId="4" applyFont="1" applyFill="1" applyBorder="1" applyAlignment="1">
      <alignment vertical="center" wrapText="1"/>
    </xf>
    <xf numFmtId="0" fontId="5" fillId="7" borderId="7" xfId="0" applyFont="1" applyFill="1" applyBorder="1" applyAlignment="1">
      <alignment vertical="center"/>
    </xf>
    <xf numFmtId="0" fontId="5" fillId="7" borderId="3" xfId="0" applyFont="1" applyFill="1" applyBorder="1" applyAlignment="1">
      <alignment vertical="center"/>
    </xf>
    <xf numFmtId="0" fontId="5" fillId="7" borderId="12" xfId="0" applyFont="1" applyFill="1" applyBorder="1" applyAlignment="1">
      <alignment vertical="center"/>
    </xf>
    <xf numFmtId="43" fontId="9" fillId="0" borderId="16" xfId="4" applyFont="1" applyFill="1" applyBorder="1" applyAlignment="1">
      <alignment vertical="center" wrapText="1"/>
    </xf>
    <xf numFmtId="0" fontId="5" fillId="0" borderId="16" xfId="0" applyFont="1" applyFill="1" applyBorder="1" applyAlignment="1">
      <alignment vertical="center" wrapText="1"/>
    </xf>
    <xf numFmtId="1" fontId="6" fillId="7" borderId="14" xfId="0" applyNumberFormat="1" applyFont="1" applyFill="1" applyBorder="1" applyAlignment="1">
      <alignment vertical="center" wrapText="1"/>
    </xf>
    <xf numFmtId="1" fontId="6" fillId="7" borderId="0" xfId="0" applyNumberFormat="1" applyFont="1" applyFill="1" applyAlignment="1">
      <alignment vertical="center" wrapText="1"/>
    </xf>
    <xf numFmtId="1" fontId="6" fillId="7" borderId="15" xfId="0" applyNumberFormat="1" applyFont="1" applyFill="1" applyBorder="1" applyAlignment="1">
      <alignment vertical="center" wrapText="1"/>
    </xf>
    <xf numFmtId="0" fontId="6" fillId="8" borderId="9" xfId="0" applyFont="1" applyFill="1" applyBorder="1" applyAlignment="1">
      <alignment horizontal="justify" vertical="center"/>
    </xf>
    <xf numFmtId="9" fontId="5" fillId="8" borderId="2" xfId="0" applyNumberFormat="1" applyFont="1" applyFill="1" applyBorder="1" applyAlignment="1">
      <alignment horizontal="center" vertical="center"/>
    </xf>
    <xf numFmtId="0" fontId="6" fillId="8" borderId="9" xfId="0" applyFont="1" applyFill="1" applyBorder="1" applyAlignment="1">
      <alignment horizontal="center" vertical="center"/>
    </xf>
    <xf numFmtId="0" fontId="6" fillId="8" borderId="9" xfId="0" applyFont="1" applyFill="1" applyBorder="1" applyAlignment="1">
      <alignment horizontal="justify" vertical="center" wrapText="1"/>
    </xf>
    <xf numFmtId="170" fontId="6" fillId="8" borderId="9" xfId="0" applyNumberFormat="1" applyFont="1" applyFill="1" applyBorder="1" applyAlignment="1">
      <alignment horizontal="center" vertical="center"/>
    </xf>
    <xf numFmtId="43" fontId="6" fillId="8" borderId="9" xfId="4" applyFont="1" applyFill="1" applyBorder="1" applyAlignment="1">
      <alignment vertical="center"/>
    </xf>
    <xf numFmtId="167" fontId="6" fillId="8" borderId="9" xfId="0" applyNumberFormat="1" applyFont="1" applyFill="1" applyBorder="1" applyAlignment="1">
      <alignment horizontal="center" vertical="center"/>
    </xf>
    <xf numFmtId="0" fontId="40" fillId="8" borderId="9" xfId="0" applyFont="1" applyFill="1" applyBorder="1"/>
    <xf numFmtId="0" fontId="43" fillId="8" borderId="9" xfId="0" applyFont="1" applyFill="1" applyBorder="1"/>
    <xf numFmtId="0" fontId="40" fillId="4" borderId="9" xfId="0" applyFont="1" applyFill="1" applyBorder="1"/>
    <xf numFmtId="43" fontId="40" fillId="4" borderId="9" xfId="1" applyFont="1" applyFill="1" applyBorder="1"/>
    <xf numFmtId="0" fontId="40" fillId="4" borderId="1" xfId="0" applyFont="1" applyFill="1" applyBorder="1" applyAlignment="1">
      <alignment horizontal="center" vertical="center"/>
    </xf>
    <xf numFmtId="1" fontId="6" fillId="9" borderId="3" xfId="0" applyNumberFormat="1" applyFont="1" applyFill="1" applyBorder="1" applyAlignment="1">
      <alignment horizontal="justify" vertical="center"/>
    </xf>
    <xf numFmtId="0" fontId="6" fillId="9" borderId="7" xfId="0" applyFont="1" applyFill="1" applyBorder="1" applyAlignment="1">
      <alignment horizontal="left" vertical="center"/>
    </xf>
    <xf numFmtId="0" fontId="6" fillId="9" borderId="3" xfId="0" applyFont="1" applyFill="1" applyBorder="1" applyAlignment="1">
      <alignment horizontal="left" vertical="center"/>
    </xf>
    <xf numFmtId="0" fontId="6" fillId="9" borderId="3" xfId="0" applyFont="1" applyFill="1" applyBorder="1" applyAlignment="1">
      <alignment horizontal="justify" vertical="center"/>
    </xf>
    <xf numFmtId="0" fontId="6" fillId="9" borderId="3" xfId="0" applyFont="1" applyFill="1" applyBorder="1" applyAlignment="1">
      <alignment vertical="center"/>
    </xf>
    <xf numFmtId="9" fontId="5" fillId="9" borderId="6" xfId="0" applyNumberFormat="1" applyFont="1" applyFill="1" applyBorder="1" applyAlignment="1">
      <alignment horizontal="center" vertical="center"/>
    </xf>
    <xf numFmtId="0" fontId="6" fillId="9" borderId="3" xfId="0" applyFont="1" applyFill="1" applyBorder="1" applyAlignment="1">
      <alignment horizontal="justify" vertical="center" wrapText="1"/>
    </xf>
    <xf numFmtId="43" fontId="6" fillId="9" borderId="3" xfId="4" applyFont="1" applyFill="1" applyBorder="1" applyAlignment="1">
      <alignment vertical="center"/>
    </xf>
    <xf numFmtId="0" fontId="40" fillId="9" borderId="3" xfId="0" applyFont="1" applyFill="1" applyBorder="1"/>
    <xf numFmtId="0" fontId="43" fillId="9" borderId="3" xfId="0" applyFont="1" applyFill="1" applyBorder="1"/>
    <xf numFmtId="43" fontId="40" fillId="9" borderId="3" xfId="1" applyFont="1" applyFill="1" applyBorder="1"/>
    <xf numFmtId="0" fontId="40" fillId="9" borderId="12" xfId="0" applyFont="1" applyFill="1" applyBorder="1" applyAlignment="1">
      <alignment horizontal="center" vertical="center"/>
    </xf>
    <xf numFmtId="0" fontId="5" fillId="7" borderId="5" xfId="0" applyFont="1" applyFill="1" applyBorder="1" applyAlignment="1">
      <alignment horizontal="center"/>
    </xf>
    <xf numFmtId="0" fontId="5" fillId="7" borderId="15" xfId="0" applyFont="1" applyFill="1" applyBorder="1" applyAlignment="1">
      <alignment horizontal="center"/>
    </xf>
    <xf numFmtId="9" fontId="5" fillId="7" borderId="7" xfId="18" applyFont="1" applyFill="1" applyBorder="1" applyAlignment="1">
      <alignment horizontal="center" vertical="center"/>
    </xf>
    <xf numFmtId="1" fontId="5" fillId="7" borderId="11" xfId="0" applyNumberFormat="1" applyFont="1" applyFill="1" applyBorder="1" applyAlignment="1">
      <alignment horizontal="center" vertical="center"/>
    </xf>
    <xf numFmtId="0" fontId="40" fillId="0" borderId="0" xfId="0" applyFont="1" applyAlignment="1">
      <alignment horizontal="center"/>
    </xf>
    <xf numFmtId="9" fontId="5" fillId="7" borderId="8" xfId="18" applyFont="1" applyFill="1" applyBorder="1" applyAlignment="1">
      <alignment horizontal="center" vertical="center"/>
    </xf>
    <xf numFmtId="169" fontId="5" fillId="0" borderId="2" xfId="0" applyNumberFormat="1" applyFont="1" applyBorder="1" applyAlignment="1">
      <alignment horizontal="justify" vertical="center"/>
    </xf>
    <xf numFmtId="1" fontId="5" fillId="7" borderId="2" xfId="0" applyNumberFormat="1" applyFont="1" applyFill="1" applyBorder="1" applyAlignment="1">
      <alignment horizontal="center" vertical="center"/>
    </xf>
    <xf numFmtId="43" fontId="5" fillId="0" borderId="13" xfId="4" applyFont="1" applyFill="1" applyBorder="1" applyAlignment="1">
      <alignment horizontal="center" vertical="center"/>
    </xf>
    <xf numFmtId="0" fontId="5" fillId="7" borderId="4" xfId="0" applyFont="1" applyFill="1" applyBorder="1" applyAlignment="1">
      <alignment horizontal="center" vertical="center"/>
    </xf>
    <xf numFmtId="43" fontId="5" fillId="0" borderId="6" xfId="4" applyFont="1" applyFill="1" applyBorder="1" applyAlignment="1">
      <alignment horizontal="center" vertical="center" wrapText="1"/>
    </xf>
    <xf numFmtId="1" fontId="6" fillId="7" borderId="14" xfId="0" applyNumberFormat="1" applyFont="1" applyFill="1" applyBorder="1" applyAlignment="1">
      <alignment vertical="center"/>
    </xf>
    <xf numFmtId="1" fontId="6" fillId="7" borderId="0" xfId="0" applyNumberFormat="1" applyFont="1" applyFill="1" applyAlignment="1">
      <alignment vertical="center"/>
    </xf>
    <xf numFmtId="1" fontId="6" fillId="7" borderId="15" xfId="0" applyNumberFormat="1" applyFont="1" applyFill="1" applyBorder="1" applyAlignment="1">
      <alignment vertical="center"/>
    </xf>
    <xf numFmtId="1" fontId="5" fillId="9" borderId="2" xfId="0" applyNumberFormat="1" applyFont="1" applyFill="1" applyBorder="1" applyAlignment="1">
      <alignment horizontal="center" vertical="center"/>
    </xf>
    <xf numFmtId="43" fontId="6" fillId="9" borderId="9" xfId="4" applyFont="1" applyFill="1" applyBorder="1" applyAlignment="1">
      <alignment horizontal="left" vertical="center"/>
    </xf>
    <xf numFmtId="0" fontId="5" fillId="7" borderId="15" xfId="0" applyFont="1" applyFill="1" applyBorder="1"/>
    <xf numFmtId="0" fontId="5" fillId="7" borderId="11" xfId="0" applyFont="1" applyFill="1" applyBorder="1" applyAlignment="1">
      <alignment horizontal="left" vertical="center" wrapText="1"/>
    </xf>
    <xf numFmtId="0" fontId="41" fillId="0" borderId="26" xfId="0" applyFont="1" applyFill="1" applyBorder="1" applyAlignment="1">
      <alignment horizontal="center" vertical="center" wrapText="1"/>
    </xf>
    <xf numFmtId="0" fontId="5" fillId="7" borderId="13" xfId="0" applyFont="1" applyFill="1" applyBorder="1" applyAlignment="1">
      <alignment horizontal="left" vertical="center" wrapText="1"/>
    </xf>
    <xf numFmtId="43" fontId="5" fillId="0" borderId="18" xfId="4" applyFont="1" applyFill="1" applyBorder="1" applyAlignment="1">
      <alignment horizontal="center" vertical="center"/>
    </xf>
    <xf numFmtId="0" fontId="5" fillId="0" borderId="8" xfId="0" applyFont="1" applyBorder="1" applyAlignment="1">
      <alignment horizontal="center" vertical="center"/>
    </xf>
    <xf numFmtId="43" fontId="5" fillId="0" borderId="3" xfId="4" applyFont="1" applyFill="1" applyBorder="1" applyAlignment="1">
      <alignment horizontal="center" vertical="center"/>
    </xf>
    <xf numFmtId="43" fontId="5" fillId="0" borderId="7" xfId="4" applyFont="1" applyFill="1" applyBorder="1" applyAlignment="1">
      <alignment horizontal="center" vertical="center"/>
    </xf>
    <xf numFmtId="43" fontId="5" fillId="0" borderId="9" xfId="4" applyFont="1" applyFill="1" applyBorder="1" applyAlignment="1">
      <alignment horizontal="center" vertical="center"/>
    </xf>
    <xf numFmtId="43" fontId="5" fillId="0" borderId="8" xfId="4" applyFont="1" applyFill="1" applyBorder="1" applyAlignment="1">
      <alignment horizontal="center" vertical="center"/>
    </xf>
    <xf numFmtId="0" fontId="5" fillId="7" borderId="7" xfId="0" applyFont="1" applyFill="1" applyBorder="1"/>
    <xf numFmtId="0" fontId="5" fillId="7" borderId="3" xfId="0" applyFont="1" applyFill="1" applyBorder="1"/>
    <xf numFmtId="0" fontId="5" fillId="7" borderId="12" xfId="0" applyFont="1" applyFill="1" applyBorder="1"/>
    <xf numFmtId="166" fontId="5" fillId="0" borderId="2" xfId="4" applyNumberFormat="1" applyFont="1" applyFill="1" applyBorder="1" applyAlignment="1">
      <alignment horizontal="center" vertical="center"/>
    </xf>
    <xf numFmtId="1" fontId="5" fillId="8" borderId="2" xfId="0" applyNumberFormat="1" applyFont="1" applyFill="1" applyBorder="1" applyAlignment="1">
      <alignment horizontal="center" vertical="center"/>
    </xf>
    <xf numFmtId="0" fontId="6" fillId="8" borderId="0" xfId="0" applyFont="1" applyFill="1" applyAlignment="1">
      <alignment horizontal="center" vertical="center"/>
    </xf>
    <xf numFmtId="0" fontId="6" fillId="8" borderId="0" xfId="0" applyFont="1" applyFill="1" applyAlignment="1">
      <alignment horizontal="justify" vertical="center" wrapText="1"/>
    </xf>
    <xf numFmtId="170" fontId="6" fillId="8" borderId="0" xfId="0" applyNumberFormat="1" applyFont="1" applyFill="1" applyAlignment="1">
      <alignment horizontal="center" vertical="center"/>
    </xf>
    <xf numFmtId="43" fontId="6" fillId="8" borderId="0" xfId="4" applyFont="1" applyFill="1" applyAlignment="1">
      <alignment vertical="center"/>
    </xf>
    <xf numFmtId="1" fontId="6" fillId="8" borderId="0" xfId="0" applyNumberFormat="1" applyFont="1" applyFill="1" applyAlignment="1">
      <alignment vertical="center"/>
    </xf>
    <xf numFmtId="1" fontId="6" fillId="8" borderId="0" xfId="0" applyNumberFormat="1" applyFont="1" applyFill="1" applyAlignment="1">
      <alignment horizontal="center" vertical="center"/>
    </xf>
    <xf numFmtId="1" fontId="40" fillId="8" borderId="0" xfId="0" applyNumberFormat="1" applyFont="1" applyFill="1"/>
    <xf numFmtId="0" fontId="40" fillId="4" borderId="0" xfId="0" applyFont="1" applyFill="1"/>
    <xf numFmtId="43" fontId="40" fillId="4" borderId="0" xfId="1" applyFont="1" applyFill="1"/>
    <xf numFmtId="0" fontId="40" fillId="4" borderId="15" xfId="0" applyFont="1" applyFill="1" applyBorder="1" applyAlignment="1">
      <alignment horizontal="center" vertical="center"/>
    </xf>
    <xf numFmtId="0" fontId="6" fillId="7" borderId="4" xfId="0" applyFont="1" applyFill="1" applyBorder="1" applyAlignment="1">
      <alignment vertical="center" wrapText="1"/>
    </xf>
    <xf numFmtId="0" fontId="6" fillId="7" borderId="5" xfId="0" applyFont="1" applyFill="1" applyBorder="1" applyAlignment="1">
      <alignment vertical="center" wrapText="1"/>
    </xf>
    <xf numFmtId="0" fontId="6" fillId="7" borderId="10" xfId="0" applyFont="1" applyFill="1" applyBorder="1" applyAlignment="1">
      <alignment vertical="center" wrapText="1"/>
    </xf>
    <xf numFmtId="0" fontId="6" fillId="7" borderId="14" xfId="0" applyFont="1" applyFill="1" applyBorder="1" applyAlignment="1">
      <alignment vertical="center" wrapText="1"/>
    </xf>
    <xf numFmtId="0" fontId="6" fillId="7" borderId="0" xfId="0" applyFont="1" applyFill="1" applyAlignment="1">
      <alignment vertical="center" wrapText="1"/>
    </xf>
    <xf numFmtId="0" fontId="6" fillId="7" borderId="15" xfId="0" applyFont="1" applyFill="1" applyBorder="1" applyAlignment="1">
      <alignment vertical="center" wrapText="1"/>
    </xf>
    <xf numFmtId="43" fontId="5" fillId="0" borderId="11" xfId="4" applyFont="1" applyFill="1" applyBorder="1" applyAlignment="1">
      <alignment horizontal="center" vertical="center"/>
    </xf>
    <xf numFmtId="0" fontId="5" fillId="0" borderId="2" xfId="0" applyFont="1" applyFill="1" applyBorder="1" applyAlignment="1">
      <alignment horizontal="left" vertical="center" wrapText="1"/>
    </xf>
    <xf numFmtId="43" fontId="5" fillId="7" borderId="11" xfId="1" applyFont="1" applyFill="1" applyBorder="1" applyAlignment="1">
      <alignment horizontal="center" vertical="center"/>
    </xf>
    <xf numFmtId="43" fontId="5" fillId="0" borderId="6" xfId="4" applyFont="1" applyFill="1" applyBorder="1" applyAlignment="1">
      <alignment horizontal="center" vertical="center"/>
    </xf>
    <xf numFmtId="43" fontId="5" fillId="7" borderId="13" xfId="1" applyFont="1" applyFill="1" applyBorder="1" applyAlignment="1">
      <alignment horizontal="center" vertical="center"/>
    </xf>
    <xf numFmtId="1" fontId="5" fillId="7" borderId="6" xfId="0" applyNumberFormat="1" applyFont="1" applyFill="1" applyBorder="1" applyAlignment="1">
      <alignment horizontal="center" vertical="center"/>
    </xf>
    <xf numFmtId="1" fontId="6" fillId="9" borderId="2" xfId="0" applyNumberFormat="1" applyFont="1" applyFill="1" applyBorder="1" applyAlignment="1">
      <alignment vertical="center"/>
    </xf>
    <xf numFmtId="0" fontId="40" fillId="0" borderId="50" xfId="0" applyFont="1" applyFill="1" applyBorder="1" applyAlignment="1">
      <alignment horizontal="center" vertical="center"/>
    </xf>
    <xf numFmtId="0" fontId="5" fillId="7" borderId="13" xfId="0" applyFont="1" applyFill="1" applyBorder="1" applyAlignment="1">
      <alignment horizontal="justify" vertical="center"/>
    </xf>
    <xf numFmtId="9" fontId="41" fillId="0" borderId="40" xfId="11" applyNumberFormat="1" applyFont="1" applyFill="1" applyBorder="1" applyAlignment="1">
      <alignment horizontal="center" vertical="center"/>
    </xf>
    <xf numFmtId="9" fontId="41" fillId="0" borderId="40" xfId="11" applyNumberFormat="1" applyFont="1" applyFill="1" applyBorder="1" applyAlignment="1" applyProtection="1">
      <alignment horizontal="center" vertical="center" wrapText="1"/>
      <protection locked="0"/>
    </xf>
    <xf numFmtId="43" fontId="5" fillId="7" borderId="13" xfId="4" applyFont="1" applyFill="1" applyBorder="1" applyAlignment="1">
      <alignment horizontal="center" vertical="center"/>
    </xf>
    <xf numFmtId="0" fontId="5" fillId="0" borderId="13" xfId="0" applyFont="1" applyFill="1" applyBorder="1" applyAlignment="1">
      <alignment horizontal="left" vertical="center" wrapText="1"/>
    </xf>
    <xf numFmtId="1" fontId="5" fillId="7" borderId="13" xfId="0" applyNumberFormat="1" applyFont="1" applyFill="1" applyBorder="1" applyAlignment="1">
      <alignment horizontal="center" vertical="center"/>
    </xf>
    <xf numFmtId="1" fontId="5" fillId="7" borderId="14" xfId="0" applyNumberFormat="1" applyFont="1" applyFill="1" applyBorder="1" applyAlignment="1">
      <alignment horizontal="center" vertical="center"/>
    </xf>
    <xf numFmtId="1" fontId="40" fillId="0" borderId="13" xfId="0" applyNumberFormat="1" applyFont="1" applyBorder="1" applyAlignment="1">
      <alignment horizontal="center" vertical="center"/>
    </xf>
    <xf numFmtId="0" fontId="40" fillId="0" borderId="13" xfId="0" applyFont="1" applyBorder="1" applyAlignment="1">
      <alignment horizontal="center" vertical="center"/>
    </xf>
    <xf numFmtId="43" fontId="40" fillId="0" borderId="13" xfId="1" applyFont="1" applyBorder="1" applyAlignment="1">
      <alignment horizontal="center" vertical="center"/>
    </xf>
    <xf numFmtId="10" fontId="40" fillId="0" borderId="13" xfId="0" applyNumberFormat="1" applyFont="1" applyBorder="1" applyAlignment="1">
      <alignment horizontal="center" vertical="center"/>
    </xf>
    <xf numFmtId="14" fontId="40" fillId="0" borderId="13" xfId="0" applyNumberFormat="1" applyFont="1" applyBorder="1" applyAlignment="1">
      <alignment vertical="center"/>
    </xf>
    <xf numFmtId="0" fontId="40" fillId="0" borderId="13" xfId="0" applyFont="1" applyBorder="1" applyAlignment="1">
      <alignment horizontal="center" vertical="center" wrapText="1"/>
    </xf>
    <xf numFmtId="1" fontId="6" fillId="9" borderId="2" xfId="0" applyNumberFormat="1" applyFont="1" applyFill="1" applyBorder="1" applyAlignment="1">
      <alignment horizontal="left"/>
    </xf>
    <xf numFmtId="170" fontId="6" fillId="9" borderId="9" xfId="0" applyNumberFormat="1" applyFont="1" applyFill="1" applyBorder="1" applyAlignment="1">
      <alignment horizontal="center" vertical="center"/>
    </xf>
    <xf numFmtId="167" fontId="6" fillId="9" borderId="9" xfId="0" applyNumberFormat="1" applyFont="1" applyFill="1" applyBorder="1" applyAlignment="1">
      <alignment horizontal="center" vertical="center"/>
    </xf>
    <xf numFmtId="0" fontId="40" fillId="9" borderId="2" xfId="0" applyFont="1" applyFill="1" applyBorder="1" applyAlignment="1">
      <alignment wrapText="1"/>
    </xf>
    <xf numFmtId="0" fontId="40" fillId="9" borderId="9" xfId="0" applyFont="1" applyFill="1" applyBorder="1" applyAlignment="1">
      <alignment wrapText="1"/>
    </xf>
    <xf numFmtId="1" fontId="5" fillId="0" borderId="11" xfId="22" applyNumberFormat="1" applyFont="1" applyBorder="1" applyAlignment="1">
      <alignment horizontal="center" vertical="center"/>
    </xf>
    <xf numFmtId="1" fontId="6" fillId="8" borderId="11" xfId="0" applyNumberFormat="1" applyFont="1" applyFill="1" applyBorder="1" applyAlignment="1">
      <alignment vertical="center"/>
    </xf>
    <xf numFmtId="0" fontId="6" fillId="8" borderId="5" xfId="0" applyFont="1" applyFill="1" applyBorder="1" applyAlignment="1">
      <alignment horizontal="justify" vertical="center" wrapText="1"/>
    </xf>
    <xf numFmtId="0" fontId="6" fillId="7" borderId="5" xfId="0" applyFont="1" applyFill="1" applyBorder="1" applyAlignment="1">
      <alignment vertical="center"/>
    </xf>
    <xf numFmtId="0" fontId="6" fillId="7" borderId="10" xfId="0" applyFont="1" applyFill="1" applyBorder="1" applyAlignment="1">
      <alignment vertical="center"/>
    </xf>
    <xf numFmtId="0" fontId="6" fillId="9" borderId="9" xfId="0" applyFont="1" applyFill="1" applyBorder="1" applyAlignment="1">
      <alignment vertical="center" wrapText="1"/>
    </xf>
    <xf numFmtId="1" fontId="6" fillId="9" borderId="11" xfId="0" applyNumberFormat="1" applyFont="1" applyFill="1" applyBorder="1" applyAlignment="1">
      <alignment vertical="center"/>
    </xf>
    <xf numFmtId="0" fontId="6" fillId="9" borderId="9" xfId="0" applyFont="1" applyFill="1" applyBorder="1" applyAlignment="1">
      <alignment horizontal="center" vertical="center" wrapText="1"/>
    </xf>
    <xf numFmtId="1" fontId="6" fillId="7" borderId="7" xfId="0" applyNumberFormat="1" applyFont="1" applyFill="1" applyBorder="1" applyAlignment="1">
      <alignment vertical="center"/>
    </xf>
    <xf numFmtId="1" fontId="6" fillId="7" borderId="3" xfId="0" applyNumberFormat="1" applyFont="1" applyFill="1" applyBorder="1" applyAlignment="1">
      <alignment vertical="center"/>
    </xf>
    <xf numFmtId="1" fontId="6" fillId="7" borderId="12" xfId="0" applyNumberFormat="1" applyFont="1" applyFill="1" applyBorder="1" applyAlignment="1">
      <alignment vertical="center"/>
    </xf>
    <xf numFmtId="0" fontId="6" fillId="7" borderId="3" xfId="0" applyFont="1" applyFill="1" applyBorder="1" applyAlignment="1">
      <alignment vertical="center"/>
    </xf>
    <xf numFmtId="0" fontId="6" fillId="7" borderId="12" xfId="0" applyFont="1" applyFill="1" applyBorder="1" applyAlignment="1">
      <alignment vertical="center"/>
    </xf>
    <xf numFmtId="0" fontId="5" fillId="7" borderId="3" xfId="0" applyFont="1" applyFill="1" applyBorder="1" applyAlignment="1">
      <alignment horizontal="justify"/>
    </xf>
    <xf numFmtId="0" fontId="5" fillId="0" borderId="6" xfId="0" applyFont="1" applyFill="1" applyBorder="1" applyAlignment="1">
      <alignment horizontal="justify" vertical="center"/>
    </xf>
    <xf numFmtId="0" fontId="6" fillId="7" borderId="2" xfId="0" applyFont="1" applyFill="1" applyBorder="1" applyAlignment="1">
      <alignment horizontal="justify" vertical="center"/>
    </xf>
    <xf numFmtId="0" fontId="6" fillId="7" borderId="8" xfId="0" applyFont="1" applyFill="1" applyBorder="1" applyAlignment="1">
      <alignment horizontal="center" vertical="center"/>
    </xf>
    <xf numFmtId="43" fontId="6" fillId="0" borderId="6" xfId="4" applyFont="1" applyFill="1" applyBorder="1" applyAlignment="1">
      <alignment horizontal="center" vertical="center"/>
    </xf>
    <xf numFmtId="0" fontId="6" fillId="7" borderId="2" xfId="0" applyFont="1" applyFill="1" applyBorder="1" applyAlignment="1">
      <alignment horizontal="center" vertical="center" wrapText="1"/>
    </xf>
    <xf numFmtId="9" fontId="6" fillId="7" borderId="2" xfId="18" applyFont="1" applyFill="1" applyBorder="1" applyAlignment="1">
      <alignment horizontal="center" vertical="center"/>
    </xf>
    <xf numFmtId="43" fontId="6" fillId="7" borderId="2" xfId="4" applyFont="1" applyFill="1" applyBorder="1" applyAlignment="1">
      <alignment horizontal="center" vertical="center"/>
    </xf>
    <xf numFmtId="43" fontId="6" fillId="0" borderId="2" xfId="4" applyFont="1" applyFill="1" applyBorder="1" applyAlignment="1">
      <alignment horizontal="center" vertical="center"/>
    </xf>
    <xf numFmtId="169" fontId="6" fillId="0" borderId="2" xfId="0" applyNumberFormat="1" applyFont="1" applyFill="1" applyBorder="1" applyAlignment="1">
      <alignment horizontal="center" vertical="center"/>
    </xf>
    <xf numFmtId="169" fontId="6" fillId="0" borderId="2" xfId="0" applyNumberFormat="1" applyFont="1" applyFill="1" applyBorder="1" applyAlignment="1">
      <alignment horizontal="left" vertical="center"/>
    </xf>
    <xf numFmtId="0" fontId="6" fillId="7" borderId="8" xfId="1" applyNumberFormat="1" applyFont="1" applyFill="1" applyBorder="1" applyAlignment="1">
      <alignment horizontal="center" vertical="center" wrapText="1"/>
    </xf>
    <xf numFmtId="43" fontId="6" fillId="7" borderId="8" xfId="1" applyFont="1" applyFill="1" applyBorder="1" applyAlignment="1">
      <alignment vertical="center" wrapText="1"/>
    </xf>
    <xf numFmtId="43" fontId="6" fillId="7" borderId="2" xfId="1" applyFont="1" applyFill="1" applyBorder="1" applyAlignment="1">
      <alignment vertical="center" wrapText="1"/>
    </xf>
    <xf numFmtId="9" fontId="6" fillId="7" borderId="2" xfId="2" applyFont="1" applyFill="1" applyBorder="1" applyAlignment="1">
      <alignment horizontal="center" vertical="center" wrapText="1"/>
    </xf>
    <xf numFmtId="169" fontId="6" fillId="7" borderId="9" xfId="0" applyNumberFormat="1" applyFont="1" applyFill="1" applyBorder="1" applyAlignment="1">
      <alignment vertical="center" wrapText="1"/>
    </xf>
    <xf numFmtId="169" fontId="6" fillId="7" borderId="1" xfId="0" applyNumberFormat="1" applyFont="1" applyFill="1" applyBorder="1" applyAlignment="1">
      <alignment vertical="center" wrapText="1"/>
    </xf>
    <xf numFmtId="0" fontId="39" fillId="0" borderId="0" xfId="0" applyFont="1"/>
    <xf numFmtId="9" fontId="5" fillId="7" borderId="0" xfId="0" applyNumberFormat="1" applyFont="1" applyFill="1" applyBorder="1" applyAlignment="1">
      <alignment horizontal="center" vertical="center"/>
    </xf>
    <xf numFmtId="169" fontId="9" fillId="0" borderId="0" xfId="23" applyNumberFormat="1" applyFont="1" applyAlignment="1">
      <alignment horizontal="center" vertical="center"/>
    </xf>
    <xf numFmtId="43" fontId="37" fillId="0" borderId="0" xfId="1" applyFont="1" applyFill="1"/>
    <xf numFmtId="169" fontId="5" fillId="0" borderId="0" xfId="0" applyNumberFormat="1" applyFont="1" applyFill="1" applyAlignment="1">
      <alignment horizontal="center" vertical="center"/>
    </xf>
    <xf numFmtId="0" fontId="5" fillId="0" borderId="0" xfId="0" applyFont="1" applyAlignment="1">
      <alignment horizontal="left"/>
    </xf>
    <xf numFmtId="43" fontId="40" fillId="0" borderId="0" xfId="0" applyNumberFormat="1" applyFont="1"/>
    <xf numFmtId="0" fontId="40" fillId="0" borderId="0" xfId="0" applyFont="1" applyAlignment="1">
      <alignment horizontal="justify"/>
    </xf>
    <xf numFmtId="0" fontId="5" fillId="0" borderId="0" xfId="0" applyFont="1" applyBorder="1"/>
    <xf numFmtId="3" fontId="5" fillId="0" borderId="0" xfId="0" applyNumberFormat="1" applyFont="1" applyAlignment="1">
      <alignment horizontal="right" vertical="center"/>
    </xf>
    <xf numFmtId="3" fontId="5" fillId="0" borderId="0" xfId="0" applyNumberFormat="1" applyFont="1" applyFill="1" applyAlignment="1">
      <alignment horizontal="right" vertical="center"/>
    </xf>
    <xf numFmtId="187" fontId="40" fillId="0" borderId="0" xfId="0" applyNumberFormat="1" applyFont="1"/>
    <xf numFmtId="169" fontId="5" fillId="0" borderId="0" xfId="0" applyNumberFormat="1" applyFont="1" applyAlignment="1">
      <alignment horizontal="center" vertical="center"/>
    </xf>
    <xf numFmtId="4" fontId="5" fillId="0" borderId="0" xfId="0" applyNumberFormat="1" applyFont="1" applyFill="1" applyAlignment="1">
      <alignment horizontal="justify" vertical="center"/>
    </xf>
    <xf numFmtId="43" fontId="5" fillId="0" borderId="0" xfId="0" applyNumberFormat="1" applyFont="1" applyBorder="1"/>
    <xf numFmtId="43" fontId="5" fillId="0" borderId="0" xfId="0" applyNumberFormat="1" applyFont="1" applyAlignment="1">
      <alignment horizontal="justify" vertical="center"/>
    </xf>
    <xf numFmtId="0" fontId="10" fillId="0" borderId="0" xfId="0" applyFont="1" applyAlignment="1">
      <alignment horizontal="justify"/>
    </xf>
    <xf numFmtId="42" fontId="10" fillId="0" borderId="0" xfId="23" applyFont="1" applyAlignment="1">
      <alignment horizontal="justify"/>
    </xf>
    <xf numFmtId="169" fontId="5" fillId="0" borderId="0" xfId="0" applyNumberFormat="1" applyFont="1" applyAlignment="1">
      <alignment horizontal="justify"/>
    </xf>
    <xf numFmtId="42" fontId="5" fillId="0" borderId="0" xfId="23" applyFont="1" applyAlignment="1">
      <alignment horizontal="justify"/>
    </xf>
    <xf numFmtId="0" fontId="5" fillId="0" borderId="0" xfId="0" applyFont="1" applyAlignment="1">
      <alignment horizontal="center" wrapText="1"/>
    </xf>
    <xf numFmtId="0" fontId="5" fillId="0" borderId="13" xfId="0" applyFont="1" applyBorder="1"/>
    <xf numFmtId="3" fontId="4" fillId="3" borderId="64" xfId="0" applyNumberFormat="1" applyFont="1" applyFill="1" applyBorder="1" applyAlignment="1">
      <alignment horizontal="center" vertical="center" wrapText="1"/>
    </xf>
    <xf numFmtId="0" fontId="4" fillId="6" borderId="68" xfId="24" applyFont="1" applyFill="1" applyBorder="1" applyAlignment="1">
      <alignment horizontal="center" vertical="center" wrapText="1"/>
    </xf>
    <xf numFmtId="0" fontId="4" fillId="6" borderId="9" xfId="24" applyFont="1" applyFill="1" applyBorder="1" applyAlignment="1">
      <alignment vertical="center"/>
    </xf>
    <xf numFmtId="0" fontId="4" fillId="6" borderId="9" xfId="24" applyFont="1" applyFill="1" applyBorder="1" applyAlignment="1">
      <alignment horizontal="justify" vertical="center"/>
    </xf>
    <xf numFmtId="0" fontId="4" fillId="6" borderId="9" xfId="24" applyFont="1" applyFill="1" applyBorder="1" applyAlignment="1">
      <alignment horizontal="center" vertical="center"/>
    </xf>
    <xf numFmtId="0" fontId="23" fillId="6" borderId="9" xfId="24" applyFont="1" applyFill="1" applyBorder="1" applyAlignment="1">
      <alignment vertical="center"/>
    </xf>
    <xf numFmtId="0" fontId="4" fillId="6" borderId="9" xfId="4" applyNumberFormat="1" applyFont="1" applyFill="1" applyBorder="1" applyAlignment="1">
      <alignment vertical="center"/>
    </xf>
    <xf numFmtId="166" fontId="4" fillId="6" borderId="9" xfId="4" applyNumberFormat="1" applyFont="1" applyFill="1" applyBorder="1" applyAlignment="1">
      <alignment vertical="center"/>
    </xf>
    <xf numFmtId="0" fontId="4" fillId="6" borderId="9" xfId="4" applyNumberFormat="1" applyFont="1" applyFill="1" applyBorder="1" applyAlignment="1">
      <alignment horizontal="center" vertical="center"/>
    </xf>
    <xf numFmtId="0" fontId="4" fillId="6" borderId="60" xfId="24" applyFont="1" applyFill="1" applyBorder="1" applyAlignment="1">
      <alignment vertical="center"/>
    </xf>
    <xf numFmtId="0" fontId="23" fillId="0" borderId="0" xfId="24" applyFont="1"/>
    <xf numFmtId="0" fontId="4" fillId="8" borderId="5" xfId="24" applyFont="1" applyFill="1" applyBorder="1" applyAlignment="1">
      <alignment horizontal="center" vertical="center"/>
    </xf>
    <xf numFmtId="0" fontId="4" fillId="8" borderId="5" xfId="24" applyFont="1" applyFill="1" applyBorder="1" applyAlignment="1">
      <alignment vertical="center"/>
    </xf>
    <xf numFmtId="0" fontId="4" fillId="8" borderId="9" xfId="24" applyFont="1" applyFill="1" applyBorder="1" applyAlignment="1">
      <alignment vertical="center"/>
    </xf>
    <xf numFmtId="0" fontId="4" fillId="8" borderId="9" xfId="24" applyFont="1" applyFill="1" applyBorder="1" applyAlignment="1">
      <alignment horizontal="justify" vertical="center"/>
    </xf>
    <xf numFmtId="0" fontId="4" fillId="8" borderId="9" xfId="24" applyFont="1" applyFill="1" applyBorder="1" applyAlignment="1">
      <alignment horizontal="center" vertical="center"/>
    </xf>
    <xf numFmtId="0" fontId="23" fillId="8" borderId="9" xfId="24" applyFont="1" applyFill="1" applyBorder="1" applyAlignment="1">
      <alignment vertical="center"/>
    </xf>
    <xf numFmtId="0" fontId="4" fillId="8" borderId="9" xfId="4" applyNumberFormat="1" applyFont="1" applyFill="1" applyBorder="1" applyAlignment="1">
      <alignment vertical="center"/>
    </xf>
    <xf numFmtId="166" fontId="4" fillId="8" borderId="9" xfId="4" applyNumberFormat="1" applyFont="1" applyFill="1" applyBorder="1" applyAlignment="1">
      <alignment vertical="center"/>
    </xf>
    <xf numFmtId="0" fontId="4" fillId="8" borderId="9" xfId="4" applyNumberFormat="1" applyFont="1" applyFill="1" applyBorder="1" applyAlignment="1">
      <alignment horizontal="center" vertical="center"/>
    </xf>
    <xf numFmtId="0" fontId="4" fillId="8" borderId="60" xfId="24" applyFont="1" applyFill="1" applyBorder="1" applyAlignment="1">
      <alignment vertical="center"/>
    </xf>
    <xf numFmtId="0" fontId="4" fillId="0" borderId="45" xfId="24" applyFont="1" applyBorder="1" applyAlignment="1">
      <alignment vertical="center" wrapText="1"/>
    </xf>
    <xf numFmtId="0" fontId="4" fillId="0" borderId="0" xfId="24" applyFont="1" applyAlignment="1">
      <alignment vertical="center" wrapText="1"/>
    </xf>
    <xf numFmtId="0" fontId="4" fillId="0" borderId="15" xfId="24" applyFont="1" applyBorder="1" applyAlignment="1">
      <alignment vertical="center" wrapText="1"/>
    </xf>
    <xf numFmtId="0" fontId="4" fillId="0" borderId="5" xfId="24" applyFont="1" applyBorder="1" applyAlignment="1">
      <alignment vertical="center" wrapText="1"/>
    </xf>
    <xf numFmtId="0" fontId="4" fillId="0" borderId="10" xfId="24" applyFont="1" applyBorder="1" applyAlignment="1">
      <alignment vertical="center" wrapText="1"/>
    </xf>
    <xf numFmtId="0" fontId="4" fillId="26" borderId="9" xfId="24" applyFont="1" applyFill="1" applyBorder="1" applyAlignment="1">
      <alignment horizontal="center" vertical="center" wrapText="1"/>
    </xf>
    <xf numFmtId="0" fontId="4" fillId="26" borderId="9" xfId="24" applyFont="1" applyFill="1" applyBorder="1" applyAlignment="1">
      <alignment vertical="center"/>
    </xf>
    <xf numFmtId="0" fontId="4" fillId="26" borderId="9" xfId="24" applyFont="1" applyFill="1" applyBorder="1" applyAlignment="1">
      <alignment horizontal="justify" vertical="center"/>
    </xf>
    <xf numFmtId="0" fontId="4" fillId="26" borderId="9" xfId="24" applyFont="1" applyFill="1" applyBorder="1" applyAlignment="1">
      <alignment horizontal="center" vertical="center"/>
    </xf>
    <xf numFmtId="0" fontId="23" fillId="26" borderId="9" xfId="24" applyFont="1" applyFill="1" applyBorder="1" applyAlignment="1">
      <alignment vertical="center"/>
    </xf>
    <xf numFmtId="0" fontId="4" fillId="26" borderId="9" xfId="4" applyNumberFormat="1" applyFont="1" applyFill="1" applyBorder="1" applyAlignment="1">
      <alignment vertical="center"/>
    </xf>
    <xf numFmtId="166" fontId="4" fillId="26" borderId="9" xfId="4" applyNumberFormat="1" applyFont="1" applyFill="1" applyBorder="1" applyAlignment="1">
      <alignment vertical="center"/>
    </xf>
    <xf numFmtId="0" fontId="4" fillId="26" borderId="9" xfId="4" applyNumberFormat="1" applyFont="1" applyFill="1" applyBorder="1" applyAlignment="1">
      <alignment horizontal="center" vertical="center"/>
    </xf>
    <xf numFmtId="0" fontId="4" fillId="26" borderId="60" xfId="24" applyFont="1" applyFill="1" applyBorder="1" applyAlignment="1">
      <alignment vertical="center"/>
    </xf>
    <xf numFmtId="0" fontId="23" fillId="7" borderId="45" xfId="24" applyFont="1" applyFill="1" applyBorder="1" applyAlignment="1">
      <alignment vertical="center" wrapText="1"/>
    </xf>
    <xf numFmtId="0" fontId="23" fillId="7" borderId="0" xfId="24" applyFont="1" applyFill="1" applyAlignment="1">
      <alignment vertical="center" wrapText="1"/>
    </xf>
    <xf numFmtId="0" fontId="23" fillId="7" borderId="15" xfId="24" applyFont="1" applyFill="1" applyBorder="1" applyAlignment="1">
      <alignment vertical="center" wrapText="1"/>
    </xf>
    <xf numFmtId="0" fontId="23" fillId="7" borderId="4" xfId="24" applyFont="1" applyFill="1" applyBorder="1" applyAlignment="1">
      <alignment vertical="center" wrapText="1"/>
    </xf>
    <xf numFmtId="0" fontId="23" fillId="7" borderId="5" xfId="24" applyFont="1" applyFill="1" applyBorder="1" applyAlignment="1">
      <alignment vertical="center" wrapText="1"/>
    </xf>
    <xf numFmtId="0" fontId="23" fillId="7" borderId="10" xfId="24" applyFont="1" applyFill="1" applyBorder="1" applyAlignment="1">
      <alignment vertical="center" wrapText="1"/>
    </xf>
    <xf numFmtId="43" fontId="23" fillId="0" borderId="2" xfId="1" applyFont="1" applyBorder="1" applyAlignment="1">
      <alignment horizontal="center" vertical="center" wrapText="1"/>
    </xf>
    <xf numFmtId="1" fontId="23" fillId="7" borderId="2" xfId="24" applyNumberFormat="1" applyFont="1" applyFill="1" applyBorder="1" applyAlignment="1">
      <alignment horizontal="center" vertical="center" wrapText="1"/>
    </xf>
    <xf numFmtId="0" fontId="23" fillId="7" borderId="0" xfId="24" applyFont="1" applyFill="1"/>
    <xf numFmtId="0" fontId="23" fillId="7" borderId="14" xfId="24" applyFont="1" applyFill="1" applyBorder="1" applyAlignment="1">
      <alignment vertical="center" wrapText="1"/>
    </xf>
    <xf numFmtId="49" fontId="23" fillId="7" borderId="2" xfId="25" applyNumberFormat="1" applyFont="1" applyFill="1" applyBorder="1" applyAlignment="1">
      <alignment horizontal="justify" vertical="center" wrapText="1"/>
    </xf>
    <xf numFmtId="0" fontId="23" fillId="7" borderId="3" xfId="24" applyFont="1" applyFill="1" applyBorder="1" applyAlignment="1">
      <alignment vertical="center" wrapText="1"/>
    </xf>
    <xf numFmtId="0" fontId="23" fillId="7" borderId="12" xfId="24" applyFont="1" applyFill="1" applyBorder="1" applyAlignment="1">
      <alignment vertical="center" wrapText="1"/>
    </xf>
    <xf numFmtId="0" fontId="23" fillId="7" borderId="7" xfId="24" applyFont="1" applyFill="1" applyBorder="1" applyAlignment="1">
      <alignment vertical="center" wrapText="1"/>
    </xf>
    <xf numFmtId="0" fontId="23" fillId="0" borderId="15" xfId="24" applyFont="1" applyBorder="1"/>
    <xf numFmtId="0" fontId="4" fillId="8" borderId="9" xfId="24" applyFont="1" applyFill="1" applyBorder="1" applyAlignment="1">
      <alignment horizontal="justify" vertical="center" wrapText="1"/>
    </xf>
    <xf numFmtId="0" fontId="4" fillId="8" borderId="1" xfId="24" applyFont="1" applyFill="1" applyBorder="1" applyAlignment="1">
      <alignment vertical="center"/>
    </xf>
    <xf numFmtId="0" fontId="4" fillId="8" borderId="8" xfId="24" applyFont="1" applyFill="1" applyBorder="1" applyAlignment="1">
      <alignment vertical="center"/>
    </xf>
    <xf numFmtId="43" fontId="4" fillId="8" borderId="9" xfId="4" applyFont="1" applyFill="1" applyBorder="1" applyAlignment="1">
      <alignment horizontal="center" vertical="center"/>
    </xf>
    <xf numFmtId="43" fontId="23" fillId="8" borderId="9" xfId="4" applyFont="1" applyFill="1" applyBorder="1" applyAlignment="1">
      <alignment vertical="center"/>
    </xf>
    <xf numFmtId="1" fontId="4" fillId="8" borderId="9" xfId="24" applyNumberFormat="1" applyFont="1" applyFill="1" applyBorder="1" applyAlignment="1">
      <alignment horizontal="center" vertical="center"/>
    </xf>
    <xf numFmtId="43" fontId="4" fillId="8" borderId="9" xfId="1" applyFont="1" applyFill="1" applyBorder="1" applyAlignment="1">
      <alignment horizontal="center" vertical="center"/>
    </xf>
    <xf numFmtId="0" fontId="4" fillId="26" borderId="9" xfId="24" applyFont="1" applyFill="1" applyBorder="1" applyAlignment="1">
      <alignment horizontal="justify" vertical="center" wrapText="1"/>
    </xf>
    <xf numFmtId="43" fontId="4" fillId="26" borderId="9" xfId="4" applyFont="1" applyFill="1" applyBorder="1" applyAlignment="1">
      <alignment horizontal="center" vertical="center"/>
    </xf>
    <xf numFmtId="43" fontId="23" fillId="26" borderId="9" xfId="4" applyFont="1" applyFill="1" applyBorder="1" applyAlignment="1">
      <alignment vertical="center"/>
    </xf>
    <xf numFmtId="1" fontId="4" fillId="26" borderId="9" xfId="24" applyNumberFormat="1" applyFont="1" applyFill="1" applyBorder="1" applyAlignment="1">
      <alignment horizontal="center" vertical="center"/>
    </xf>
    <xf numFmtId="43" fontId="4" fillId="26" borderId="9" xfId="1" applyFont="1" applyFill="1" applyBorder="1" applyAlignment="1">
      <alignment horizontal="center" vertical="center"/>
    </xf>
    <xf numFmtId="43" fontId="23" fillId="26" borderId="9" xfId="1" applyFont="1" applyFill="1" applyBorder="1" applyAlignment="1">
      <alignment vertical="center"/>
    </xf>
    <xf numFmtId="0" fontId="4" fillId="7" borderId="45" xfId="24" applyFont="1" applyFill="1" applyBorder="1" applyAlignment="1">
      <alignment vertical="center" wrapText="1"/>
    </xf>
    <xf numFmtId="0" fontId="4" fillId="7" borderId="0" xfId="24" applyFont="1" applyFill="1" applyAlignment="1">
      <alignment vertical="center" wrapText="1"/>
    </xf>
    <xf numFmtId="0" fontId="4" fillId="7" borderId="15" xfId="24" applyFont="1" applyFill="1" applyBorder="1" applyAlignment="1">
      <alignment vertical="center" wrapText="1"/>
    </xf>
    <xf numFmtId="0" fontId="4" fillId="7" borderId="4" xfId="24" applyFont="1" applyFill="1" applyBorder="1" applyAlignment="1">
      <alignment vertical="center" wrapText="1"/>
    </xf>
    <xf numFmtId="0" fontId="4" fillId="7" borderId="5" xfId="24" applyFont="1" applyFill="1" applyBorder="1" applyAlignment="1">
      <alignment vertical="center" wrapText="1"/>
    </xf>
    <xf numFmtId="0" fontId="4" fillId="7" borderId="10" xfId="24" applyFont="1" applyFill="1" applyBorder="1" applyAlignment="1">
      <alignment vertical="center" wrapText="1"/>
    </xf>
    <xf numFmtId="43" fontId="23" fillId="0" borderId="8" xfId="1" applyFont="1" applyBorder="1" applyAlignment="1">
      <alignment horizontal="center" vertical="center" wrapText="1"/>
    </xf>
    <xf numFmtId="0" fontId="4" fillId="7" borderId="14" xfId="24" applyFont="1" applyFill="1" applyBorder="1" applyAlignment="1">
      <alignment vertical="center" wrapText="1"/>
    </xf>
    <xf numFmtId="43" fontId="23" fillId="7" borderId="8" xfId="1" applyFont="1" applyFill="1" applyBorder="1" applyAlignment="1">
      <alignment horizontal="center" vertical="center" wrapText="1"/>
    </xf>
    <xf numFmtId="0" fontId="4" fillId="7" borderId="7" xfId="24" applyFont="1" applyFill="1" applyBorder="1" applyAlignment="1">
      <alignment vertical="center" wrapText="1"/>
    </xf>
    <xf numFmtId="0" fontId="4" fillId="7" borderId="3" xfId="24" applyFont="1" applyFill="1" applyBorder="1" applyAlignment="1">
      <alignment vertical="center" wrapText="1"/>
    </xf>
    <xf numFmtId="0" fontId="4" fillId="7" borderId="12" xfId="24" applyFont="1" applyFill="1" applyBorder="1" applyAlignment="1">
      <alignment vertical="center" wrapText="1"/>
    </xf>
    <xf numFmtId="49" fontId="23" fillId="7" borderId="2" xfId="25" applyNumberFormat="1" applyFont="1" applyFill="1" applyBorder="1" applyAlignment="1">
      <alignment horizontal="justify" vertical="top" wrapText="1"/>
    </xf>
    <xf numFmtId="0" fontId="23" fillId="27" borderId="0" xfId="24" applyFont="1" applyFill="1"/>
    <xf numFmtId="1" fontId="23" fillId="0" borderId="2" xfId="24" applyNumberFormat="1" applyFont="1" applyBorder="1" applyAlignment="1">
      <alignment horizontal="center" vertical="center" wrapText="1"/>
    </xf>
    <xf numFmtId="0" fontId="4" fillId="26" borderId="5" xfId="24" applyFont="1" applyFill="1" applyBorder="1" applyAlignment="1">
      <alignment horizontal="center" vertical="center"/>
    </xf>
    <xf numFmtId="1" fontId="23" fillId="7" borderId="8" xfId="24" applyNumberFormat="1" applyFont="1" applyFill="1" applyBorder="1" applyAlignment="1">
      <alignment horizontal="center" vertical="center" wrapText="1"/>
    </xf>
    <xf numFmtId="0" fontId="23" fillId="0" borderId="45" xfId="24" applyFont="1" applyBorder="1" applyAlignment="1">
      <alignment vertical="center" wrapText="1"/>
    </xf>
    <xf numFmtId="0" fontId="23" fillId="0" borderId="0" xfId="24" applyFont="1" applyAlignment="1">
      <alignment vertical="center" wrapText="1"/>
    </xf>
    <xf numFmtId="0" fontId="23" fillId="0" borderId="15" xfId="24" applyFont="1" applyBorder="1" applyAlignment="1">
      <alignment vertical="center" wrapText="1"/>
    </xf>
    <xf numFmtId="0" fontId="23" fillId="0" borderId="14" xfId="24" applyFont="1" applyBorder="1" applyAlignment="1">
      <alignment vertical="center" wrapText="1"/>
    </xf>
    <xf numFmtId="0" fontId="23" fillId="0" borderId="8" xfId="24" applyFont="1" applyBorder="1" applyAlignment="1">
      <alignment horizontal="center" vertical="center"/>
    </xf>
    <xf numFmtId="1" fontId="23" fillId="0" borderId="4" xfId="24" applyNumberFormat="1" applyFont="1" applyBorder="1" applyAlignment="1">
      <alignment horizontal="center" vertical="center" wrapText="1"/>
    </xf>
    <xf numFmtId="43" fontId="23" fillId="0" borderId="18" xfId="1" applyFont="1" applyBorder="1" applyAlignment="1">
      <alignment vertical="center"/>
    </xf>
    <xf numFmtId="0" fontId="23" fillId="0" borderId="19" xfId="24" applyFont="1" applyBorder="1" applyAlignment="1">
      <alignment horizontal="center" vertical="center"/>
    </xf>
    <xf numFmtId="43" fontId="23" fillId="0" borderId="16" xfId="1" applyFont="1" applyBorder="1" applyAlignment="1">
      <alignment horizontal="center" vertical="center" wrapText="1"/>
    </xf>
    <xf numFmtId="1" fontId="23" fillId="0" borderId="17" xfId="24" applyNumberFormat="1" applyFont="1" applyBorder="1" applyAlignment="1">
      <alignment horizontal="center" vertical="center" wrapText="1"/>
    </xf>
    <xf numFmtId="1" fontId="23" fillId="0" borderId="7" xfId="24" applyNumberFormat="1" applyFont="1" applyBorder="1" applyAlignment="1">
      <alignment horizontal="center" vertical="center" wrapText="1"/>
    </xf>
    <xf numFmtId="1" fontId="23" fillId="0" borderId="8" xfId="24" applyNumberFormat="1" applyFont="1" applyBorder="1" applyAlignment="1">
      <alignment horizontal="center" vertical="center" wrapText="1"/>
    </xf>
    <xf numFmtId="1" fontId="23" fillId="0" borderId="14" xfId="24" applyNumberFormat="1" applyFont="1" applyBorder="1" applyAlignment="1">
      <alignment horizontal="center" vertical="center" wrapText="1"/>
    </xf>
    <xf numFmtId="49" fontId="23" fillId="7" borderId="8" xfId="25" applyNumberFormat="1" applyFont="1" applyFill="1" applyBorder="1" applyAlignment="1">
      <alignment horizontal="justify" vertical="center" wrapText="1"/>
    </xf>
    <xf numFmtId="0" fontId="23" fillId="0" borderId="7" xfId="24" applyFont="1" applyBorder="1" applyAlignment="1">
      <alignment vertical="center" wrapText="1"/>
    </xf>
    <xf numFmtId="0" fontId="23" fillId="0" borderId="3" xfId="24" applyFont="1" applyBorder="1" applyAlignment="1">
      <alignment vertical="center" wrapText="1"/>
    </xf>
    <xf numFmtId="0" fontId="23" fillId="0" borderId="12" xfId="24" applyFont="1" applyBorder="1" applyAlignment="1">
      <alignment vertical="center" wrapText="1"/>
    </xf>
    <xf numFmtId="0" fontId="4" fillId="26" borderId="3" xfId="24" applyFont="1" applyFill="1" applyBorder="1" applyAlignment="1">
      <alignment vertical="center"/>
    </xf>
    <xf numFmtId="43" fontId="23" fillId="26" borderId="2" xfId="4" applyFont="1" applyFill="1" applyBorder="1" applyAlignment="1">
      <alignment vertical="center"/>
    </xf>
    <xf numFmtId="1" fontId="4" fillId="26" borderId="2" xfId="24" applyNumberFormat="1" applyFont="1" applyFill="1" applyBorder="1" applyAlignment="1">
      <alignment horizontal="center" vertical="center"/>
    </xf>
    <xf numFmtId="0" fontId="4" fillId="26" borderId="2" xfId="24" applyFont="1" applyFill="1" applyBorder="1" applyAlignment="1">
      <alignment horizontal="center" vertical="center"/>
    </xf>
    <xf numFmtId="43" fontId="23" fillId="7" borderId="2" xfId="1" applyFont="1" applyFill="1" applyBorder="1" applyAlignment="1">
      <alignment horizontal="justify" vertical="center" wrapText="1"/>
    </xf>
    <xf numFmtId="43" fontId="23" fillId="0" borderId="2" xfId="1" applyFont="1" applyBorder="1" applyAlignment="1">
      <alignment horizontal="justify" vertical="center" wrapText="1"/>
    </xf>
    <xf numFmtId="43" fontId="23" fillId="26" borderId="2" xfId="1" applyFont="1" applyFill="1" applyBorder="1" applyAlignment="1">
      <alignment horizontal="justify" vertical="center"/>
    </xf>
    <xf numFmtId="49" fontId="23" fillId="0" borderId="8" xfId="25" applyNumberFormat="1" applyFont="1" applyBorder="1" applyAlignment="1">
      <alignment horizontal="justify" vertical="center" wrapText="1"/>
    </xf>
    <xf numFmtId="0" fontId="23" fillId="7" borderId="13" xfId="24" applyFont="1" applyFill="1" applyBorder="1" applyAlignment="1">
      <alignment horizontal="center" wrapText="1"/>
    </xf>
    <xf numFmtId="43" fontId="4" fillId="26" borderId="2" xfId="1" applyFont="1" applyFill="1" applyBorder="1" applyAlignment="1">
      <alignment horizontal="justify" vertical="center"/>
    </xf>
    <xf numFmtId="1" fontId="23" fillId="7" borderId="2" xfId="24" applyNumberFormat="1" applyFont="1" applyFill="1" applyBorder="1" applyAlignment="1">
      <alignment horizontal="center" wrapText="1"/>
    </xf>
    <xf numFmtId="1" fontId="23" fillId="0" borderId="2" xfId="24" applyNumberFormat="1" applyFont="1" applyBorder="1" applyAlignment="1">
      <alignment horizontal="center" wrapText="1"/>
    </xf>
    <xf numFmtId="43" fontId="23" fillId="0" borderId="2" xfId="1" applyFont="1" applyBorder="1" applyAlignment="1">
      <alignment horizontal="justify" vertical="center"/>
    </xf>
    <xf numFmtId="0" fontId="23" fillId="0" borderId="2" xfId="24" applyFont="1" applyBorder="1" applyAlignment="1">
      <alignment horizontal="center" vertical="center"/>
    </xf>
    <xf numFmtId="0" fontId="4" fillId="8" borderId="0" xfId="24" applyFont="1" applyFill="1" applyAlignment="1">
      <alignment horizontal="justify" vertical="center" wrapText="1"/>
    </xf>
    <xf numFmtId="0" fontId="4" fillId="8" borderId="0" xfId="24" applyFont="1" applyFill="1" applyAlignment="1">
      <alignment vertical="center"/>
    </xf>
    <xf numFmtId="0" fontId="4" fillId="8" borderId="3" xfId="24" applyFont="1" applyFill="1" applyBorder="1" applyAlignment="1">
      <alignment vertical="center"/>
    </xf>
    <xf numFmtId="0" fontId="4" fillId="8" borderId="3" xfId="24" applyFont="1" applyFill="1" applyBorder="1" applyAlignment="1">
      <alignment horizontal="justify" vertical="center"/>
    </xf>
    <xf numFmtId="0" fontId="4" fillId="8" borderId="3" xfId="24" applyFont="1" applyFill="1" applyBorder="1" applyAlignment="1">
      <alignment horizontal="center" vertical="center"/>
    </xf>
    <xf numFmtId="43" fontId="4" fillId="8" borderId="3" xfId="4" applyFont="1" applyFill="1" applyBorder="1" applyAlignment="1">
      <alignment horizontal="center" vertical="center"/>
    </xf>
    <xf numFmtId="43" fontId="23" fillId="8" borderId="2" xfId="1" applyFont="1" applyFill="1" applyBorder="1" applyAlignment="1">
      <alignment horizontal="justify" vertical="center"/>
    </xf>
    <xf numFmtId="1" fontId="4" fillId="8" borderId="2" xfId="24" applyNumberFormat="1" applyFont="1" applyFill="1" applyBorder="1" applyAlignment="1">
      <alignment horizontal="center" vertical="center"/>
    </xf>
    <xf numFmtId="0" fontId="4" fillId="8" borderId="2" xfId="24" applyFont="1" applyFill="1" applyBorder="1" applyAlignment="1">
      <alignment horizontal="center" vertical="center"/>
    </xf>
    <xf numFmtId="0" fontId="4" fillId="8" borderId="66" xfId="24" applyFont="1" applyFill="1" applyBorder="1" applyAlignment="1">
      <alignment vertical="center"/>
    </xf>
    <xf numFmtId="0" fontId="23" fillId="7" borderId="8" xfId="24" quotePrefix="1" applyFont="1" applyFill="1" applyBorder="1" applyAlignment="1">
      <alignment horizontal="justify" vertical="center" wrapText="1"/>
    </xf>
    <xf numFmtId="1" fontId="23" fillId="7" borderId="2" xfId="24" quotePrefix="1" applyNumberFormat="1" applyFont="1" applyFill="1" applyBorder="1" applyAlignment="1">
      <alignment vertical="center" wrapText="1"/>
    </xf>
    <xf numFmtId="0" fontId="4" fillId="26" borderId="16" xfId="24" applyFont="1" applyFill="1" applyBorder="1" applyAlignment="1">
      <alignment horizontal="justify" vertical="center" wrapText="1"/>
    </xf>
    <xf numFmtId="0" fontId="4" fillId="26" borderId="16" xfId="24" applyFont="1" applyFill="1" applyBorder="1" applyAlignment="1">
      <alignment vertical="center"/>
    </xf>
    <xf numFmtId="0" fontId="4" fillId="26" borderId="5" xfId="24" applyFont="1" applyFill="1" applyBorder="1" applyAlignment="1">
      <alignment vertical="center"/>
    </xf>
    <xf numFmtId="0" fontId="4" fillId="26" borderId="5" xfId="24" applyFont="1" applyFill="1" applyBorder="1" applyAlignment="1">
      <alignment horizontal="justify" vertical="center"/>
    </xf>
    <xf numFmtId="0" fontId="4" fillId="26" borderId="2" xfId="24" applyFont="1" applyFill="1" applyBorder="1" applyAlignment="1">
      <alignment vertical="center"/>
    </xf>
    <xf numFmtId="0" fontId="23" fillId="26" borderId="2" xfId="24" applyFont="1" applyFill="1" applyBorder="1" applyAlignment="1">
      <alignment vertical="center"/>
    </xf>
    <xf numFmtId="1" fontId="23" fillId="7" borderId="2" xfId="24" quotePrefix="1" applyNumberFormat="1" applyFont="1" applyFill="1" applyBorder="1" applyAlignment="1">
      <alignment horizontal="center" vertical="center" wrapText="1"/>
    </xf>
    <xf numFmtId="0" fontId="4" fillId="26" borderId="3" xfId="24" applyFont="1" applyFill="1" applyBorder="1" applyAlignment="1">
      <alignment horizontal="justify" vertical="center" wrapText="1"/>
    </xf>
    <xf numFmtId="0" fontId="4" fillId="26" borderId="3" xfId="24" applyFont="1" applyFill="1" applyBorder="1" applyAlignment="1">
      <alignment horizontal="justify" vertical="center"/>
    </xf>
    <xf numFmtId="0" fontId="4" fillId="26" borderId="0" xfId="24" applyFont="1" applyFill="1" applyAlignment="1">
      <alignment horizontal="justify" vertical="center"/>
    </xf>
    <xf numFmtId="3" fontId="4" fillId="8" borderId="5" xfId="24" applyNumberFormat="1" applyFont="1" applyFill="1" applyBorder="1" applyAlignment="1">
      <alignment horizontal="justify" vertical="center" wrapText="1"/>
    </xf>
    <xf numFmtId="0" fontId="4" fillId="26" borderId="5" xfId="24" applyFont="1" applyFill="1" applyBorder="1" applyAlignment="1">
      <alignment horizontal="justify" vertical="center" wrapText="1"/>
    </xf>
    <xf numFmtId="43" fontId="4" fillId="26" borderId="5" xfId="4" applyFont="1" applyFill="1" applyBorder="1" applyAlignment="1">
      <alignment horizontal="center" vertical="center"/>
    </xf>
    <xf numFmtId="43" fontId="4" fillId="26" borderId="5" xfId="1" applyFont="1" applyFill="1" applyBorder="1" applyAlignment="1">
      <alignment horizontal="center" vertical="center"/>
    </xf>
    <xf numFmtId="0" fontId="4" fillId="26" borderId="62" xfId="24" applyFont="1" applyFill="1" applyBorder="1" applyAlignment="1">
      <alignment vertical="center"/>
    </xf>
    <xf numFmtId="0" fontId="23" fillId="7" borderId="2" xfId="24" applyFont="1" applyFill="1" applyBorder="1" applyAlignment="1">
      <alignment vertical="center" wrapText="1"/>
    </xf>
    <xf numFmtId="0" fontId="23" fillId="0" borderId="2" xfId="24" applyFont="1" applyBorder="1" applyAlignment="1">
      <alignment horizontal="center"/>
    </xf>
    <xf numFmtId="0" fontId="23" fillId="0" borderId="0" xfId="24" applyFont="1" applyAlignment="1">
      <alignment horizontal="center"/>
    </xf>
    <xf numFmtId="43" fontId="23" fillId="0" borderId="2" xfId="1" applyFont="1" applyBorder="1" applyAlignment="1">
      <alignment horizontal="justify"/>
    </xf>
    <xf numFmtId="0" fontId="4" fillId="0" borderId="3" xfId="24" applyFont="1" applyBorder="1" applyAlignment="1">
      <alignment vertical="center" wrapText="1"/>
    </xf>
    <xf numFmtId="0" fontId="4" fillId="0" borderId="12" xfId="24" applyFont="1" applyBorder="1" applyAlignment="1">
      <alignment vertical="center" wrapText="1"/>
    </xf>
    <xf numFmtId="0" fontId="4" fillId="26" borderId="0" xfId="24" applyFont="1" applyFill="1" applyAlignment="1">
      <alignment horizontal="justify" vertical="center" wrapText="1"/>
    </xf>
    <xf numFmtId="0" fontId="4" fillId="26" borderId="0" xfId="24" applyFont="1" applyFill="1" applyAlignment="1">
      <alignment vertical="center"/>
    </xf>
    <xf numFmtId="0" fontId="4" fillId="26" borderId="9" xfId="4" applyNumberFormat="1" applyFont="1" applyFill="1" applyBorder="1" applyAlignment="1">
      <alignment horizontal="center" vertical="center" textRotation="180" wrapText="1"/>
    </xf>
    <xf numFmtId="43" fontId="4" fillId="26" borderId="9" xfId="1" applyFont="1" applyFill="1" applyBorder="1" applyAlignment="1">
      <alignment horizontal="center" vertical="center" textRotation="180" wrapText="1"/>
    </xf>
    <xf numFmtId="0" fontId="23" fillId="7" borderId="45" xfId="24" applyFont="1" applyFill="1" applyBorder="1" applyAlignment="1">
      <alignment horizontal="center" vertical="center" wrapText="1"/>
    </xf>
    <xf numFmtId="0" fontId="23" fillId="7" borderId="0" xfId="24" applyFont="1" applyFill="1" applyAlignment="1">
      <alignment horizontal="center" vertical="center" wrapText="1"/>
    </xf>
    <xf numFmtId="0" fontId="23" fillId="7" borderId="8" xfId="24" applyFont="1" applyFill="1" applyBorder="1" applyAlignment="1">
      <alignment horizontal="justify" vertical="center" wrapText="1"/>
    </xf>
    <xf numFmtId="166" fontId="4" fillId="26" borderId="0" xfId="4" applyNumberFormat="1" applyFont="1" applyFill="1" applyAlignment="1">
      <alignment horizontal="center" vertical="center" textRotation="180" wrapText="1"/>
    </xf>
    <xf numFmtId="0" fontId="4" fillId="26" borderId="0" xfId="4" applyNumberFormat="1" applyFont="1" applyFill="1" applyAlignment="1">
      <alignment horizontal="center" vertical="center" textRotation="180" wrapText="1"/>
    </xf>
    <xf numFmtId="43" fontId="4" fillId="26" borderId="0" xfId="1" applyFont="1" applyFill="1" applyAlignment="1">
      <alignment horizontal="center" vertical="center" textRotation="180" wrapText="1"/>
    </xf>
    <xf numFmtId="0" fontId="23" fillId="7" borderId="8" xfId="25" quotePrefix="1" applyFont="1" applyFill="1" applyBorder="1" applyAlignment="1">
      <alignment horizontal="justify" vertical="center" wrapText="1"/>
    </xf>
    <xf numFmtId="43" fontId="23" fillId="7" borderId="2" xfId="1" quotePrefix="1" applyFont="1" applyFill="1" applyBorder="1" applyAlignment="1">
      <alignment vertical="center" wrapText="1"/>
    </xf>
    <xf numFmtId="43" fontId="23" fillId="0" borderId="2" xfId="1" applyFont="1" applyBorder="1" applyAlignment="1">
      <alignment vertical="center" wrapText="1"/>
    </xf>
    <xf numFmtId="49" fontId="23" fillId="7" borderId="8" xfId="25" quotePrefix="1" applyNumberFormat="1" applyFont="1" applyFill="1" applyBorder="1" applyAlignment="1">
      <alignment horizontal="justify" vertical="center" wrapText="1"/>
    </xf>
    <xf numFmtId="43" fontId="23" fillId="26" borderId="2" xfId="1" applyFont="1" applyFill="1" applyBorder="1" applyAlignment="1">
      <alignment vertical="center"/>
    </xf>
    <xf numFmtId="0" fontId="4" fillId="26" borderId="9" xfId="4" applyNumberFormat="1" applyFont="1" applyFill="1" applyBorder="1" applyAlignment="1">
      <alignment vertical="center" textRotation="180" wrapText="1"/>
    </xf>
    <xf numFmtId="166" fontId="4" fillId="26" borderId="9" xfId="4" applyNumberFormat="1" applyFont="1" applyFill="1" applyBorder="1" applyAlignment="1">
      <alignment vertical="center" textRotation="180" wrapText="1"/>
    </xf>
    <xf numFmtId="43" fontId="4" fillId="26" borderId="9" xfId="1" applyFont="1" applyFill="1" applyBorder="1" applyAlignment="1">
      <alignment vertical="center" textRotation="180" wrapText="1"/>
    </xf>
    <xf numFmtId="49" fontId="23" fillId="0" borderId="9" xfId="25" applyNumberFormat="1" applyFont="1" applyBorder="1" applyAlignment="1">
      <alignment horizontal="justify" vertical="center" wrapText="1"/>
    </xf>
    <xf numFmtId="0" fontId="23" fillId="7" borderId="9" xfId="24" applyFont="1" applyFill="1" applyBorder="1" applyAlignment="1">
      <alignment horizontal="justify" vertical="center" wrapText="1"/>
    </xf>
    <xf numFmtId="43" fontId="23" fillId="7" borderId="2" xfId="1" quotePrefix="1" applyFont="1" applyFill="1" applyBorder="1" applyAlignment="1">
      <alignment horizontal="center" vertical="center"/>
    </xf>
    <xf numFmtId="0" fontId="23" fillId="0" borderId="2" xfId="24" applyFont="1" applyBorder="1" applyAlignment="1">
      <alignment horizontal="justify" vertical="center" wrapText="1"/>
    </xf>
    <xf numFmtId="43" fontId="23" fillId="8" borderId="2" xfId="1" applyFont="1" applyFill="1" applyBorder="1" applyAlignment="1">
      <alignment vertical="center"/>
    </xf>
    <xf numFmtId="0" fontId="4" fillId="8" borderId="9" xfId="4" applyNumberFormat="1" applyFont="1" applyFill="1" applyBorder="1" applyAlignment="1">
      <alignment vertical="center" textRotation="180" wrapText="1"/>
    </xf>
    <xf numFmtId="166" fontId="4" fillId="8" borderId="9" xfId="4" applyNumberFormat="1" applyFont="1" applyFill="1" applyBorder="1" applyAlignment="1">
      <alignment vertical="center" textRotation="180" wrapText="1"/>
    </xf>
    <xf numFmtId="0" fontId="4" fillId="8" borderId="9" xfId="4" applyNumberFormat="1" applyFont="1" applyFill="1" applyBorder="1" applyAlignment="1">
      <alignment horizontal="center" vertical="center" textRotation="180" wrapText="1"/>
    </xf>
    <xf numFmtId="43" fontId="4" fillId="8" borderId="9" xfId="1" applyFont="1" applyFill="1" applyBorder="1" applyAlignment="1">
      <alignment vertical="center" textRotation="180" wrapText="1"/>
    </xf>
    <xf numFmtId="0" fontId="4" fillId="26" borderId="3" xfId="24" applyFont="1" applyFill="1" applyBorder="1" applyAlignment="1">
      <alignment horizontal="center" vertical="center"/>
    </xf>
    <xf numFmtId="0" fontId="4" fillId="26" borderId="3" xfId="4" applyNumberFormat="1" applyFont="1" applyFill="1" applyBorder="1" applyAlignment="1">
      <alignment vertical="center" textRotation="180" wrapText="1"/>
    </xf>
    <xf numFmtId="166" fontId="4" fillId="26" borderId="3" xfId="4" applyNumberFormat="1" applyFont="1" applyFill="1" applyBorder="1" applyAlignment="1">
      <alignment vertical="center" textRotation="180" wrapText="1"/>
    </xf>
    <xf numFmtId="0" fontId="4" fillId="26" borderId="3" xfId="4" applyNumberFormat="1" applyFont="1" applyFill="1" applyBorder="1" applyAlignment="1">
      <alignment horizontal="center" vertical="center" textRotation="180" wrapText="1"/>
    </xf>
    <xf numFmtId="43" fontId="4" fillId="26" borderId="3" xfId="1" applyFont="1" applyFill="1" applyBorder="1" applyAlignment="1">
      <alignment vertical="center" textRotation="180" wrapText="1"/>
    </xf>
    <xf numFmtId="43" fontId="23" fillId="7" borderId="2" xfId="1" applyFont="1" applyFill="1" applyBorder="1" applyAlignment="1">
      <alignment vertical="center"/>
    </xf>
    <xf numFmtId="1" fontId="23" fillId="7" borderId="2" xfId="24" applyNumberFormat="1" applyFont="1" applyFill="1" applyBorder="1" applyAlignment="1">
      <alignment horizontal="center" vertical="center"/>
    </xf>
    <xf numFmtId="0" fontId="23" fillId="7" borderId="8" xfId="25" applyFont="1" applyFill="1" applyBorder="1" applyAlignment="1">
      <alignment horizontal="justify" vertical="center" wrapText="1"/>
    </xf>
    <xf numFmtId="0" fontId="23" fillId="7" borderId="4" xfId="25" applyFont="1" applyFill="1" applyBorder="1" applyAlignment="1">
      <alignment horizontal="justify" vertical="center" wrapText="1"/>
    </xf>
    <xf numFmtId="0" fontId="23" fillId="0" borderId="2" xfId="24" applyFont="1" applyBorder="1"/>
    <xf numFmtId="43" fontId="4" fillId="0" borderId="31" xfId="4" applyFont="1" applyBorder="1" applyAlignment="1">
      <alignment horizontal="center" vertical="center"/>
    </xf>
    <xf numFmtId="0" fontId="23" fillId="7" borderId="28" xfId="24" applyFont="1" applyFill="1" applyBorder="1"/>
    <xf numFmtId="0" fontId="23" fillId="7" borderId="29" xfId="24" applyFont="1" applyFill="1" applyBorder="1" applyAlignment="1">
      <alignment horizontal="justify"/>
    </xf>
    <xf numFmtId="0" fontId="23" fillId="7" borderId="30" xfId="24" applyFont="1" applyFill="1" applyBorder="1" applyAlignment="1">
      <alignment horizontal="right" vertical="center"/>
    </xf>
    <xf numFmtId="43" fontId="4" fillId="0" borderId="31" xfId="4" applyFont="1" applyBorder="1" applyAlignment="1">
      <alignment horizontal="justify" vertical="center"/>
    </xf>
    <xf numFmtId="0" fontId="23" fillId="7" borderId="32" xfId="24" applyFont="1" applyFill="1" applyBorder="1" applyAlignment="1">
      <alignment horizontal="center" vertical="center"/>
    </xf>
    <xf numFmtId="0" fontId="23" fillId="7" borderId="33" xfId="24" applyFont="1" applyFill="1" applyBorder="1" applyAlignment="1">
      <alignment horizontal="center" vertical="center"/>
    </xf>
    <xf numFmtId="0" fontId="23" fillId="0" borderId="29" xfId="4" applyNumberFormat="1" applyFont="1" applyBorder="1"/>
    <xf numFmtId="166" fontId="23" fillId="0" borderId="29" xfId="4" applyNumberFormat="1" applyFont="1" applyBorder="1"/>
    <xf numFmtId="0" fontId="23" fillId="0" borderId="29" xfId="4" applyNumberFormat="1" applyFont="1" applyBorder="1" applyAlignment="1">
      <alignment horizontal="center" vertical="center"/>
    </xf>
    <xf numFmtId="0" fontId="23" fillId="0" borderId="29" xfId="24" applyFont="1" applyBorder="1"/>
    <xf numFmtId="0" fontId="23" fillId="0" borderId="30" xfId="24" applyFont="1" applyBorder="1"/>
    <xf numFmtId="0" fontId="23" fillId="7" borderId="0" xfId="24" applyFont="1" applyFill="1" applyAlignment="1">
      <alignment horizontal="justify"/>
    </xf>
    <xf numFmtId="0" fontId="23" fillId="7" borderId="0" xfId="24" applyFont="1" applyFill="1" applyAlignment="1">
      <alignment horizontal="center" vertical="center"/>
    </xf>
    <xf numFmtId="0" fontId="23" fillId="7" borderId="0" xfId="24" applyFont="1" applyFill="1" applyAlignment="1">
      <alignment horizontal="justify" vertical="center"/>
    </xf>
    <xf numFmtId="166" fontId="23" fillId="7" borderId="0" xfId="24" applyNumberFormat="1" applyFont="1" applyFill="1" applyAlignment="1">
      <alignment horizontal="justify" vertical="center"/>
    </xf>
    <xf numFmtId="0" fontId="23" fillId="0" borderId="0" xfId="4" applyNumberFormat="1" applyFont="1"/>
    <xf numFmtId="166" fontId="23" fillId="0" borderId="0" xfId="4" applyNumberFormat="1" applyFont="1"/>
    <xf numFmtId="0" fontId="23" fillId="0" borderId="0" xfId="4" applyNumberFormat="1" applyFont="1" applyAlignment="1">
      <alignment horizontal="center" vertical="center"/>
    </xf>
    <xf numFmtId="43" fontId="23" fillId="7" borderId="0" xfId="24" applyNumberFormat="1" applyFont="1" applyFill="1" applyAlignment="1">
      <alignment horizontal="justify" vertical="center"/>
    </xf>
    <xf numFmtId="177" fontId="23" fillId="7" borderId="0" xfId="24" applyNumberFormat="1" applyFont="1" applyFill="1" applyAlignment="1">
      <alignment horizontal="center"/>
    </xf>
    <xf numFmtId="188" fontId="23" fillId="7" borderId="0" xfId="26" applyFont="1" applyFill="1" applyAlignment="1">
      <alignment horizontal="justify" vertical="center"/>
    </xf>
    <xf numFmtId="188" fontId="23" fillId="7" borderId="0" xfId="24" applyNumberFormat="1" applyFont="1" applyFill="1" applyAlignment="1">
      <alignment horizontal="justify" vertical="center"/>
    </xf>
    <xf numFmtId="9" fontId="23" fillId="0" borderId="2" xfId="18" applyFont="1" applyBorder="1" applyAlignment="1">
      <alignment horizontal="center" vertical="center" wrapText="1"/>
    </xf>
    <xf numFmtId="0" fontId="22" fillId="0" borderId="2" xfId="0" applyFont="1" applyBorder="1" applyAlignment="1">
      <alignment horizontal="justify" vertical="center" wrapText="1"/>
    </xf>
    <xf numFmtId="0" fontId="23" fillId="7" borderId="2" xfId="0" applyFont="1" applyFill="1" applyBorder="1" applyAlignment="1">
      <alignment horizontal="justify" vertical="center" wrapText="1"/>
    </xf>
    <xf numFmtId="0" fontId="4" fillId="3" borderId="2" xfId="0" applyFont="1" applyFill="1" applyBorder="1" applyAlignment="1">
      <alignment horizontal="center" vertical="center" wrapText="1"/>
    </xf>
    <xf numFmtId="43" fontId="23" fillId="0" borderId="2" xfId="1" applyFont="1" applyFill="1" applyBorder="1" applyAlignment="1">
      <alignment horizontal="center" vertical="center" wrapText="1"/>
    </xf>
    <xf numFmtId="0" fontId="3" fillId="3" borderId="2" xfId="0" applyFont="1" applyFill="1" applyBorder="1" applyAlignment="1">
      <alignment horizontal="center" vertical="center" wrapText="1"/>
    </xf>
    <xf numFmtId="0" fontId="24" fillId="0" borderId="9" xfId="0" applyFont="1" applyBorder="1" applyAlignment="1">
      <alignment horizontal="center" vertical="center"/>
    </xf>
    <xf numFmtId="0" fontId="24" fillId="0" borderId="5" xfId="0" applyFont="1" applyBorder="1" applyAlignment="1">
      <alignment horizontal="center" vertical="center"/>
    </xf>
    <xf numFmtId="0" fontId="24" fillId="0" borderId="0" xfId="0" applyFont="1" applyAlignment="1">
      <alignment horizontal="center" vertical="center"/>
    </xf>
    <xf numFmtId="0" fontId="24" fillId="0" borderId="3" xfId="0" applyFont="1" applyBorder="1" applyAlignment="1">
      <alignment horizontal="center" vertical="center"/>
    </xf>
    <xf numFmtId="0" fontId="22" fillId="0" borderId="0" xfId="0" applyFont="1" applyAlignment="1">
      <alignment wrapText="1"/>
    </xf>
    <xf numFmtId="182" fontId="24" fillId="0" borderId="9" xfId="17" applyFont="1" applyBorder="1" applyAlignment="1">
      <alignment horizontal="center" vertical="center"/>
    </xf>
    <xf numFmtId="0" fontId="24" fillId="6" borderId="65" xfId="0" applyFont="1" applyFill="1" applyBorder="1" applyAlignment="1">
      <alignment horizontal="center" vertical="center" wrapText="1"/>
    </xf>
    <xf numFmtId="0" fontId="24" fillId="6" borderId="7" xfId="0" applyFont="1" applyFill="1" applyBorder="1" applyAlignment="1">
      <alignment horizontal="left" vertical="center"/>
    </xf>
    <xf numFmtId="0" fontId="24" fillId="6" borderId="3" xfId="0" applyFont="1" applyFill="1" applyBorder="1" applyAlignment="1">
      <alignment horizontal="left" vertical="center" wrapText="1"/>
    </xf>
    <xf numFmtId="0" fontId="24" fillId="6" borderId="3" xfId="0" applyFont="1" applyFill="1" applyBorder="1" applyAlignment="1">
      <alignment horizontal="justify" vertical="center" wrapText="1"/>
    </xf>
    <xf numFmtId="0" fontId="24" fillId="6" borderId="3" xfId="0" applyFont="1" applyFill="1" applyBorder="1" applyAlignment="1">
      <alignment horizontal="center" vertical="center" wrapText="1"/>
    </xf>
    <xf numFmtId="1" fontId="4" fillId="14" borderId="2" xfId="0" applyNumberFormat="1" applyFont="1" applyFill="1" applyBorder="1" applyAlignment="1" applyProtection="1">
      <alignment horizontal="center" vertical="center" wrapText="1"/>
      <protection locked="0"/>
    </xf>
    <xf numFmtId="1" fontId="4" fillId="14" borderId="3" xfId="0" applyNumberFormat="1" applyFont="1" applyFill="1" applyBorder="1" applyAlignment="1">
      <alignment horizontal="center" vertical="center" wrapText="1"/>
    </xf>
    <xf numFmtId="182" fontId="4" fillId="14" borderId="3" xfId="17" applyFont="1" applyFill="1" applyBorder="1" applyAlignment="1">
      <alignment horizontal="center" vertical="center" wrapText="1"/>
    </xf>
    <xf numFmtId="0" fontId="24" fillId="7" borderId="45" xfId="0" applyFont="1" applyFill="1" applyBorder="1" applyAlignment="1">
      <alignment vertical="center" wrapText="1"/>
    </xf>
    <xf numFmtId="0" fontId="24" fillId="7" borderId="15" xfId="0" applyFont="1" applyFill="1" applyBorder="1" applyAlignment="1">
      <alignment vertical="center" wrapText="1"/>
    </xf>
    <xf numFmtId="0" fontId="24" fillId="8" borderId="2" xfId="0" applyFont="1" applyFill="1" applyBorder="1" applyAlignment="1">
      <alignment horizontal="center" vertical="center" wrapText="1"/>
    </xf>
    <xf numFmtId="0" fontId="24" fillId="8" borderId="8" xfId="0" applyFont="1" applyFill="1" applyBorder="1" applyAlignment="1">
      <alignment vertical="center"/>
    </xf>
    <xf numFmtId="0" fontId="24" fillId="8" borderId="0" xfId="0" applyFont="1" applyFill="1" applyAlignment="1">
      <alignment vertical="center"/>
    </xf>
    <xf numFmtId="0" fontId="24" fillId="8" borderId="0" xfId="0" applyFont="1" applyFill="1" applyAlignment="1">
      <alignment horizontal="justify" vertical="center"/>
    </xf>
    <xf numFmtId="0" fontId="24" fillId="8" borderId="0" xfId="0" applyFont="1" applyFill="1" applyAlignment="1">
      <alignment horizontal="center" vertical="center"/>
    </xf>
    <xf numFmtId="0" fontId="24" fillId="8" borderId="0" xfId="0" applyFont="1" applyFill="1" applyAlignment="1" applyProtection="1">
      <alignment vertical="center"/>
      <protection locked="0"/>
    </xf>
    <xf numFmtId="182" fontId="24" fillId="8" borderId="0" xfId="17" applyFont="1" applyFill="1" applyAlignment="1">
      <alignment vertical="center"/>
    </xf>
    <xf numFmtId="0" fontId="24" fillId="8" borderId="64" xfId="0" applyFont="1" applyFill="1" applyBorder="1" applyAlignment="1">
      <alignment horizontal="justify" vertical="center"/>
    </xf>
    <xf numFmtId="0" fontId="24" fillId="7" borderId="14" xfId="0" applyFont="1" applyFill="1" applyBorder="1" applyAlignment="1">
      <alignment vertical="center" wrapText="1"/>
    </xf>
    <xf numFmtId="0" fontId="24" fillId="9" borderId="2" xfId="0" applyFont="1" applyFill="1" applyBorder="1" applyAlignment="1">
      <alignment horizontal="center" vertical="center" wrapText="1"/>
    </xf>
    <xf numFmtId="0" fontId="4" fillId="9" borderId="8" xfId="0" applyFont="1" applyFill="1" applyBorder="1" applyAlignment="1">
      <alignment horizontal="left" vertical="center"/>
    </xf>
    <xf numFmtId="0" fontId="4" fillId="9" borderId="9" xfId="0" applyFont="1" applyFill="1" applyBorder="1" applyAlignment="1">
      <alignment horizontal="left" vertical="center"/>
    </xf>
    <xf numFmtId="0" fontId="4" fillId="9" borderId="9" xfId="0" applyFont="1" applyFill="1" applyBorder="1" applyAlignment="1" applyProtection="1">
      <alignment horizontal="left" vertical="center"/>
      <protection locked="0"/>
    </xf>
    <xf numFmtId="182" fontId="4" fillId="9" borderId="9" xfId="17" applyFont="1" applyFill="1" applyBorder="1" applyAlignment="1">
      <alignment horizontal="left" vertical="center"/>
    </xf>
    <xf numFmtId="0" fontId="36" fillId="7" borderId="2" xfId="0" applyFont="1" applyFill="1" applyBorder="1" applyAlignment="1">
      <alignment horizontal="justify" vertical="center" wrapText="1"/>
    </xf>
    <xf numFmtId="43" fontId="22" fillId="7" borderId="11" xfId="1" applyFont="1" applyFill="1" applyBorder="1" applyAlignment="1">
      <alignment horizontal="center" vertical="center" wrapText="1"/>
    </xf>
    <xf numFmtId="0" fontId="44" fillId="0" borderId="11" xfId="0" applyFont="1" applyBorder="1" applyAlignment="1">
      <alignment horizontal="center" vertical="center" wrapText="1"/>
    </xf>
    <xf numFmtId="0" fontId="22" fillId="7" borderId="11" xfId="0" applyFont="1" applyFill="1" applyBorder="1" applyAlignment="1">
      <alignment horizontal="center" vertical="center"/>
    </xf>
    <xf numFmtId="0" fontId="36" fillId="7" borderId="11" xfId="0" applyFont="1" applyFill="1" applyBorder="1" applyAlignment="1">
      <alignment horizontal="justify" vertical="center" wrapText="1"/>
    </xf>
    <xf numFmtId="0" fontId="22" fillId="7" borderId="13" xfId="0" applyFont="1" applyFill="1" applyBorder="1" applyAlignment="1">
      <alignment horizontal="center" vertical="center"/>
    </xf>
    <xf numFmtId="0" fontId="22" fillId="7" borderId="2" xfId="0" applyFont="1" applyFill="1" applyBorder="1" applyAlignment="1">
      <alignment horizontal="justify" vertical="center" wrapText="1"/>
    </xf>
    <xf numFmtId="0" fontId="24" fillId="7" borderId="7" xfId="0" applyFont="1" applyFill="1" applyBorder="1" applyAlignment="1">
      <alignment vertical="center" wrapText="1"/>
    </xf>
    <xf numFmtId="0" fontId="24" fillId="7" borderId="12" xfId="0" applyFont="1" applyFill="1" applyBorder="1" applyAlignment="1">
      <alignment vertical="center" wrapText="1"/>
    </xf>
    <xf numFmtId="43" fontId="22" fillId="7" borderId="2" xfId="1" applyFont="1" applyFill="1" applyBorder="1" applyAlignment="1">
      <alignment horizontal="center" vertical="center" wrapText="1"/>
    </xf>
    <xf numFmtId="0" fontId="22" fillId="7" borderId="6" xfId="0" applyFont="1" applyFill="1" applyBorder="1" applyAlignment="1">
      <alignment horizontal="center" vertical="center"/>
    </xf>
    <xf numFmtId="0" fontId="24" fillId="8" borderId="8" xfId="0" applyFont="1" applyFill="1" applyBorder="1" applyAlignment="1">
      <alignment horizontal="left" vertical="center"/>
    </xf>
    <xf numFmtId="0" fontId="24" fillId="8" borderId="9" xfId="0" applyFont="1" applyFill="1" applyBorder="1" applyAlignment="1">
      <alignment horizontal="left" vertical="center"/>
    </xf>
    <xf numFmtId="0" fontId="24" fillId="8" borderId="9" xfId="0" applyFont="1" applyFill="1" applyBorder="1" applyAlignment="1">
      <alignment horizontal="justify" vertical="center" wrapText="1"/>
    </xf>
    <xf numFmtId="2" fontId="24" fillId="8" borderId="9" xfId="0" applyNumberFormat="1" applyFont="1" applyFill="1" applyBorder="1" applyAlignment="1">
      <alignment horizontal="left" vertical="center"/>
    </xf>
    <xf numFmtId="43" fontId="24" fillId="8" borderId="9" xfId="1" applyFont="1" applyFill="1" applyBorder="1" applyAlignment="1">
      <alignment horizontal="left" vertical="center"/>
    </xf>
    <xf numFmtId="43" fontId="24" fillId="8" borderId="9" xfId="1" applyFont="1" applyFill="1" applyBorder="1" applyAlignment="1">
      <alignment horizontal="center" vertical="center"/>
    </xf>
    <xf numFmtId="0" fontId="22" fillId="8" borderId="1" xfId="0" applyFont="1" applyFill="1" applyBorder="1" applyAlignment="1">
      <alignment horizontal="justify" vertical="center"/>
    </xf>
    <xf numFmtId="0" fontId="22" fillId="7" borderId="14" xfId="0" applyFont="1" applyFill="1" applyBorder="1" applyAlignment="1">
      <alignment vertical="center" wrapText="1"/>
    </xf>
    <xf numFmtId="0" fontId="22" fillId="7" borderId="15" xfId="0" applyFont="1" applyFill="1" applyBorder="1" applyAlignment="1">
      <alignment vertical="center" wrapText="1"/>
    </xf>
    <xf numFmtId="0" fontId="4" fillId="9" borderId="9" xfId="0" applyFont="1" applyFill="1" applyBorder="1" applyAlignment="1">
      <alignment horizontal="justify" vertical="center" wrapText="1"/>
    </xf>
    <xf numFmtId="2" fontId="4" fillId="9" borderId="9" xfId="0" applyNumberFormat="1" applyFont="1" applyFill="1" applyBorder="1" applyAlignment="1">
      <alignment horizontal="left" vertical="center"/>
    </xf>
    <xf numFmtId="0" fontId="4" fillId="9" borderId="5" xfId="0" applyFont="1" applyFill="1" applyBorder="1" applyAlignment="1">
      <alignment horizontal="justify" vertical="center" wrapText="1"/>
    </xf>
    <xf numFmtId="43" fontId="4" fillId="9" borderId="5" xfId="1" applyFont="1" applyFill="1" applyBorder="1" applyAlignment="1">
      <alignment horizontal="left" vertical="center"/>
    </xf>
    <xf numFmtId="43" fontId="4" fillId="9" borderId="5" xfId="1" applyFont="1" applyFill="1" applyBorder="1" applyAlignment="1">
      <alignment horizontal="center" vertical="center"/>
    </xf>
    <xf numFmtId="0" fontId="4" fillId="9" borderId="5" xfId="0" applyFont="1" applyFill="1" applyBorder="1" applyAlignment="1">
      <alignment horizontal="center" vertical="center"/>
    </xf>
    <xf numFmtId="0" fontId="4" fillId="9" borderId="5" xfId="0" applyFont="1" applyFill="1" applyBorder="1" applyAlignment="1">
      <alignment horizontal="justify" vertical="center"/>
    </xf>
    <xf numFmtId="0" fontId="24" fillId="9" borderId="5" xfId="0" applyFont="1" applyFill="1" applyBorder="1" applyAlignment="1">
      <alignment horizontal="justify" vertical="center"/>
    </xf>
    <xf numFmtId="43" fontId="4" fillId="9" borderId="9" xfId="1" applyFont="1" applyFill="1" applyBorder="1" applyAlignment="1">
      <alignment horizontal="left" vertical="center"/>
    </xf>
    <xf numFmtId="0" fontId="22" fillId="7" borderId="4" xfId="0" applyFont="1" applyFill="1" applyBorder="1" applyAlignment="1">
      <alignment vertical="center" wrapText="1"/>
    </xf>
    <xf numFmtId="0" fontId="22" fillId="7" borderId="10" xfId="0" applyFont="1" applyFill="1" applyBorder="1" applyAlignment="1">
      <alignment vertical="center" wrapText="1"/>
    </xf>
    <xf numFmtId="0" fontId="44" fillId="0" borderId="50" xfId="0" applyFont="1" applyBorder="1" applyAlignment="1">
      <alignment horizontal="center" vertical="center" wrapText="1"/>
    </xf>
    <xf numFmtId="0" fontId="4" fillId="9" borderId="5" xfId="0" applyFont="1" applyFill="1" applyBorder="1" applyAlignment="1">
      <alignment horizontal="left" vertical="center"/>
    </xf>
    <xf numFmtId="43" fontId="4" fillId="9" borderId="3" xfId="1" applyFont="1" applyFill="1" applyBorder="1" applyAlignment="1">
      <alignment horizontal="left" vertical="center"/>
    </xf>
    <xf numFmtId="43" fontId="4" fillId="9" borderId="0" xfId="1" applyFont="1" applyFill="1" applyBorder="1" applyAlignment="1">
      <alignment horizontal="left" vertical="center"/>
    </xf>
    <xf numFmtId="43" fontId="4" fillId="9" borderId="0" xfId="1" applyFont="1" applyFill="1" applyBorder="1" applyAlignment="1">
      <alignment horizontal="center" vertical="center"/>
    </xf>
    <xf numFmtId="0" fontId="4" fillId="9" borderId="16" xfId="0" applyFont="1" applyFill="1" applyBorder="1" applyAlignment="1">
      <alignment horizontal="center" vertical="center"/>
    </xf>
    <xf numFmtId="0" fontId="4" fillId="9" borderId="3" xfId="0" applyFont="1" applyFill="1" applyBorder="1" applyAlignment="1">
      <alignment horizontal="justify" vertical="center"/>
    </xf>
    <xf numFmtId="0" fontId="24" fillId="9" borderId="3" xfId="0" applyFont="1" applyFill="1" applyBorder="1" applyAlignment="1">
      <alignment horizontal="justify" vertical="center"/>
    </xf>
    <xf numFmtId="0" fontId="22" fillId="7" borderId="0" xfId="0" applyFont="1" applyFill="1" applyAlignment="1">
      <alignment vertical="center" wrapText="1"/>
    </xf>
    <xf numFmtId="43" fontId="22" fillId="7" borderId="4" xfId="1" applyFont="1" applyFill="1" applyBorder="1" applyAlignment="1">
      <alignment horizontal="center" vertical="center" wrapText="1"/>
    </xf>
    <xf numFmtId="0" fontId="44" fillId="0" borderId="10" xfId="0" applyFont="1" applyBorder="1" applyAlignment="1">
      <alignment vertical="center" wrapText="1"/>
    </xf>
    <xf numFmtId="43" fontId="22" fillId="7" borderId="8" xfId="1" applyFont="1" applyFill="1" applyBorder="1" applyAlignment="1">
      <alignment horizontal="center" vertical="center" wrapText="1"/>
    </xf>
    <xf numFmtId="43" fontId="22" fillId="7" borderId="7" xfId="1" applyFont="1" applyFill="1" applyBorder="1" applyAlignment="1">
      <alignment horizontal="center" vertical="center" wrapText="1"/>
    </xf>
    <xf numFmtId="0" fontId="36" fillId="7" borderId="4" xfId="0" applyFont="1" applyFill="1" applyBorder="1" applyAlignment="1">
      <alignment horizontal="justify" vertical="center" wrapText="1"/>
    </xf>
    <xf numFmtId="0" fontId="22" fillId="7" borderId="8" xfId="0" applyFont="1" applyFill="1" applyBorder="1" applyAlignment="1">
      <alignment horizontal="justify" vertical="center" wrapText="1"/>
    </xf>
    <xf numFmtId="0" fontId="24" fillId="9" borderId="13" xfId="0" applyFont="1" applyFill="1" applyBorder="1" applyAlignment="1">
      <alignment horizontal="center" vertical="center" wrapText="1"/>
    </xf>
    <xf numFmtId="43" fontId="4" fillId="9" borderId="2" xfId="1" applyFont="1" applyFill="1" applyBorder="1" applyAlignment="1">
      <alignment horizontal="left" vertical="center"/>
    </xf>
    <xf numFmtId="43" fontId="4" fillId="9" borderId="3" xfId="1" applyFont="1" applyFill="1" applyBorder="1" applyAlignment="1">
      <alignment horizontal="center" vertical="center"/>
    </xf>
    <xf numFmtId="0" fontId="4" fillId="9" borderId="3" xfId="0" applyFont="1" applyFill="1" applyBorder="1" applyAlignment="1">
      <alignment horizontal="center" vertical="center"/>
    </xf>
    <xf numFmtId="49" fontId="22" fillId="7" borderId="11" xfId="19" applyNumberFormat="1" applyFont="1" applyFill="1" applyBorder="1" applyAlignment="1">
      <alignment horizontal="center" vertical="center" wrapText="1"/>
    </xf>
    <xf numFmtId="49" fontId="22" fillId="7" borderId="13" xfId="19" applyNumberFormat="1" applyFont="1" applyFill="1" applyBorder="1" applyAlignment="1">
      <alignment horizontal="center" vertical="center" wrapText="1"/>
    </xf>
    <xf numFmtId="0" fontId="22" fillId="7" borderId="11" xfId="0" applyFont="1" applyFill="1" applyBorder="1" applyAlignment="1">
      <alignment horizontal="justify" vertical="center" wrapText="1"/>
    </xf>
    <xf numFmtId="1" fontId="22" fillId="7" borderId="13" xfId="0" applyNumberFormat="1" applyFont="1" applyFill="1" applyBorder="1" applyAlignment="1">
      <alignment horizontal="center" vertical="center"/>
    </xf>
    <xf numFmtId="43" fontId="4" fillId="9" borderId="9" xfId="1" applyFont="1" applyFill="1" applyBorder="1" applyAlignment="1">
      <alignment horizontal="center" vertical="center"/>
    </xf>
    <xf numFmtId="43" fontId="27" fillId="0" borderId="2" xfId="1" applyFont="1" applyBorder="1" applyAlignment="1">
      <alignment horizontal="center" vertical="center"/>
    </xf>
    <xf numFmtId="2" fontId="24" fillId="8" borderId="9" xfId="0" applyNumberFormat="1" applyFont="1" applyFill="1" applyBorder="1" applyAlignment="1">
      <alignment vertical="center"/>
    </xf>
    <xf numFmtId="43" fontId="24" fillId="8" borderId="9" xfId="1" applyFont="1" applyFill="1" applyBorder="1" applyAlignment="1">
      <alignment vertical="center"/>
    </xf>
    <xf numFmtId="0" fontId="24" fillId="9" borderId="9" xfId="0" applyFont="1" applyFill="1" applyBorder="1" applyAlignment="1">
      <alignment horizontal="left" vertical="center"/>
    </xf>
    <xf numFmtId="0" fontId="23" fillId="7" borderId="2" xfId="15" applyFont="1" applyFill="1" applyBorder="1" applyAlignment="1">
      <alignment horizontal="justify" vertical="center" wrapText="1"/>
    </xf>
    <xf numFmtId="43" fontId="22" fillId="7" borderId="2" xfId="1" applyFont="1" applyFill="1" applyBorder="1" applyAlignment="1">
      <alignment vertical="center"/>
    </xf>
    <xf numFmtId="43" fontId="22" fillId="7" borderId="2" xfId="1" applyFont="1" applyFill="1" applyBorder="1" applyAlignment="1">
      <alignment horizontal="center" vertical="center"/>
    </xf>
    <xf numFmtId="0" fontId="22" fillId="7" borderId="10" xfId="0" applyFont="1" applyFill="1" applyBorder="1" applyAlignment="1">
      <alignment horizontal="center"/>
    </xf>
    <xf numFmtId="0" fontId="22" fillId="7" borderId="11" xfId="0" applyFont="1" applyFill="1" applyBorder="1" applyAlignment="1">
      <alignment horizontal="center"/>
    </xf>
    <xf numFmtId="0" fontId="22" fillId="7" borderId="15" xfId="0" applyFont="1" applyFill="1" applyBorder="1" applyAlignment="1">
      <alignment horizontal="center"/>
    </xf>
    <xf numFmtId="0" fontId="22" fillId="7" borderId="13" xfId="0" applyFont="1" applyFill="1" applyBorder="1" applyAlignment="1">
      <alignment horizontal="center"/>
    </xf>
    <xf numFmtId="0" fontId="44" fillId="0" borderId="16" xfId="0" applyFont="1" applyBorder="1" applyAlignment="1">
      <alignment horizontal="center" vertical="center" wrapText="1"/>
    </xf>
    <xf numFmtId="0" fontId="22" fillId="7" borderId="7" xfId="0" applyFont="1" applyFill="1" applyBorder="1" applyAlignment="1">
      <alignment vertical="center" wrapText="1"/>
    </xf>
    <xf numFmtId="0" fontId="24" fillId="9" borderId="6" xfId="0" applyFont="1" applyFill="1" applyBorder="1" applyAlignment="1">
      <alignment horizontal="center" vertical="center" wrapText="1"/>
    </xf>
    <xf numFmtId="0" fontId="33" fillId="9" borderId="8" xfId="0" applyFont="1" applyFill="1" applyBorder="1" applyAlignment="1">
      <alignment horizontal="left" vertical="center"/>
    </xf>
    <xf numFmtId="0" fontId="33" fillId="9" borderId="9" xfId="0" applyFont="1" applyFill="1" applyBorder="1" applyAlignment="1">
      <alignment horizontal="left" vertical="center"/>
    </xf>
    <xf numFmtId="0" fontId="33" fillId="9" borderId="9" xfId="0" applyFont="1" applyFill="1" applyBorder="1" applyAlignment="1">
      <alignment horizontal="justify" vertical="center" wrapText="1"/>
    </xf>
    <xf numFmtId="2" fontId="33" fillId="9" borderId="9" xfId="0" applyNumberFormat="1" applyFont="1" applyFill="1" applyBorder="1" applyAlignment="1">
      <alignment horizontal="left" vertical="center"/>
    </xf>
    <xf numFmtId="0" fontId="33" fillId="9" borderId="9" xfId="0" applyFont="1" applyFill="1" applyBorder="1" applyAlignment="1">
      <alignment horizontal="justify" vertical="center"/>
    </xf>
    <xf numFmtId="43" fontId="33" fillId="9" borderId="9" xfId="1" applyFont="1" applyFill="1" applyBorder="1" applyAlignment="1">
      <alignment horizontal="left" vertical="center"/>
    </xf>
    <xf numFmtId="43" fontId="33" fillId="9" borderId="9" xfId="1" applyFont="1" applyFill="1" applyBorder="1" applyAlignment="1">
      <alignment horizontal="center" vertical="center"/>
    </xf>
    <xf numFmtId="0" fontId="33" fillId="9" borderId="9" xfId="0" applyFont="1" applyFill="1" applyBorder="1" applyAlignment="1">
      <alignment horizontal="center" vertical="center"/>
    </xf>
    <xf numFmtId="0" fontId="44" fillId="9" borderId="1" xfId="0" applyFont="1" applyFill="1" applyBorder="1" applyAlignment="1">
      <alignment horizontal="justify" vertical="center"/>
    </xf>
    <xf numFmtId="0" fontId="22" fillId="0" borderId="6" xfId="0" applyFont="1" applyBorder="1" applyAlignment="1">
      <alignment horizontal="justify" vertical="center" wrapText="1"/>
    </xf>
    <xf numFmtId="0" fontId="33" fillId="9" borderId="8" xfId="0" applyFont="1" applyFill="1" applyBorder="1" applyAlignment="1">
      <alignment vertical="center"/>
    </xf>
    <xf numFmtId="0" fontId="33" fillId="9" borderId="9" xfId="0" applyFont="1" applyFill="1" applyBorder="1" applyAlignment="1">
      <alignment vertical="center"/>
    </xf>
    <xf numFmtId="2" fontId="33" fillId="9" borderId="9" xfId="0" applyNumberFormat="1" applyFont="1" applyFill="1" applyBorder="1" applyAlignment="1">
      <alignment vertical="center"/>
    </xf>
    <xf numFmtId="43" fontId="33" fillId="9" borderId="9" xfId="1" applyFont="1" applyFill="1" applyBorder="1" applyAlignment="1">
      <alignment vertical="center"/>
    </xf>
    <xf numFmtId="43" fontId="22" fillId="7" borderId="2" xfId="1" applyFont="1" applyFill="1" applyBorder="1" applyAlignment="1">
      <alignment horizontal="center" vertical="center" wrapText="1" readingOrder="1"/>
    </xf>
    <xf numFmtId="3" fontId="22" fillId="7" borderId="11" xfId="0" applyNumberFormat="1" applyFont="1" applyFill="1" applyBorder="1" applyAlignment="1">
      <alignment horizontal="center" vertical="center"/>
    </xf>
    <xf numFmtId="166" fontId="22" fillId="7" borderId="11" xfId="0" applyNumberFormat="1" applyFont="1" applyFill="1" applyBorder="1" applyAlignment="1">
      <alignment horizontal="center" vertical="center"/>
    </xf>
    <xf numFmtId="3" fontId="22" fillId="7" borderId="13" xfId="0" applyNumberFormat="1" applyFont="1" applyFill="1" applyBorder="1" applyAlignment="1">
      <alignment horizontal="center" vertical="center"/>
    </xf>
    <xf numFmtId="166" fontId="22" fillId="7" borderId="13" xfId="0" applyNumberFormat="1" applyFont="1" applyFill="1" applyBorder="1" applyAlignment="1">
      <alignment horizontal="center" vertical="center"/>
    </xf>
    <xf numFmtId="3" fontId="22" fillId="7" borderId="6" xfId="0" applyNumberFormat="1" applyFont="1" applyFill="1" applyBorder="1" applyAlignment="1">
      <alignment horizontal="center" vertical="center"/>
    </xf>
    <xf numFmtId="189" fontId="22" fillId="7" borderId="11" xfId="0" applyNumberFormat="1" applyFont="1" applyFill="1" applyBorder="1" applyAlignment="1">
      <alignment vertical="center" wrapText="1"/>
    </xf>
    <xf numFmtId="189" fontId="22" fillId="7" borderId="13" xfId="0" applyNumberFormat="1" applyFont="1" applyFill="1" applyBorder="1" applyAlignment="1">
      <alignment vertical="center" wrapText="1"/>
    </xf>
    <xf numFmtId="0" fontId="22" fillId="7" borderId="12" xfId="0" applyFont="1" applyFill="1" applyBorder="1" applyAlignment="1">
      <alignment vertical="center" wrapText="1"/>
    </xf>
    <xf numFmtId="189" fontId="22" fillId="7" borderId="6" xfId="0" applyNumberFormat="1" applyFont="1" applyFill="1" applyBorder="1" applyAlignment="1">
      <alignment vertical="center" wrapText="1"/>
    </xf>
    <xf numFmtId="0" fontId="24" fillId="8" borderId="13" xfId="0" applyFont="1" applyFill="1" applyBorder="1" applyAlignment="1">
      <alignment horizontal="center" vertical="center" wrapText="1"/>
    </xf>
    <xf numFmtId="2" fontId="33" fillId="9" borderId="5" xfId="0" applyNumberFormat="1" applyFont="1" applyFill="1" applyBorder="1" applyAlignment="1">
      <alignment vertical="center"/>
    </xf>
    <xf numFmtId="0" fontId="33" fillId="9" borderId="5" xfId="0" applyFont="1" applyFill="1" applyBorder="1" applyAlignment="1">
      <alignment vertical="center"/>
    </xf>
    <xf numFmtId="43" fontId="33" fillId="9" borderId="5" xfId="1" applyFont="1" applyFill="1" applyBorder="1" applyAlignment="1">
      <alignment vertical="center"/>
    </xf>
    <xf numFmtId="43" fontId="33" fillId="9" borderId="5" xfId="1" applyFont="1" applyFill="1" applyBorder="1" applyAlignment="1">
      <alignment horizontal="center" vertical="center"/>
    </xf>
    <xf numFmtId="0" fontId="33" fillId="9" borderId="5" xfId="0" applyFont="1" applyFill="1" applyBorder="1" applyAlignment="1">
      <alignment horizontal="center" vertical="center"/>
    </xf>
    <xf numFmtId="0" fontId="33" fillId="9" borderId="5" xfId="0" applyFont="1" applyFill="1" applyBorder="1" applyAlignment="1">
      <alignment horizontal="justify" vertical="center"/>
    </xf>
    <xf numFmtId="0" fontId="23" fillId="0" borderId="8" xfId="0" applyFont="1" applyBorder="1" applyAlignment="1">
      <alignment horizontal="justify" vertical="center" wrapText="1"/>
    </xf>
    <xf numFmtId="0" fontId="44" fillId="7" borderId="89" xfId="0" applyFont="1" applyFill="1" applyBorder="1" applyAlignment="1">
      <alignment horizontal="center" vertical="center" wrapText="1"/>
    </xf>
    <xf numFmtId="0" fontId="44" fillId="0" borderId="16" xfId="0" applyFont="1" applyBorder="1" applyAlignment="1">
      <alignment vertical="center" wrapText="1"/>
    </xf>
    <xf numFmtId="0" fontId="36" fillId="0" borderId="8" xfId="0" applyFont="1" applyBorder="1" applyAlignment="1">
      <alignment horizontal="justify" vertical="center" wrapText="1"/>
    </xf>
    <xf numFmtId="0" fontId="44" fillId="0" borderId="2" xfId="0" applyFont="1" applyBorder="1" applyAlignment="1">
      <alignment horizontal="center" vertical="center" wrapText="1"/>
    </xf>
    <xf numFmtId="0" fontId="44" fillId="0" borderId="2" xfId="0" applyFont="1" applyBorder="1" applyAlignment="1">
      <alignment horizontal="justify" vertical="center" wrapText="1"/>
    </xf>
    <xf numFmtId="0" fontId="22" fillId="0" borderId="11" xfId="0" applyFont="1" applyBorder="1" applyAlignment="1">
      <alignment horizontal="justify" vertical="center" wrapText="1"/>
    </xf>
    <xf numFmtId="1" fontId="44" fillId="0" borderId="4" xfId="0" applyNumberFormat="1" applyFont="1" applyBorder="1" applyAlignment="1">
      <alignment horizontal="center" vertical="center" wrapText="1"/>
    </xf>
    <xf numFmtId="2" fontId="44" fillId="0" borderId="2" xfId="0" applyNumberFormat="1" applyFont="1" applyBorder="1" applyAlignment="1">
      <alignment horizontal="center" vertical="center" wrapText="1"/>
    </xf>
    <xf numFmtId="0" fontId="44" fillId="7" borderId="50" xfId="0" applyFont="1" applyFill="1" applyBorder="1" applyAlignment="1">
      <alignment vertical="center" wrapText="1"/>
    </xf>
    <xf numFmtId="183" fontId="22" fillId="0" borderId="2" xfId="2" applyNumberFormat="1" applyFont="1" applyBorder="1" applyAlignment="1">
      <alignment horizontal="center" vertical="center"/>
    </xf>
    <xf numFmtId="0" fontId="22" fillId="0" borderId="8" xfId="0" applyFont="1" applyBorder="1" applyAlignment="1">
      <alignment horizontal="justify" vertical="center" wrapText="1"/>
    </xf>
    <xf numFmtId="43" fontId="5" fillId="0" borderId="2" xfId="1" applyFont="1" applyBorder="1" applyAlignment="1">
      <alignment horizontal="right" vertical="center" wrapText="1"/>
    </xf>
    <xf numFmtId="164" fontId="44" fillId="7" borderId="0" xfId="0" applyNumberFormat="1" applyFont="1" applyFill="1" applyBorder="1" applyAlignment="1">
      <alignment horizontal="center" vertical="center" wrapText="1"/>
    </xf>
    <xf numFmtId="43" fontId="22" fillId="0" borderId="2" xfId="1" applyFont="1" applyBorder="1" applyAlignment="1">
      <alignment horizontal="right" vertical="center"/>
    </xf>
    <xf numFmtId="0" fontId="22" fillId="0" borderId="50" xfId="0" applyFont="1" applyBorder="1" applyAlignment="1">
      <alignment horizontal="center" vertical="center"/>
    </xf>
    <xf numFmtId="0" fontId="44" fillId="0" borderId="50" xfId="0" applyFont="1" applyBorder="1" applyAlignment="1">
      <alignment vertical="center" wrapText="1"/>
    </xf>
    <xf numFmtId="0" fontId="44" fillId="0" borderId="18" xfId="0" applyFont="1" applyBorder="1" applyAlignment="1">
      <alignment horizontal="center" vertical="center" wrapText="1"/>
    </xf>
    <xf numFmtId="0" fontId="24" fillId="7" borderId="58" xfId="0" applyFont="1" applyFill="1" applyBorder="1" applyAlignment="1">
      <alignment vertical="center" wrapText="1"/>
    </xf>
    <xf numFmtId="164" fontId="44" fillId="7" borderId="50" xfId="0" applyNumberFormat="1" applyFont="1" applyFill="1" applyBorder="1" applyAlignment="1">
      <alignment horizontal="center" vertical="center" wrapText="1"/>
    </xf>
    <xf numFmtId="0" fontId="22" fillId="7" borderId="6" xfId="0" applyFont="1" applyFill="1" applyBorder="1" applyAlignment="1">
      <alignment horizontal="center"/>
    </xf>
    <xf numFmtId="169" fontId="33" fillId="7" borderId="2" xfId="0" applyNumberFormat="1" applyFont="1" applyFill="1" applyBorder="1" applyAlignment="1">
      <alignment horizontal="justify" vertical="center" wrapText="1"/>
    </xf>
    <xf numFmtId="0" fontId="33" fillId="7" borderId="2" xfId="0" applyFont="1" applyFill="1" applyBorder="1" applyAlignment="1">
      <alignment horizontal="justify" vertical="center" wrapText="1"/>
    </xf>
    <xf numFmtId="43" fontId="24" fillId="0" borderId="6" xfId="1" applyFont="1" applyBorder="1" applyAlignment="1">
      <alignment horizontal="center" vertical="center" wrapText="1"/>
    </xf>
    <xf numFmtId="0" fontId="33" fillId="7" borderId="6" xfId="0" applyFont="1" applyFill="1" applyBorder="1" applyAlignment="1">
      <alignment horizontal="center" vertical="center" wrapText="1"/>
    </xf>
    <xf numFmtId="0" fontId="33" fillId="7" borderId="6" xfId="0" applyFont="1" applyFill="1" applyBorder="1" applyAlignment="1">
      <alignment horizontal="justify" vertical="center" wrapText="1"/>
    </xf>
    <xf numFmtId="0" fontId="24" fillId="7" borderId="2" xfId="0" applyFont="1" applyFill="1" applyBorder="1" applyAlignment="1">
      <alignment vertical="center" wrapText="1"/>
    </xf>
    <xf numFmtId="0" fontId="33" fillId="7" borderId="2" xfId="0" applyFont="1" applyFill="1" applyBorder="1" applyAlignment="1">
      <alignment vertical="center" wrapText="1"/>
    </xf>
    <xf numFmtId="0" fontId="22" fillId="0" borderId="0" xfId="0" applyFont="1" applyAlignment="1">
      <alignment horizontal="center" wrapText="1"/>
    </xf>
    <xf numFmtId="0" fontId="44" fillId="0" borderId="0" xfId="0" applyFont="1" applyAlignment="1">
      <alignment vertical="center" wrapText="1"/>
    </xf>
    <xf numFmtId="0" fontId="44" fillId="0" borderId="0" xfId="0" applyFont="1" applyAlignment="1">
      <alignment horizontal="justify" vertical="center" wrapText="1"/>
    </xf>
    <xf numFmtId="0" fontId="22" fillId="7" borderId="0" xfId="0" applyFont="1" applyFill="1" applyAlignment="1">
      <alignment horizontal="justify" vertical="center" wrapText="1"/>
    </xf>
    <xf numFmtId="0" fontId="22" fillId="0" borderId="0" xfId="0" applyFont="1" applyAlignment="1">
      <alignment horizontal="justify" vertical="center" wrapText="1"/>
    </xf>
    <xf numFmtId="169" fontId="22" fillId="0" borderId="0" xfId="0" applyNumberFormat="1" applyFont="1" applyAlignment="1">
      <alignment horizontal="center" vertical="center" wrapText="1"/>
    </xf>
    <xf numFmtId="0" fontId="22" fillId="0" borderId="0" xfId="0" applyFont="1" applyAlignment="1">
      <alignment horizontal="justify" wrapText="1"/>
    </xf>
    <xf numFmtId="182" fontId="22" fillId="0" borderId="0" xfId="17" applyFont="1"/>
    <xf numFmtId="169" fontId="22" fillId="0" borderId="0" xfId="0" applyNumberFormat="1" applyFont="1" applyAlignment="1">
      <alignment wrapText="1"/>
    </xf>
    <xf numFmtId="0" fontId="0" fillId="0" borderId="0" xfId="0" applyAlignment="1">
      <alignment vertical="center" wrapText="1"/>
    </xf>
    <xf numFmtId="0" fontId="0" fillId="0" borderId="0" xfId="0" applyAlignment="1">
      <alignment horizontal="center" vertical="center" wrapText="1"/>
    </xf>
    <xf numFmtId="0" fontId="22" fillId="0" borderId="0" xfId="0" applyFont="1" applyAlignment="1">
      <alignment horizontal="justify"/>
    </xf>
    <xf numFmtId="169" fontId="22" fillId="0" borderId="0" xfId="0" applyNumberFormat="1" applyFont="1" applyAlignment="1">
      <alignment horizontal="center" wrapText="1"/>
    </xf>
    <xf numFmtId="0" fontId="22" fillId="0" borderId="0" xfId="0" applyFont="1" applyAlignment="1">
      <alignment horizontal="center"/>
    </xf>
    <xf numFmtId="169" fontId="22" fillId="0" borderId="0" xfId="0" applyNumberFormat="1" applyFont="1"/>
    <xf numFmtId="169" fontId="22" fillId="0" borderId="0" xfId="0" applyNumberFormat="1" applyFont="1" applyAlignment="1">
      <alignment horizontal="center"/>
    </xf>
    <xf numFmtId="0" fontId="3" fillId="0" borderId="11" xfId="0" applyFont="1" applyBorder="1" applyAlignment="1">
      <alignment vertical="center"/>
    </xf>
    <xf numFmtId="3" fontId="4" fillId="2" borderId="11" xfId="0" applyNumberFormat="1" applyFont="1" applyFill="1" applyBorder="1" applyAlignment="1">
      <alignment horizontal="left" vertical="center" wrapText="1"/>
    </xf>
    <xf numFmtId="1" fontId="9" fillId="0" borderId="11" xfId="0" applyNumberFormat="1" applyFont="1" applyFill="1" applyBorder="1" applyAlignment="1">
      <alignment horizontal="center" vertical="center" wrapText="1"/>
    </xf>
    <xf numFmtId="0" fontId="9" fillId="7" borderId="11" xfId="0" applyFont="1" applyFill="1" applyBorder="1" applyAlignment="1">
      <alignment horizontal="justify" vertical="center" wrapText="1"/>
    </xf>
    <xf numFmtId="0" fontId="9" fillId="7" borderId="13" xfId="0" applyFont="1" applyFill="1" applyBorder="1" applyAlignment="1">
      <alignment horizontal="justify" vertical="center" wrapText="1"/>
    </xf>
    <xf numFmtId="0" fontId="9" fillId="7" borderId="11"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7" fillId="0" borderId="2" xfId="0" applyFont="1" applyBorder="1" applyAlignment="1">
      <alignment horizontal="center" vertical="center"/>
    </xf>
    <xf numFmtId="0" fontId="9" fillId="0" borderId="0" xfId="0" applyFont="1" applyAlignment="1">
      <alignment horizontal="center"/>
    </xf>
    <xf numFmtId="43" fontId="9" fillId="0" borderId="2" xfId="1" applyFont="1" applyBorder="1" applyAlignment="1">
      <alignment horizontal="center" vertical="center" wrapText="1"/>
    </xf>
    <xf numFmtId="0" fontId="23" fillId="0" borderId="4"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6" fillId="0" borderId="54" xfId="0" applyFont="1" applyBorder="1" applyAlignment="1">
      <alignment horizontal="center" vertical="center" wrapText="1"/>
    </xf>
    <xf numFmtId="0" fontId="26" fillId="0" borderId="3" xfId="0" applyFont="1" applyBorder="1" applyAlignment="1">
      <alignment horizontal="center" vertical="center" wrapText="1"/>
    </xf>
    <xf numFmtId="0" fontId="7" fillId="3" borderId="2" xfId="0" applyFont="1" applyFill="1" applyBorder="1" applyAlignment="1">
      <alignment horizontal="center" vertical="center" wrapText="1"/>
    </xf>
    <xf numFmtId="0" fontId="23" fillId="7" borderId="2" xfId="0" applyFont="1" applyFill="1" applyBorder="1" applyAlignment="1">
      <alignment horizontal="center" vertical="center" wrapText="1"/>
    </xf>
    <xf numFmtId="3" fontId="23" fillId="0" borderId="13" xfId="0" applyNumberFormat="1" applyFont="1" applyBorder="1" applyAlignment="1">
      <alignment horizontal="center" vertical="center" wrapText="1"/>
    </xf>
    <xf numFmtId="0" fontId="9" fillId="7" borderId="0" xfId="0" applyFont="1" applyFill="1" applyAlignment="1">
      <alignment horizontal="center"/>
    </xf>
    <xf numFmtId="0" fontId="7" fillId="0" borderId="5" xfId="0" applyFont="1" applyBorder="1" applyAlignment="1">
      <alignment horizontal="center" vertical="center"/>
    </xf>
    <xf numFmtId="0" fontId="7" fillId="0" borderId="58" xfId="0" applyFont="1" applyBorder="1" applyAlignment="1">
      <alignment horizontal="center" vertical="center"/>
    </xf>
    <xf numFmtId="0" fontId="7" fillId="0" borderId="3" xfId="0" applyFont="1" applyBorder="1" applyAlignment="1">
      <alignment horizontal="center" vertical="center"/>
    </xf>
    <xf numFmtId="0" fontId="23" fillId="0" borderId="11" xfId="0" applyFont="1" applyFill="1" applyBorder="1" applyAlignment="1">
      <alignment horizontal="center" vertical="center"/>
    </xf>
    <xf numFmtId="43" fontId="23" fillId="0" borderId="11" xfId="1" applyFont="1" applyFill="1" applyBorder="1" applyAlignment="1">
      <alignment horizontal="center" vertical="center"/>
    </xf>
    <xf numFmtId="43" fontId="23" fillId="0" borderId="6" xfId="1" applyFont="1" applyFill="1" applyBorder="1" applyAlignment="1">
      <alignment horizontal="center" vertical="center"/>
    </xf>
    <xf numFmtId="0" fontId="23" fillId="0" borderId="2" xfId="0" applyFont="1" applyFill="1" applyBorder="1" applyAlignment="1">
      <alignment horizontal="center" vertical="center"/>
    </xf>
    <xf numFmtId="43" fontId="23" fillId="0" borderId="6" xfId="1" applyFont="1" applyFill="1" applyBorder="1" applyAlignment="1">
      <alignment horizontal="center" vertical="center" wrapText="1"/>
    </xf>
    <xf numFmtId="43" fontId="23" fillId="0" borderId="2" xfId="1" applyFont="1" applyFill="1" applyBorder="1" applyAlignment="1">
      <alignment horizontal="center" vertical="center"/>
    </xf>
    <xf numFmtId="43" fontId="23" fillId="0" borderId="2" xfId="1" applyFont="1" applyFill="1" applyBorder="1" applyAlignment="1">
      <alignment horizontal="center" vertical="center" wrapText="1"/>
    </xf>
    <xf numFmtId="0" fontId="23" fillId="0" borderId="2" xfId="0" applyFont="1" applyBorder="1" applyAlignment="1">
      <alignment horizontal="center" vertical="center" wrapText="1"/>
    </xf>
    <xf numFmtId="0" fontId="22" fillId="7" borderId="2" xfId="0" applyFont="1" applyFill="1" applyBorder="1" applyAlignment="1">
      <alignment horizontal="justify" vertical="center" wrapText="1"/>
    </xf>
    <xf numFmtId="0" fontId="3" fillId="3" borderId="2" xfId="0" applyFont="1" applyFill="1" applyBorder="1" applyAlignment="1">
      <alignment horizontal="center" vertical="center" wrapText="1"/>
    </xf>
    <xf numFmtId="0" fontId="7" fillId="0" borderId="2" xfId="0" applyFont="1" applyBorder="1" applyAlignment="1"/>
    <xf numFmtId="0" fontId="31" fillId="0" borderId="0" xfId="0" applyFont="1"/>
    <xf numFmtId="164" fontId="7" fillId="0" borderId="2" xfId="0" applyNumberFormat="1" applyFont="1" applyBorder="1" applyAlignment="1">
      <alignment horizontal="left"/>
    </xf>
    <xf numFmtId="17" fontId="7" fillId="0" borderId="2" xfId="0" applyNumberFormat="1" applyFont="1" applyBorder="1" applyAlignment="1">
      <alignment horizontal="left"/>
    </xf>
    <xf numFmtId="3" fontId="7" fillId="2" borderId="2" xfId="0" applyNumberFormat="1" applyFont="1" applyFill="1" applyBorder="1" applyAlignment="1">
      <alignment horizontal="left" vertical="center" wrapText="1"/>
    </xf>
    <xf numFmtId="0" fontId="7" fillId="28" borderId="2" xfId="0" applyFont="1" applyFill="1" applyBorder="1" applyAlignment="1">
      <alignment horizontal="center" vertical="center" wrapText="1"/>
    </xf>
    <xf numFmtId="3" fontId="7" fillId="28" borderId="2" xfId="0" applyNumberFormat="1" applyFont="1" applyFill="1" applyBorder="1" applyAlignment="1">
      <alignment horizontal="center" vertical="center" wrapText="1"/>
    </xf>
    <xf numFmtId="0" fontId="7" fillId="28" borderId="2" xfId="0" applyFont="1" applyFill="1" applyBorder="1" applyAlignment="1">
      <alignment vertical="center" wrapText="1"/>
    </xf>
    <xf numFmtId="0" fontId="7" fillId="6" borderId="11" xfId="0" applyFont="1" applyFill="1" applyBorder="1" applyAlignment="1">
      <alignment horizontal="center" vertical="center" wrapText="1"/>
    </xf>
    <xf numFmtId="0" fontId="7" fillId="6" borderId="9" xfId="0" applyFont="1" applyFill="1" applyBorder="1" applyAlignment="1">
      <alignment vertical="center" wrapText="1"/>
    </xf>
    <xf numFmtId="0" fontId="7" fillId="6" borderId="9" xfId="0" applyFont="1" applyFill="1" applyBorder="1" applyAlignment="1">
      <alignment horizontal="justify" vertical="center" wrapText="1"/>
    </xf>
    <xf numFmtId="0" fontId="7" fillId="6" borderId="9" xfId="0" applyFont="1" applyFill="1" applyBorder="1" applyAlignment="1">
      <alignment horizontal="center" vertical="center" wrapText="1"/>
    </xf>
    <xf numFmtId="14" fontId="7" fillId="6" borderId="9" xfId="0" applyNumberFormat="1" applyFont="1" applyFill="1" applyBorder="1" applyAlignment="1">
      <alignment vertical="center" wrapText="1"/>
    </xf>
    <xf numFmtId="0" fontId="7" fillId="6" borderId="1" xfId="0" applyFont="1" applyFill="1" applyBorder="1" applyAlignment="1">
      <alignment vertical="center" wrapText="1"/>
    </xf>
    <xf numFmtId="0" fontId="7" fillId="7" borderId="11" xfId="0" applyFont="1" applyFill="1" applyBorder="1" applyAlignment="1">
      <alignment horizontal="center" vertical="center" wrapText="1"/>
    </xf>
    <xf numFmtId="0" fontId="7" fillId="7" borderId="11" xfId="0" applyFont="1" applyFill="1" applyBorder="1" applyAlignment="1">
      <alignment vertical="center" wrapText="1"/>
    </xf>
    <xf numFmtId="0" fontId="7" fillId="16" borderId="10"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3" xfId="0" applyFont="1" applyFill="1" applyBorder="1" applyAlignment="1">
      <alignment vertical="center" wrapText="1"/>
    </xf>
    <xf numFmtId="0" fontId="7" fillId="9" borderId="2" xfId="0" applyFont="1" applyFill="1" applyBorder="1" applyAlignment="1">
      <alignment horizontal="center" vertical="center" wrapText="1"/>
    </xf>
    <xf numFmtId="49" fontId="9" fillId="7" borderId="13" xfId="0" applyNumberFormat="1" applyFont="1" applyFill="1" applyBorder="1" applyAlignment="1">
      <alignment vertical="center" wrapText="1"/>
    </xf>
    <xf numFmtId="0" fontId="9" fillId="7" borderId="13" xfId="0" applyFont="1" applyFill="1" applyBorder="1" applyAlignment="1">
      <alignment vertical="center" wrapText="1"/>
    </xf>
    <xf numFmtId="37" fontId="9" fillId="0" borderId="2" xfId="11" applyNumberFormat="1" applyFont="1" applyBorder="1" applyAlignment="1">
      <alignment horizontal="center" vertical="center" wrapText="1"/>
    </xf>
    <xf numFmtId="192" fontId="9" fillId="0" borderId="2" xfId="0" applyNumberFormat="1" applyFont="1" applyBorder="1" applyAlignment="1">
      <alignment horizontal="center" vertical="center" wrapText="1"/>
    </xf>
    <xf numFmtId="0" fontId="7" fillId="9" borderId="2" xfId="0" applyFont="1" applyFill="1" applyBorder="1" applyAlignment="1">
      <alignment horizontal="left" vertical="center" wrapText="1"/>
    </xf>
    <xf numFmtId="0" fontId="7" fillId="9" borderId="2" xfId="0" applyFont="1" applyFill="1" applyBorder="1" applyAlignment="1">
      <alignment horizontal="justify" vertical="center" wrapText="1"/>
    </xf>
    <xf numFmtId="43" fontId="7" fillId="9" borderId="2" xfId="1" applyFont="1" applyFill="1" applyBorder="1" applyAlignment="1">
      <alignment horizontal="left" vertical="center" wrapText="1"/>
    </xf>
    <xf numFmtId="0" fontId="7" fillId="9" borderId="6" xfId="0" applyFont="1" applyFill="1" applyBorder="1" applyAlignment="1">
      <alignment horizontal="justify" vertical="center" wrapText="1"/>
    </xf>
    <xf numFmtId="43" fontId="7" fillId="9" borderId="6" xfId="1" applyFont="1" applyFill="1" applyBorder="1" applyAlignment="1">
      <alignment horizontal="left" vertical="center" wrapText="1"/>
    </xf>
    <xf numFmtId="0" fontId="7" fillId="9" borderId="6" xfId="0" applyFont="1" applyFill="1" applyBorder="1" applyAlignment="1">
      <alignment horizontal="center" vertical="center" wrapText="1"/>
    </xf>
    <xf numFmtId="0" fontId="7" fillId="9" borderId="2" xfId="0" applyFont="1" applyFill="1" applyBorder="1" applyAlignment="1">
      <alignment vertical="center" wrapText="1"/>
    </xf>
    <xf numFmtId="14" fontId="7" fillId="9" borderId="2" xfId="0" applyNumberFormat="1" applyFont="1" applyFill="1" applyBorder="1" applyAlignment="1">
      <alignment horizontal="left" vertical="center" wrapText="1"/>
    </xf>
    <xf numFmtId="49" fontId="9" fillId="7" borderId="13" xfId="0" applyNumberFormat="1" applyFont="1" applyFill="1" applyBorder="1" applyAlignment="1">
      <alignment horizontal="center" vertical="center" wrapText="1"/>
    </xf>
    <xf numFmtId="9" fontId="9" fillId="7" borderId="11" xfId="2" applyNumberFormat="1" applyFont="1" applyFill="1" applyBorder="1" applyAlignment="1">
      <alignment horizontal="center" vertical="center" wrapText="1"/>
    </xf>
    <xf numFmtId="43" fontId="9" fillId="0" borderId="11" xfId="1" applyFont="1" applyBorder="1" applyAlignment="1">
      <alignment horizontal="center" vertical="center" wrapText="1"/>
    </xf>
    <xf numFmtId="49" fontId="9" fillId="7" borderId="11" xfId="0" applyNumberFormat="1" applyFont="1" applyFill="1" applyBorder="1" applyAlignment="1">
      <alignment horizontal="center" vertical="center" wrapText="1"/>
    </xf>
    <xf numFmtId="192" fontId="9" fillId="7" borderId="11" xfId="0" applyNumberFormat="1" applyFont="1" applyFill="1" applyBorder="1" applyAlignment="1">
      <alignment horizontal="center" vertical="center" wrapText="1"/>
    </xf>
    <xf numFmtId="192" fontId="9" fillId="7" borderId="2" xfId="0" applyNumberFormat="1" applyFont="1" applyFill="1" applyBorder="1" applyAlignment="1">
      <alignment horizontal="center" vertical="center" wrapText="1"/>
    </xf>
    <xf numFmtId="43" fontId="9" fillId="0" borderId="6" xfId="1" applyFont="1" applyBorder="1" applyAlignment="1">
      <alignment horizontal="center" vertical="center" wrapText="1"/>
    </xf>
    <xf numFmtId="49" fontId="9" fillId="7" borderId="6" xfId="0" applyNumberFormat="1" applyFont="1" applyFill="1" applyBorder="1" applyAlignment="1">
      <alignment horizontal="center" vertical="center" wrapText="1"/>
    </xf>
    <xf numFmtId="192" fontId="9" fillId="7" borderId="6" xfId="0" applyNumberFormat="1" applyFont="1" applyFill="1" applyBorder="1" applyAlignment="1">
      <alignment horizontal="center" vertical="center" wrapText="1"/>
    </xf>
    <xf numFmtId="0" fontId="7" fillId="7" borderId="8"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1" xfId="0" applyFont="1" applyFill="1" applyBorder="1" applyAlignment="1">
      <alignment horizontal="center" vertical="center"/>
    </xf>
    <xf numFmtId="43" fontId="7" fillId="7" borderId="2" xfId="1" applyFont="1" applyFill="1" applyBorder="1" applyAlignment="1">
      <alignment horizontal="right" vertical="center" wrapText="1"/>
    </xf>
    <xf numFmtId="193" fontId="7" fillId="7" borderId="2" xfId="0" applyNumberFormat="1" applyFont="1" applyFill="1" applyBorder="1" applyAlignment="1">
      <alignment vertical="center" wrapText="1"/>
    </xf>
    <xf numFmtId="193" fontId="7" fillId="7" borderId="2" xfId="0" applyNumberFormat="1" applyFont="1" applyFill="1" applyBorder="1" applyAlignment="1">
      <alignment horizontal="justify" vertical="center" wrapText="1"/>
    </xf>
    <xf numFmtId="192" fontId="7" fillId="7" borderId="2" xfId="0" applyNumberFormat="1" applyFont="1" applyFill="1" applyBorder="1" applyAlignment="1">
      <alignment horizontal="center" vertical="center" wrapText="1"/>
    </xf>
    <xf numFmtId="0" fontId="7" fillId="7" borderId="2" xfId="0" applyFont="1" applyFill="1" applyBorder="1" applyAlignment="1">
      <alignment vertical="center"/>
    </xf>
    <xf numFmtId="41" fontId="7" fillId="7" borderId="2" xfId="0" applyNumberFormat="1" applyFont="1" applyFill="1" applyBorder="1" applyAlignment="1">
      <alignment vertical="center"/>
    </xf>
    <xf numFmtId="9" fontId="7" fillId="7" borderId="2" xfId="2" applyFont="1" applyFill="1" applyBorder="1" applyAlignment="1">
      <alignment horizontal="center" vertical="center"/>
    </xf>
    <xf numFmtId="14" fontId="7" fillId="7" borderId="2" xfId="0" applyNumberFormat="1" applyFont="1" applyFill="1" applyBorder="1" applyAlignment="1">
      <alignment horizontal="right" vertical="center"/>
    </xf>
    <xf numFmtId="14" fontId="7" fillId="7" borderId="2" xfId="0" applyNumberFormat="1" applyFont="1" applyFill="1" applyBorder="1" applyAlignment="1">
      <alignment horizontal="left" vertical="center"/>
    </xf>
    <xf numFmtId="0" fontId="7" fillId="7" borderId="2" xfId="0" applyFont="1" applyFill="1" applyBorder="1" applyAlignment="1">
      <alignment horizontal="left" vertical="center"/>
    </xf>
    <xf numFmtId="0" fontId="9" fillId="0" borderId="0" xfId="0" applyFont="1" applyAlignment="1">
      <alignment horizontal="justify"/>
    </xf>
    <xf numFmtId="0" fontId="9" fillId="0" borderId="0" xfId="0" applyFont="1" applyAlignment="1">
      <alignment horizontal="center" vertical="center"/>
    </xf>
    <xf numFmtId="194" fontId="9" fillId="0" borderId="0" xfId="0" applyNumberFormat="1" applyFont="1" applyAlignment="1">
      <alignment horizontal="justify" vertical="center"/>
    </xf>
    <xf numFmtId="0" fontId="9" fillId="0" borderId="0" xfId="0" applyFont="1" applyAlignment="1"/>
    <xf numFmtId="14" fontId="9" fillId="0" borderId="0" xfId="0" applyNumberFormat="1" applyFont="1" applyAlignment="1">
      <alignment horizontal="left"/>
    </xf>
    <xf numFmtId="0" fontId="45" fillId="0" borderId="0" xfId="0" applyFont="1"/>
    <xf numFmtId="0" fontId="45" fillId="0" borderId="0" xfId="0" applyFont="1" applyAlignment="1">
      <alignment horizontal="center"/>
    </xf>
    <xf numFmtId="0" fontId="45" fillId="0" borderId="0" xfId="0" applyFont="1" applyAlignment="1">
      <alignment horizontal="justify"/>
    </xf>
    <xf numFmtId="0" fontId="45" fillId="0" borderId="0" xfId="0" applyFont="1" applyAlignment="1">
      <alignment horizontal="center" vertical="center"/>
    </xf>
    <xf numFmtId="0" fontId="45" fillId="0" borderId="0" xfId="0" applyFont="1" applyAlignment="1">
      <alignment horizontal="justify" vertical="center"/>
    </xf>
    <xf numFmtId="0" fontId="45" fillId="0" borderId="0" xfId="0" applyFont="1" applyAlignment="1"/>
    <xf numFmtId="0" fontId="45" fillId="0" borderId="0" xfId="0" applyFont="1" applyAlignment="1">
      <alignment horizontal="right" vertical="center"/>
    </xf>
    <xf numFmtId="165" fontId="45" fillId="0" borderId="0" xfId="0" applyNumberFormat="1" applyFont="1" applyAlignment="1">
      <alignment horizontal="center"/>
    </xf>
    <xf numFmtId="0" fontId="45" fillId="0" borderId="0" xfId="0" applyFont="1" applyAlignment="1">
      <alignment horizontal="left"/>
    </xf>
    <xf numFmtId="0" fontId="46" fillId="0" borderId="0" xfId="0" applyFont="1"/>
    <xf numFmtId="0" fontId="47" fillId="0" borderId="0" xfId="0" applyFont="1"/>
    <xf numFmtId="0" fontId="31" fillId="0" borderId="0" xfId="0" applyFont="1" applyAlignment="1">
      <alignment horizontal="center"/>
    </xf>
    <xf numFmtId="0" fontId="31" fillId="0" borderId="0" xfId="0" applyFont="1" applyAlignment="1">
      <alignment horizontal="justify"/>
    </xf>
    <xf numFmtId="0" fontId="31" fillId="0" borderId="0" xfId="0" applyFont="1" applyAlignment="1"/>
    <xf numFmtId="0" fontId="4" fillId="0" borderId="56" xfId="0" applyFont="1" applyBorder="1" applyAlignment="1">
      <alignment vertical="center"/>
    </xf>
    <xf numFmtId="0" fontId="4" fillId="0" borderId="56" xfId="0" applyFont="1" applyBorder="1" applyAlignment="1">
      <alignment vertical="center" wrapText="1"/>
    </xf>
    <xf numFmtId="3" fontId="4" fillId="0" borderId="2" xfId="0" applyNumberFormat="1" applyFont="1" applyBorder="1" applyAlignment="1">
      <alignment vertical="center" wrapText="1"/>
    </xf>
    <xf numFmtId="0" fontId="9" fillId="0" borderId="7" xfId="0" applyFont="1" applyBorder="1" applyAlignment="1">
      <alignment horizontal="center" vertical="center"/>
    </xf>
    <xf numFmtId="0" fontId="7" fillId="0" borderId="3" xfId="0" applyFont="1" applyBorder="1" applyAlignment="1">
      <alignment horizontal="justify" vertical="center" wrapText="1"/>
    </xf>
    <xf numFmtId="41" fontId="7" fillId="0" borderId="3" xfId="0" applyNumberFormat="1" applyFont="1" applyBorder="1" applyAlignment="1">
      <alignment vertical="center"/>
    </xf>
    <xf numFmtId="0" fontId="7" fillId="0" borderId="66" xfId="0" applyFont="1" applyBorder="1" applyAlignment="1">
      <alignment horizontal="justify" vertical="center" wrapText="1"/>
    </xf>
    <xf numFmtId="0" fontId="7" fillId="7" borderId="0" xfId="0" applyFont="1" applyFill="1"/>
    <xf numFmtId="41" fontId="7" fillId="3" borderId="6" xfId="0" applyNumberFormat="1" applyFont="1" applyFill="1" applyBorder="1" applyAlignment="1">
      <alignment horizontal="center" vertical="center" wrapText="1"/>
    </xf>
    <xf numFmtId="0" fontId="38" fillId="5" borderId="7" xfId="0" applyFont="1" applyFill="1" applyBorder="1" applyAlignment="1">
      <alignment horizontal="center" vertical="center" wrapText="1"/>
    </xf>
    <xf numFmtId="1" fontId="4" fillId="6" borderId="8" xfId="0" applyNumberFormat="1" applyFont="1" applyFill="1" applyBorder="1" applyAlignment="1">
      <alignment horizontal="left" vertical="center" wrapText="1"/>
    </xf>
    <xf numFmtId="0" fontId="4" fillId="6" borderId="5" xfId="0" applyFont="1" applyFill="1" applyBorder="1" applyAlignment="1">
      <alignment horizontal="justify" vertical="center" wrapText="1"/>
    </xf>
    <xf numFmtId="0" fontId="4" fillId="6" borderId="5" xfId="0" applyFont="1" applyFill="1" applyBorder="1" applyAlignment="1">
      <alignment horizontal="justify" vertical="center"/>
    </xf>
    <xf numFmtId="170" fontId="23" fillId="6" borderId="5" xfId="0" applyNumberFormat="1" applyFont="1" applyFill="1" applyBorder="1" applyAlignment="1">
      <alignment horizontal="center" vertical="center"/>
    </xf>
    <xf numFmtId="169" fontId="4" fillId="6" borderId="5" xfId="0" applyNumberFormat="1" applyFont="1" applyFill="1" applyBorder="1" applyAlignment="1">
      <alignment vertical="center"/>
    </xf>
    <xf numFmtId="167" fontId="4" fillId="6" borderId="5" xfId="0" applyNumberFormat="1" applyFont="1" applyFill="1" applyBorder="1" applyAlignment="1">
      <alignment vertical="center"/>
    </xf>
    <xf numFmtId="0" fontId="4" fillId="6" borderId="10" xfId="0" applyFont="1" applyFill="1" applyBorder="1" applyAlignment="1">
      <alignment horizontal="justify" vertical="center"/>
    </xf>
    <xf numFmtId="0" fontId="23" fillId="0" borderId="0" xfId="0" applyFont="1" applyBorder="1"/>
    <xf numFmtId="0" fontId="4" fillId="8" borderId="9" xfId="0" applyFont="1" applyFill="1" applyBorder="1" applyAlignment="1">
      <alignment vertical="center"/>
    </xf>
    <xf numFmtId="0" fontId="4" fillId="8" borderId="5" xfId="0" applyFont="1" applyFill="1" applyBorder="1" applyAlignment="1">
      <alignment vertical="center"/>
    </xf>
    <xf numFmtId="0" fontId="23" fillId="8" borderId="5" xfId="0" applyFont="1" applyFill="1" applyBorder="1" applyAlignment="1">
      <alignment vertical="center"/>
    </xf>
    <xf numFmtId="0" fontId="4" fillId="8" borderId="5" xfId="0" applyFont="1" applyFill="1" applyBorder="1" applyAlignment="1">
      <alignment horizontal="justify" vertical="center" wrapText="1"/>
    </xf>
    <xf numFmtId="0" fontId="4" fillId="8" borderId="5" xfId="0" applyFont="1" applyFill="1" applyBorder="1" applyAlignment="1">
      <alignment horizontal="justify" vertical="center"/>
    </xf>
    <xf numFmtId="0" fontId="23" fillId="8" borderId="5" xfId="0" applyFont="1" applyFill="1" applyBorder="1" applyAlignment="1">
      <alignment horizontal="center" vertical="center"/>
    </xf>
    <xf numFmtId="170" fontId="23" fillId="8" borderId="5" xfId="0" applyNumberFormat="1" applyFont="1" applyFill="1" applyBorder="1" applyAlignment="1">
      <alignment horizontal="center" vertical="center"/>
    </xf>
    <xf numFmtId="169" fontId="4" fillId="8" borderId="5" xfId="0" applyNumberFormat="1" applyFont="1" applyFill="1" applyBorder="1" applyAlignment="1">
      <alignment vertical="center"/>
    </xf>
    <xf numFmtId="169" fontId="4" fillId="8" borderId="5" xfId="0" applyNumberFormat="1" applyFont="1" applyFill="1" applyBorder="1" applyAlignment="1">
      <alignment horizontal="center" vertical="center"/>
    </xf>
    <xf numFmtId="0" fontId="4" fillId="8" borderId="5" xfId="0" applyFont="1" applyFill="1" applyBorder="1" applyAlignment="1">
      <alignment horizontal="center" vertical="center"/>
    </xf>
    <xf numFmtId="167" fontId="4" fillId="8" borderId="5" xfId="0" applyNumberFormat="1" applyFont="1" applyFill="1" applyBorder="1" applyAlignment="1">
      <alignment vertical="center"/>
    </xf>
    <xf numFmtId="0" fontId="4" fillId="8" borderId="10" xfId="0" applyFont="1" applyFill="1" applyBorder="1" applyAlignment="1">
      <alignment horizontal="justify" vertical="center"/>
    </xf>
    <xf numFmtId="1" fontId="4" fillId="9" borderId="9" xfId="0" applyNumberFormat="1" applyFont="1" applyFill="1" applyBorder="1" applyAlignment="1">
      <alignment horizontal="left" vertical="center" wrapText="1" indent="1"/>
    </xf>
    <xf numFmtId="0" fontId="23" fillId="9" borderId="5" xfId="0" applyFont="1" applyFill="1" applyBorder="1" applyAlignment="1">
      <alignment vertical="center"/>
    </xf>
    <xf numFmtId="170" fontId="23" fillId="9" borderId="5" xfId="0" applyNumberFormat="1" applyFont="1" applyFill="1" applyBorder="1" applyAlignment="1">
      <alignment horizontal="center" vertical="center"/>
    </xf>
    <xf numFmtId="169" fontId="4" fillId="9" borderId="5" xfId="0" applyNumberFormat="1" applyFont="1" applyFill="1" applyBorder="1" applyAlignment="1">
      <alignment vertical="center"/>
    </xf>
    <xf numFmtId="169" fontId="4" fillId="9" borderId="5" xfId="0" applyNumberFormat="1" applyFont="1" applyFill="1" applyBorder="1" applyAlignment="1">
      <alignment horizontal="center" vertical="center"/>
    </xf>
    <xf numFmtId="167" fontId="4" fillId="9" borderId="5" xfId="0" applyNumberFormat="1" applyFont="1" applyFill="1" applyBorder="1" applyAlignment="1">
      <alignment vertical="center"/>
    </xf>
    <xf numFmtId="0" fontId="4" fillId="9" borderId="10" xfId="0" applyFont="1" applyFill="1" applyBorder="1" applyAlignment="1">
      <alignment horizontal="justify" vertical="center"/>
    </xf>
    <xf numFmtId="0" fontId="23" fillId="7" borderId="4" xfId="0" applyFont="1" applyFill="1" applyBorder="1"/>
    <xf numFmtId="43" fontId="23" fillId="0" borderId="2" xfId="1" applyFont="1" applyFill="1" applyBorder="1" applyAlignment="1">
      <alignment vertical="center" wrapText="1"/>
    </xf>
    <xf numFmtId="3" fontId="23" fillId="0" borderId="2" xfId="10" applyNumberFormat="1" applyFont="1" applyFill="1" applyBorder="1" applyAlignment="1">
      <alignment horizontal="center" vertical="center" wrapText="1"/>
    </xf>
    <xf numFmtId="3" fontId="23" fillId="7" borderId="2" xfId="10" applyNumberFormat="1" applyFont="1" applyFill="1" applyBorder="1" applyAlignment="1">
      <alignment horizontal="center" vertical="center" wrapText="1"/>
    </xf>
    <xf numFmtId="3" fontId="23" fillId="0" borderId="11" xfId="0" applyNumberFormat="1" applyFont="1" applyBorder="1" applyAlignment="1">
      <alignment horizontal="center" vertical="center"/>
    </xf>
    <xf numFmtId="0" fontId="23" fillId="7" borderId="14" xfId="0" applyFont="1" applyFill="1" applyBorder="1"/>
    <xf numFmtId="0" fontId="23" fillId="7" borderId="15" xfId="0" applyFont="1" applyFill="1" applyBorder="1"/>
    <xf numFmtId="3" fontId="23" fillId="0" borderId="13" xfId="0" applyNumberFormat="1" applyFont="1" applyBorder="1" applyAlignment="1">
      <alignment horizontal="center" vertical="center"/>
    </xf>
    <xf numFmtId="171" fontId="23" fillId="7" borderId="2" xfId="10" applyFont="1" applyFill="1" applyBorder="1" applyAlignment="1">
      <alignment horizontal="justify" vertical="center" wrapText="1"/>
    </xf>
    <xf numFmtId="171" fontId="23" fillId="0" borderId="2" xfId="10" applyFont="1" applyFill="1" applyBorder="1" applyAlignment="1">
      <alignment horizontal="justify" vertical="center" wrapText="1"/>
    </xf>
    <xf numFmtId="3" fontId="23" fillId="7" borderId="2" xfId="10" applyNumberFormat="1" applyFont="1" applyFill="1" applyBorder="1" applyAlignment="1">
      <alignment horizontal="center" vertical="center"/>
    </xf>
    <xf numFmtId="10" fontId="23" fillId="7" borderId="2" xfId="2" applyNumberFormat="1" applyFont="1" applyFill="1" applyBorder="1" applyAlignment="1">
      <alignment horizontal="center" vertical="center" wrapText="1"/>
    </xf>
    <xf numFmtId="171" fontId="23" fillId="0" borderId="8" xfId="10" applyFont="1" applyFill="1" applyBorder="1" applyAlignment="1">
      <alignment horizontal="justify" vertical="center" wrapText="1"/>
    </xf>
    <xf numFmtId="3" fontId="25" fillId="0" borderId="13" xfId="0" applyNumberFormat="1" applyFont="1" applyBorder="1" applyAlignment="1">
      <alignment horizontal="center" vertical="center"/>
    </xf>
    <xf numFmtId="0" fontId="23" fillId="7" borderId="0" xfId="0" applyFont="1" applyFill="1" applyBorder="1" applyAlignment="1">
      <alignment horizontal="center" vertical="center" wrapText="1"/>
    </xf>
    <xf numFmtId="0" fontId="23" fillId="7" borderId="0" xfId="0" applyFont="1" applyFill="1" applyAlignment="1">
      <alignment horizontal="center" vertical="center" wrapText="1"/>
    </xf>
    <xf numFmtId="43" fontId="23" fillId="0" borderId="2" xfId="1" applyFont="1" applyFill="1" applyBorder="1" applyAlignment="1">
      <alignment vertical="top" wrapText="1"/>
    </xf>
    <xf numFmtId="171" fontId="23" fillId="0" borderId="7" xfId="10" applyFont="1" applyFill="1" applyBorder="1" applyAlignment="1">
      <alignment horizontal="justify" vertical="center" wrapText="1"/>
    </xf>
    <xf numFmtId="171" fontId="23" fillId="7" borderId="0" xfId="10" applyFont="1" applyFill="1" applyBorder="1" applyAlignment="1">
      <alignment horizontal="center" vertical="center" wrapText="1"/>
    </xf>
    <xf numFmtId="0" fontId="23" fillId="0" borderId="8" xfId="0" applyFont="1" applyFill="1" applyBorder="1" applyAlignment="1">
      <alignment horizontal="justify" vertical="center" wrapText="1"/>
    </xf>
    <xf numFmtId="3" fontId="23" fillId="7" borderId="15" xfId="10" applyNumberFormat="1" applyFont="1" applyFill="1" applyBorder="1" applyAlignment="1">
      <alignment horizontal="center" vertical="center" wrapText="1"/>
    </xf>
    <xf numFmtId="0" fontId="23" fillId="0" borderId="0" xfId="0" applyFont="1" applyAlignment="1">
      <alignment horizontal="center"/>
    </xf>
    <xf numFmtId="43" fontId="23" fillId="7" borderId="2" xfId="1" applyFont="1" applyFill="1" applyBorder="1" applyAlignment="1">
      <alignment horizontal="center" vertical="center"/>
    </xf>
    <xf numFmtId="3" fontId="23" fillId="0" borderId="6" xfId="10" applyNumberFormat="1" applyFont="1" applyFill="1" applyBorder="1" applyAlignment="1">
      <alignment horizontal="center" vertical="center" wrapText="1"/>
    </xf>
    <xf numFmtId="0" fontId="23" fillId="7" borderId="7" xfId="0" applyFont="1" applyFill="1" applyBorder="1"/>
    <xf numFmtId="0" fontId="23" fillId="7" borderId="12" xfId="0" applyFont="1" applyFill="1" applyBorder="1"/>
    <xf numFmtId="3" fontId="23" fillId="7" borderId="6" xfId="10" applyNumberFormat="1" applyFont="1" applyFill="1" applyBorder="1" applyAlignment="1">
      <alignment horizontal="center" vertical="center" wrapText="1"/>
    </xf>
    <xf numFmtId="3" fontId="25" fillId="0" borderId="6" xfId="0" applyNumberFormat="1" applyFont="1" applyBorder="1" applyAlignment="1">
      <alignment horizontal="center" vertical="center"/>
    </xf>
    <xf numFmtId="3" fontId="23" fillId="0" borderId="6" xfId="0" applyNumberFormat="1" applyFont="1" applyBorder="1" applyAlignment="1">
      <alignment horizontal="center" vertical="center"/>
    </xf>
    <xf numFmtId="0" fontId="23" fillId="9" borderId="0" xfId="0" applyFont="1" applyFill="1" applyBorder="1" applyAlignment="1">
      <alignment vertical="center"/>
    </xf>
    <xf numFmtId="0" fontId="4" fillId="9" borderId="0" xfId="0" applyFont="1" applyFill="1" applyBorder="1" applyAlignment="1">
      <alignment horizontal="justify" vertical="center" wrapText="1"/>
    </xf>
    <xf numFmtId="0" fontId="4" fillId="9" borderId="0" xfId="0" applyFont="1" applyFill="1" applyBorder="1" applyAlignment="1">
      <alignment horizontal="justify" vertical="center"/>
    </xf>
    <xf numFmtId="170" fontId="23" fillId="9" borderId="0" xfId="0" applyNumberFormat="1" applyFont="1" applyFill="1" applyBorder="1" applyAlignment="1">
      <alignment horizontal="center" vertical="center"/>
    </xf>
    <xf numFmtId="43" fontId="4" fillId="9" borderId="0" xfId="1" applyFont="1" applyFill="1" applyBorder="1" applyAlignment="1">
      <alignment vertical="center"/>
    </xf>
    <xf numFmtId="43" fontId="4" fillId="9" borderId="2" xfId="1" applyFont="1" applyFill="1" applyBorder="1" applyAlignment="1">
      <alignment horizontal="center" vertical="center"/>
    </xf>
    <xf numFmtId="43" fontId="4" fillId="9" borderId="2" xfId="1" applyFont="1" applyFill="1" applyBorder="1" applyAlignment="1">
      <alignment horizontal="justify" vertical="center"/>
    </xf>
    <xf numFmtId="43" fontId="4" fillId="9" borderId="9" xfId="1" applyFont="1" applyFill="1" applyBorder="1" applyAlignment="1">
      <alignment vertical="center"/>
    </xf>
    <xf numFmtId="171" fontId="23" fillId="7" borderId="15" xfId="10" applyFont="1" applyFill="1" applyBorder="1" applyAlignment="1">
      <alignment horizontal="center" vertical="center" wrapText="1"/>
    </xf>
    <xf numFmtId="43" fontId="25" fillId="0" borderId="2" xfId="1" applyFont="1" applyFill="1" applyBorder="1" applyAlignment="1">
      <alignment vertical="center" wrapText="1"/>
    </xf>
    <xf numFmtId="0" fontId="25" fillId="0" borderId="11" xfId="0" applyFont="1" applyFill="1" applyBorder="1" applyAlignment="1">
      <alignment horizontal="center" vertical="center" wrapText="1"/>
    </xf>
    <xf numFmtId="171" fontId="23" fillId="7" borderId="11" xfId="10" applyFont="1" applyFill="1" applyBorder="1" applyAlignment="1">
      <alignment horizontal="center" vertical="center" wrapText="1"/>
    </xf>
    <xf numFmtId="3" fontId="23" fillId="0" borderId="4" xfId="0" applyNumberFormat="1" applyFont="1" applyBorder="1" applyAlignment="1">
      <alignment horizontal="center" vertical="center" wrapText="1"/>
    </xf>
    <xf numFmtId="3" fontId="23" fillId="0" borderId="11" xfId="0" applyNumberFormat="1" applyFont="1" applyBorder="1" applyAlignment="1">
      <alignment vertical="center" wrapText="1"/>
    </xf>
    <xf numFmtId="171" fontId="23" fillId="7" borderId="13" xfId="10" applyFont="1" applyFill="1" applyBorder="1" applyAlignment="1">
      <alignment horizontal="center" vertical="center" wrapText="1"/>
    </xf>
    <xf numFmtId="3" fontId="23" fillId="0" borderId="14" xfId="0" applyNumberFormat="1" applyFont="1" applyBorder="1" applyAlignment="1">
      <alignment horizontal="center" vertical="center" wrapText="1"/>
    </xf>
    <xf numFmtId="3" fontId="23" fillId="0" borderId="13" xfId="0" applyNumberFormat="1" applyFont="1" applyBorder="1" applyAlignment="1">
      <alignment vertical="center" wrapText="1"/>
    </xf>
    <xf numFmtId="0" fontId="25" fillId="0" borderId="2" xfId="0" applyFont="1" applyFill="1" applyBorder="1" applyAlignment="1">
      <alignment horizontal="center" vertical="center" wrapText="1"/>
    </xf>
    <xf numFmtId="171" fontId="23" fillId="7" borderId="2" xfId="10" applyFont="1" applyFill="1" applyBorder="1" applyAlignment="1">
      <alignment horizontal="center" vertical="center" wrapText="1"/>
    </xf>
    <xf numFmtId="0" fontId="25" fillId="0" borderId="11" xfId="0" applyFont="1" applyFill="1" applyBorder="1" applyAlignment="1">
      <alignment horizontal="center" vertical="top" wrapText="1"/>
    </xf>
    <xf numFmtId="43" fontId="25" fillId="0" borderId="2" xfId="1" applyFont="1" applyFill="1" applyBorder="1" applyAlignment="1">
      <alignment horizontal="center" vertical="center" wrapText="1"/>
    </xf>
    <xf numFmtId="3" fontId="23" fillId="7" borderId="13" xfId="10" applyNumberFormat="1" applyFont="1" applyFill="1" applyBorder="1" applyAlignment="1">
      <alignment horizontal="center" vertical="center" wrapText="1"/>
    </xf>
    <xf numFmtId="3" fontId="25" fillId="0" borderId="14" xfId="0" applyNumberFormat="1" applyFont="1" applyBorder="1" applyAlignment="1">
      <alignment horizontal="center" vertical="center" wrapText="1"/>
    </xf>
    <xf numFmtId="0" fontId="23" fillId="0" borderId="13" xfId="0" applyFont="1" applyBorder="1" applyAlignment="1">
      <alignment horizontal="center"/>
    </xf>
    <xf numFmtId="1" fontId="23" fillId="7" borderId="2" xfId="20" applyNumberFormat="1" applyFont="1" applyFill="1" applyBorder="1" applyAlignment="1">
      <alignment horizontal="center" vertical="center" wrapText="1"/>
    </xf>
    <xf numFmtId="171" fontId="23" fillId="0" borderId="2" xfId="10" applyFont="1" applyBorder="1" applyAlignment="1">
      <alignment horizontal="justify" vertical="center" wrapText="1"/>
    </xf>
    <xf numFmtId="1" fontId="23" fillId="0" borderId="2" xfId="10" applyNumberFormat="1" applyFont="1" applyBorder="1" applyAlignment="1">
      <alignment horizontal="center" vertical="center"/>
    </xf>
    <xf numFmtId="2" fontId="23" fillId="7" borderId="2" xfId="10" applyNumberFormat="1" applyFont="1" applyFill="1" applyBorder="1" applyAlignment="1">
      <alignment horizontal="center" vertical="center"/>
    </xf>
    <xf numFmtId="171" fontId="23" fillId="7" borderId="6" xfId="10" applyFont="1" applyFill="1" applyBorder="1" applyAlignment="1">
      <alignment horizontal="center" vertical="center" wrapText="1"/>
    </xf>
    <xf numFmtId="3" fontId="25" fillId="0" borderId="7" xfId="0" applyNumberFormat="1" applyFont="1" applyBorder="1" applyAlignment="1">
      <alignment horizontal="center" vertical="center" wrapText="1"/>
    </xf>
    <xf numFmtId="3" fontId="23" fillId="0" borderId="6" xfId="0" applyNumberFormat="1" applyFont="1" applyBorder="1" applyAlignment="1">
      <alignment vertical="center" wrapText="1"/>
    </xf>
    <xf numFmtId="0" fontId="23" fillId="8" borderId="0" xfId="0" applyFont="1" applyFill="1" applyBorder="1" applyAlignment="1">
      <alignment vertical="center"/>
    </xf>
    <xf numFmtId="0" fontId="4" fillId="8" borderId="0" xfId="0" applyFont="1" applyFill="1" applyBorder="1" applyAlignment="1">
      <alignment horizontal="justify" vertical="center" wrapText="1"/>
    </xf>
    <xf numFmtId="0" fontId="4" fillId="8" borderId="0" xfId="0" applyFont="1" applyFill="1" applyBorder="1" applyAlignment="1">
      <alignment horizontal="justify" vertical="center"/>
    </xf>
    <xf numFmtId="0" fontId="4" fillId="8" borderId="0" xfId="0" applyFont="1" applyFill="1" applyBorder="1" applyAlignment="1">
      <alignment vertical="center"/>
    </xf>
    <xf numFmtId="170" fontId="23" fillId="8" borderId="0" xfId="0" applyNumberFormat="1" applyFont="1" applyFill="1" applyBorder="1" applyAlignment="1">
      <alignment horizontal="center" vertical="center"/>
    </xf>
    <xf numFmtId="43" fontId="4" fillId="8" borderId="0" xfId="1" applyFont="1" applyFill="1" applyBorder="1" applyAlignment="1">
      <alignment vertical="center"/>
    </xf>
    <xf numFmtId="43" fontId="4" fillId="8" borderId="2" xfId="1" applyFont="1" applyFill="1" applyBorder="1" applyAlignment="1">
      <alignment horizontal="center" vertical="center"/>
    </xf>
    <xf numFmtId="43" fontId="4" fillId="8" borderId="2" xfId="1" applyFont="1" applyFill="1" applyBorder="1" applyAlignment="1">
      <alignment horizontal="justify" vertical="center"/>
    </xf>
    <xf numFmtId="169" fontId="4" fillId="8" borderId="2" xfId="0" applyNumberFormat="1" applyFont="1" applyFill="1" applyBorder="1" applyAlignment="1">
      <alignment horizontal="justify" vertical="center"/>
    </xf>
    <xf numFmtId="43" fontId="4" fillId="8" borderId="5" xfId="1" applyFont="1" applyFill="1" applyBorder="1" applyAlignment="1">
      <alignment horizontal="justify" vertical="center"/>
    </xf>
    <xf numFmtId="169" fontId="4" fillId="9" borderId="2" xfId="0" applyNumberFormat="1" applyFont="1" applyFill="1" applyBorder="1" applyAlignment="1">
      <alignment horizontal="justify" vertical="center"/>
    </xf>
    <xf numFmtId="169" fontId="4" fillId="9" borderId="1" xfId="0" applyNumberFormat="1" applyFont="1" applyFill="1" applyBorder="1" applyAlignment="1">
      <alignment horizontal="center" vertical="center"/>
    </xf>
    <xf numFmtId="0" fontId="36" fillId="0" borderId="2" xfId="0" applyFont="1" applyFill="1" applyBorder="1" applyAlignment="1">
      <alignment horizontal="justify" vertical="center" wrapText="1"/>
    </xf>
    <xf numFmtId="43" fontId="23" fillId="0" borderId="6" xfId="1" applyFont="1" applyFill="1" applyBorder="1" applyAlignment="1">
      <alignment vertical="center" wrapText="1"/>
    </xf>
    <xf numFmtId="3" fontId="22" fillId="0" borderId="11" xfId="10" applyNumberFormat="1" applyFont="1" applyBorder="1" applyAlignment="1">
      <alignment horizontal="center" vertical="center" wrapText="1"/>
    </xf>
    <xf numFmtId="171" fontId="22" fillId="7" borderId="11" xfId="10" applyFont="1" applyFill="1" applyBorder="1" applyAlignment="1">
      <alignment horizontal="center" vertical="center"/>
    </xf>
    <xf numFmtId="0" fontId="23" fillId="0" borderId="0" xfId="0" applyFont="1" applyFill="1"/>
    <xf numFmtId="3" fontId="23" fillId="0" borderId="11" xfId="10" applyNumberFormat="1" applyFont="1" applyFill="1" applyBorder="1" applyAlignment="1">
      <alignment horizontal="center" vertical="center" wrapText="1"/>
    </xf>
    <xf numFmtId="171" fontId="23" fillId="7" borderId="11" xfId="10" applyFont="1" applyFill="1" applyBorder="1" applyAlignment="1">
      <alignment horizontal="center" vertical="center"/>
    </xf>
    <xf numFmtId="171" fontId="23" fillId="7" borderId="2" xfId="10" applyFont="1" applyFill="1" applyBorder="1" applyAlignment="1">
      <alignment horizontal="center" vertical="center"/>
    </xf>
    <xf numFmtId="3" fontId="23" fillId="0" borderId="0" xfId="0" applyNumberFormat="1" applyFont="1" applyBorder="1" applyAlignment="1">
      <alignment horizontal="center" vertical="center" wrapText="1"/>
    </xf>
    <xf numFmtId="3" fontId="23" fillId="0" borderId="0" xfId="0" applyNumberFormat="1" applyFont="1" applyBorder="1" applyAlignment="1">
      <alignment vertical="center"/>
    </xf>
    <xf numFmtId="43" fontId="23" fillId="0" borderId="8" xfId="1" applyFont="1" applyFill="1" applyBorder="1" applyAlignment="1">
      <alignment vertical="center" wrapText="1"/>
    </xf>
    <xf numFmtId="171" fontId="23" fillId="7" borderId="3" xfId="10" applyFont="1" applyFill="1" applyBorder="1" applyAlignment="1">
      <alignment horizontal="center" vertical="center" wrapText="1"/>
    </xf>
    <xf numFmtId="0" fontId="4" fillId="9" borderId="0" xfId="0" applyFont="1" applyFill="1" applyBorder="1" applyAlignment="1">
      <alignment vertical="center"/>
    </xf>
    <xf numFmtId="43" fontId="4" fillId="9" borderId="2" xfId="1" applyFont="1" applyFill="1" applyBorder="1" applyAlignment="1">
      <alignment horizontal="justify" vertical="center" wrapText="1"/>
    </xf>
    <xf numFmtId="171" fontId="23" fillId="7" borderId="15" xfId="10" applyFont="1" applyFill="1" applyBorder="1" applyAlignment="1">
      <alignment horizontal="center" vertical="center"/>
    </xf>
    <xf numFmtId="43" fontId="23" fillId="0" borderId="2" xfId="1" applyFont="1" applyFill="1" applyBorder="1" applyAlignment="1">
      <alignment horizontal="justify" vertical="center"/>
    </xf>
    <xf numFmtId="3" fontId="23" fillId="0" borderId="4" xfId="0" applyNumberFormat="1" applyFont="1" applyBorder="1" applyAlignment="1">
      <alignment horizontal="center" vertical="center"/>
    </xf>
    <xf numFmtId="3" fontId="23" fillId="0" borderId="11" xfId="0" applyNumberFormat="1" applyFont="1" applyBorder="1" applyAlignment="1">
      <alignment vertical="center"/>
    </xf>
    <xf numFmtId="3" fontId="23" fillId="0" borderId="2" xfId="10" applyNumberFormat="1" applyFont="1" applyFill="1" applyBorder="1" applyAlignment="1">
      <alignment horizontal="center" vertical="center"/>
    </xf>
    <xf numFmtId="3" fontId="25" fillId="0" borderId="14" xfId="0" applyNumberFormat="1" applyFont="1" applyBorder="1" applyAlignment="1">
      <alignment horizontal="center" vertical="center"/>
    </xf>
    <xf numFmtId="3" fontId="23" fillId="0" borderId="13" xfId="0" applyNumberFormat="1" applyFont="1" applyBorder="1" applyAlignment="1">
      <alignment vertical="center"/>
    </xf>
    <xf numFmtId="43" fontId="23" fillId="0" borderId="8" xfId="1" applyFont="1" applyFill="1" applyBorder="1" applyAlignment="1">
      <alignment horizontal="justify" vertical="center"/>
    </xf>
    <xf numFmtId="1" fontId="23" fillId="7" borderId="13" xfId="10" applyNumberFormat="1" applyFont="1" applyFill="1" applyBorder="1" applyAlignment="1">
      <alignment horizontal="center" vertical="center"/>
    </xf>
    <xf numFmtId="3" fontId="23" fillId="0" borderId="15" xfId="0" applyNumberFormat="1" applyFont="1" applyBorder="1" applyAlignment="1">
      <alignment horizontal="center" vertical="center" wrapText="1"/>
    </xf>
    <xf numFmtId="1" fontId="23" fillId="7" borderId="14" xfId="10" applyNumberFormat="1" applyFont="1" applyFill="1" applyBorder="1" applyAlignment="1">
      <alignment horizontal="center" vertical="center"/>
    </xf>
    <xf numFmtId="3" fontId="23" fillId="0" borderId="6" xfId="0" applyNumberFormat="1" applyFont="1" applyBorder="1" applyAlignment="1">
      <alignment vertical="center"/>
    </xf>
    <xf numFmtId="167" fontId="4" fillId="9" borderId="1" xfId="0" applyNumberFormat="1" applyFont="1" applyFill="1" applyBorder="1" applyAlignment="1">
      <alignment vertical="center"/>
    </xf>
    <xf numFmtId="1" fontId="4" fillId="0" borderId="0" xfId="0" applyNumberFormat="1" applyFont="1" applyFill="1" applyBorder="1" applyAlignment="1">
      <alignment horizontal="left" vertical="center" wrapText="1" indent="1"/>
    </xf>
    <xf numFmtId="0" fontId="4" fillId="0" borderId="11" xfId="0" applyFont="1" applyFill="1" applyBorder="1" applyAlignment="1">
      <alignment horizontal="justify" vertical="center"/>
    </xf>
    <xf numFmtId="0" fontId="36" fillId="7" borderId="2" xfId="10" applyNumberFormat="1" applyFont="1" applyFill="1" applyBorder="1" applyAlignment="1">
      <alignment horizontal="justify" vertical="center" wrapText="1"/>
    </xf>
    <xf numFmtId="43" fontId="4" fillId="0" borderId="2" xfId="1" applyFont="1" applyFill="1" applyBorder="1" applyAlignment="1">
      <alignment horizontal="center" vertical="center"/>
    </xf>
    <xf numFmtId="43" fontId="4" fillId="0" borderId="2" xfId="1" applyFont="1" applyFill="1" applyBorder="1" applyAlignment="1">
      <alignment horizontal="justify" vertical="center"/>
    </xf>
    <xf numFmtId="1" fontId="23" fillId="0" borderId="11" xfId="10" applyNumberFormat="1" applyFont="1" applyFill="1" applyBorder="1" applyAlignment="1">
      <alignment horizontal="center" vertical="center" wrapText="1"/>
    </xf>
    <xf numFmtId="1" fontId="23" fillId="0" borderId="2" xfId="10" applyNumberFormat="1" applyFont="1" applyFill="1" applyBorder="1" applyAlignment="1">
      <alignment horizontal="center" vertical="center"/>
    </xf>
    <xf numFmtId="171" fontId="23" fillId="7" borderId="0" xfId="10" applyFont="1" applyFill="1" applyBorder="1" applyAlignment="1">
      <alignment horizontal="center" vertical="center"/>
    </xf>
    <xf numFmtId="1" fontId="23" fillId="0" borderId="6" xfId="10" applyNumberFormat="1" applyFont="1" applyFill="1" applyBorder="1" applyAlignment="1">
      <alignment horizontal="center" vertical="center"/>
    </xf>
    <xf numFmtId="3" fontId="23" fillId="7" borderId="6" xfId="10" applyNumberFormat="1" applyFont="1" applyFill="1" applyBorder="1" applyAlignment="1">
      <alignment horizontal="center" vertical="center"/>
    </xf>
    <xf numFmtId="43" fontId="4" fillId="9" borderId="9" xfId="1" applyFont="1" applyFill="1" applyBorder="1" applyAlignment="1">
      <alignment horizontal="justify" vertical="center"/>
    </xf>
    <xf numFmtId="9" fontId="23" fillId="0" borderId="2" xfId="2" applyFont="1" applyFill="1" applyBorder="1" applyAlignment="1">
      <alignment horizontal="center" vertical="center"/>
    </xf>
    <xf numFmtId="1" fontId="23" fillId="0" borderId="2" xfId="10" applyNumberFormat="1" applyFont="1" applyFill="1" applyBorder="1" applyAlignment="1">
      <alignment horizontal="center" vertical="center" wrapText="1"/>
    </xf>
    <xf numFmtId="9" fontId="23" fillId="7" borderId="2" xfId="2" applyFont="1" applyFill="1" applyBorder="1" applyAlignment="1">
      <alignment horizontal="center" vertical="center"/>
    </xf>
    <xf numFmtId="0" fontId="23" fillId="0" borderId="2" xfId="0" applyFont="1" applyFill="1" applyBorder="1"/>
    <xf numFmtId="1" fontId="4" fillId="8" borderId="2" xfId="0" applyNumberFormat="1" applyFont="1" applyFill="1" applyBorder="1" applyAlignment="1">
      <alignment vertical="center"/>
    </xf>
    <xf numFmtId="1" fontId="4" fillId="8" borderId="5" xfId="0" applyNumberFormat="1" applyFont="1" applyFill="1" applyBorder="1" applyAlignment="1">
      <alignment vertical="center"/>
    </xf>
    <xf numFmtId="1" fontId="23" fillId="0" borderId="11" xfId="10" applyNumberFormat="1" applyFont="1" applyFill="1" applyBorder="1" applyAlignment="1">
      <alignment horizontal="center" vertical="center"/>
    </xf>
    <xf numFmtId="3" fontId="23" fillId="0" borderId="11" xfId="10" applyNumberFormat="1" applyFont="1" applyFill="1" applyBorder="1" applyAlignment="1">
      <alignment horizontal="center" vertical="center"/>
    </xf>
    <xf numFmtId="171" fontId="23" fillId="0" borderId="4" xfId="10" applyFont="1" applyFill="1" applyBorder="1" applyAlignment="1">
      <alignment horizontal="justify" vertical="center" wrapText="1"/>
    </xf>
    <xf numFmtId="1" fontId="4" fillId="8" borderId="8" xfId="0" applyNumberFormat="1" applyFont="1" applyFill="1" applyBorder="1" applyAlignment="1">
      <alignment vertical="center"/>
    </xf>
    <xf numFmtId="1" fontId="4" fillId="8" borderId="8" xfId="0" applyNumberFormat="1" applyFont="1" applyFill="1" applyBorder="1" applyAlignment="1">
      <alignment horizontal="center" vertical="center"/>
    </xf>
    <xf numFmtId="1" fontId="4" fillId="8" borderId="9" xfId="0" applyNumberFormat="1" applyFont="1" applyFill="1" applyBorder="1" applyAlignment="1">
      <alignment horizontal="justify" vertical="center"/>
    </xf>
    <xf numFmtId="1" fontId="4" fillId="8" borderId="1" xfId="0" applyNumberFormat="1" applyFont="1" applyFill="1" applyBorder="1" applyAlignment="1">
      <alignment horizontal="center" vertical="center"/>
    </xf>
    <xf numFmtId="1" fontId="4" fillId="9" borderId="3" xfId="0" applyNumberFormat="1" applyFont="1" applyFill="1" applyBorder="1" applyAlignment="1">
      <alignment horizontal="left" vertical="center" wrapText="1" indent="1"/>
    </xf>
    <xf numFmtId="0" fontId="4" fillId="9" borderId="3" xfId="0" applyFont="1" applyFill="1" applyBorder="1" applyAlignment="1">
      <alignment vertical="center"/>
    </xf>
    <xf numFmtId="0" fontId="4" fillId="9" borderId="6" xfId="0" applyFont="1" applyFill="1" applyBorder="1" applyAlignment="1">
      <alignment vertical="center"/>
    </xf>
    <xf numFmtId="0" fontId="23" fillId="9" borderId="3" xfId="0" applyFont="1" applyFill="1" applyBorder="1" applyAlignment="1">
      <alignment horizontal="center" vertical="center"/>
    </xf>
    <xf numFmtId="43" fontId="4" fillId="9" borderId="6" xfId="1" applyFont="1" applyFill="1" applyBorder="1" applyAlignment="1">
      <alignment horizontal="center" vertical="center"/>
    </xf>
    <xf numFmtId="43" fontId="4" fillId="9" borderId="6" xfId="1" applyFont="1" applyFill="1" applyBorder="1" applyAlignment="1">
      <alignment horizontal="justify" vertical="center"/>
    </xf>
    <xf numFmtId="169" fontId="4" fillId="9" borderId="6" xfId="0" applyNumberFormat="1" applyFont="1" applyFill="1" applyBorder="1" applyAlignment="1">
      <alignment horizontal="justify" vertical="center"/>
    </xf>
    <xf numFmtId="169" fontId="4" fillId="9" borderId="3" xfId="0" applyNumberFormat="1" applyFont="1" applyFill="1" applyBorder="1" applyAlignment="1">
      <alignment horizontal="center" vertical="center"/>
    </xf>
    <xf numFmtId="169" fontId="4" fillId="9" borderId="12" xfId="0" applyNumberFormat="1" applyFont="1" applyFill="1" applyBorder="1" applyAlignment="1">
      <alignment horizontal="center" vertical="center"/>
    </xf>
    <xf numFmtId="0" fontId="23" fillId="7" borderId="8" xfId="0" applyFont="1" applyFill="1" applyBorder="1" applyAlignment="1">
      <alignment horizontal="justify" vertical="center" wrapText="1" readingOrder="2"/>
    </xf>
    <xf numFmtId="49" fontId="23" fillId="0" borderId="11" xfId="10" applyNumberFormat="1" applyFont="1" applyFill="1" applyBorder="1" applyAlignment="1">
      <alignment horizontal="center" vertical="center" wrapText="1"/>
    </xf>
    <xf numFmtId="3" fontId="23" fillId="7" borderId="11" xfId="10" applyNumberFormat="1" applyFont="1" applyFill="1" applyBorder="1" applyAlignment="1">
      <alignment horizontal="center" vertical="center" wrapText="1"/>
    </xf>
    <xf numFmtId="49" fontId="23" fillId="0" borderId="2" xfId="10" applyNumberFormat="1" applyFont="1" applyFill="1" applyBorder="1" applyAlignment="1">
      <alignment horizontal="center" vertical="center"/>
    </xf>
    <xf numFmtId="171" fontId="23" fillId="7" borderId="8" xfId="10" applyFont="1" applyFill="1" applyBorder="1" applyAlignment="1">
      <alignment horizontal="justify" vertical="center" wrapText="1"/>
    </xf>
    <xf numFmtId="49" fontId="23" fillId="0" borderId="6" xfId="10" applyNumberFormat="1" applyFont="1" applyFill="1" applyBorder="1" applyAlignment="1">
      <alignment horizontal="center" vertical="center"/>
    </xf>
    <xf numFmtId="0" fontId="23" fillId="6" borderId="0" xfId="0" applyFont="1" applyFill="1" applyBorder="1" applyAlignment="1">
      <alignment vertical="center"/>
    </xf>
    <xf numFmtId="0" fontId="4" fillId="6" borderId="0" xfId="0" applyFont="1" applyFill="1" applyBorder="1" applyAlignment="1">
      <alignment horizontal="justify" vertical="center" wrapText="1"/>
    </xf>
    <xf numFmtId="0" fontId="4" fillId="6" borderId="0" xfId="0" applyFont="1" applyFill="1" applyBorder="1" applyAlignment="1">
      <alignment horizontal="justify" vertical="center"/>
    </xf>
    <xf numFmtId="0" fontId="4" fillId="6" borderId="0" xfId="0" applyFont="1" applyFill="1" applyBorder="1" applyAlignment="1">
      <alignment vertical="center"/>
    </xf>
    <xf numFmtId="170" fontId="23" fillId="6" borderId="0" xfId="0" applyNumberFormat="1" applyFont="1" applyFill="1" applyBorder="1" applyAlignment="1">
      <alignment horizontal="center" vertical="center"/>
    </xf>
    <xf numFmtId="43" fontId="4" fillId="6" borderId="0" xfId="1" applyFont="1" applyFill="1" applyBorder="1" applyAlignment="1">
      <alignment vertical="center"/>
    </xf>
    <xf numFmtId="43" fontId="4" fillId="6" borderId="2" xfId="1" applyFont="1" applyFill="1" applyBorder="1" applyAlignment="1">
      <alignment horizontal="center" vertical="center"/>
    </xf>
    <xf numFmtId="43" fontId="4" fillId="6" borderId="2" xfId="1" applyFont="1" applyFill="1" applyBorder="1" applyAlignment="1">
      <alignment horizontal="justify" vertical="center"/>
    </xf>
    <xf numFmtId="169" fontId="4" fillId="6" borderId="2" xfId="0" applyNumberFormat="1" applyFont="1" applyFill="1" applyBorder="1" applyAlignment="1">
      <alignment horizontal="justify" vertical="center"/>
    </xf>
    <xf numFmtId="169" fontId="4" fillId="6" borderId="5" xfId="0" applyNumberFormat="1" applyFont="1" applyFill="1" applyBorder="1" applyAlignment="1">
      <alignment horizontal="center" vertical="center"/>
    </xf>
    <xf numFmtId="43" fontId="4" fillId="6" borderId="5" xfId="1" applyFont="1" applyFill="1" applyBorder="1" applyAlignment="1">
      <alignment horizontal="center" vertical="center"/>
    </xf>
    <xf numFmtId="169" fontId="4" fillId="6" borderId="10" xfId="0" applyNumberFormat="1" applyFont="1" applyFill="1" applyBorder="1" applyAlignment="1">
      <alignment horizontal="center" vertical="center"/>
    </xf>
    <xf numFmtId="0" fontId="23" fillId="7" borderId="0" xfId="0" applyFont="1" applyFill="1" applyBorder="1"/>
    <xf numFmtId="43" fontId="4" fillId="8" borderId="5" xfId="1" applyFont="1" applyFill="1" applyBorder="1" applyAlignment="1">
      <alignment vertical="center"/>
    </xf>
    <xf numFmtId="1" fontId="4" fillId="9" borderId="5" xfId="0" applyNumberFormat="1" applyFont="1" applyFill="1" applyBorder="1" applyAlignment="1">
      <alignment horizontal="left" vertical="center" wrapText="1" indent="1"/>
    </xf>
    <xf numFmtId="170" fontId="23" fillId="9" borderId="9" xfId="0" applyNumberFormat="1" applyFont="1" applyFill="1" applyBorder="1" applyAlignment="1">
      <alignment horizontal="center" vertical="center"/>
    </xf>
    <xf numFmtId="0" fontId="23" fillId="7" borderId="10" xfId="0" applyFont="1" applyFill="1" applyBorder="1" applyAlignment="1"/>
    <xf numFmtId="0" fontId="25" fillId="7" borderId="5" xfId="0" applyFont="1" applyFill="1" applyBorder="1" applyAlignment="1"/>
    <xf numFmtId="0" fontId="25" fillId="7" borderId="10" xfId="0" applyFont="1" applyFill="1" applyBorder="1" applyAlignment="1"/>
    <xf numFmtId="0" fontId="25" fillId="7" borderId="15" xfId="0" applyFont="1" applyFill="1" applyBorder="1" applyAlignment="1"/>
    <xf numFmtId="0" fontId="25" fillId="7" borderId="0" xfId="0" applyFont="1" applyFill="1" applyBorder="1" applyAlignment="1"/>
    <xf numFmtId="0" fontId="25" fillId="7" borderId="12" xfId="0" applyFont="1" applyFill="1" applyBorder="1" applyAlignment="1"/>
    <xf numFmtId="0" fontId="25" fillId="7" borderId="3" xfId="0" applyFont="1" applyFill="1" applyBorder="1" applyAlignment="1"/>
    <xf numFmtId="1" fontId="7" fillId="7" borderId="8" xfId="10" applyNumberFormat="1" applyFont="1" applyFill="1" applyBorder="1" applyAlignment="1">
      <alignment horizontal="center" vertical="center" wrapText="1"/>
    </xf>
    <xf numFmtId="1" fontId="7" fillId="7" borderId="9" xfId="10" applyNumberFormat="1" applyFont="1" applyFill="1" applyBorder="1" applyAlignment="1">
      <alignment horizontal="center" vertical="center" wrapText="1"/>
    </xf>
    <xf numFmtId="0" fontId="4" fillId="0" borderId="9" xfId="0" applyFont="1" applyBorder="1" applyAlignment="1">
      <alignment horizontal="center"/>
    </xf>
    <xf numFmtId="0" fontId="30" fillId="7" borderId="9" xfId="0" applyFont="1" applyFill="1" applyBorder="1" applyAlignment="1"/>
    <xf numFmtId="3" fontId="4" fillId="0" borderId="9" xfId="10" applyNumberFormat="1" applyFont="1" applyBorder="1" applyAlignment="1">
      <alignment horizontal="center" vertical="center"/>
    </xf>
    <xf numFmtId="171" fontId="4" fillId="7" borderId="9" xfId="10" applyFont="1" applyFill="1" applyBorder="1" applyAlignment="1">
      <alignment horizontal="justify" vertical="center" wrapText="1"/>
    </xf>
    <xf numFmtId="3" fontId="4" fillId="7" borderId="9" xfId="10" applyNumberFormat="1" applyFont="1" applyFill="1" applyBorder="1" applyAlignment="1">
      <alignment horizontal="center" vertical="center"/>
    </xf>
    <xf numFmtId="171" fontId="4" fillId="7" borderId="9" xfId="10" applyFont="1" applyFill="1" applyBorder="1" applyAlignment="1">
      <alignment horizontal="center" vertical="center"/>
    </xf>
    <xf numFmtId="49" fontId="4" fillId="0" borderId="9" xfId="10" applyNumberFormat="1" applyFont="1" applyFill="1" applyBorder="1" applyAlignment="1">
      <alignment horizontal="center" vertical="center" wrapText="1"/>
    </xf>
    <xf numFmtId="0" fontId="7" fillId="7" borderId="1" xfId="0" applyFont="1" applyFill="1" applyBorder="1" applyAlignment="1">
      <alignment horizontal="justify" vertical="center" wrapText="1"/>
    </xf>
    <xf numFmtId="3" fontId="4" fillId="7" borderId="8" xfId="10" applyNumberFormat="1" applyFont="1" applyFill="1" applyBorder="1" applyAlignment="1">
      <alignment horizontal="center" vertical="center"/>
    </xf>
    <xf numFmtId="0" fontId="30" fillId="0" borderId="9" xfId="0" applyFont="1" applyFill="1" applyBorder="1" applyAlignment="1">
      <alignment vertical="center"/>
    </xf>
    <xf numFmtId="0" fontId="30" fillId="0" borderId="9" xfId="0" applyFont="1" applyBorder="1" applyAlignment="1">
      <alignment vertical="center"/>
    </xf>
    <xf numFmtId="43" fontId="30" fillId="0" borderId="2" xfId="1" applyFont="1" applyBorder="1" applyAlignment="1">
      <alignment vertical="center"/>
    </xf>
    <xf numFmtId="43" fontId="30" fillId="0" borderId="1" xfId="1" applyFont="1" applyBorder="1" applyAlignment="1">
      <alignment vertical="center"/>
    </xf>
    <xf numFmtId="14" fontId="4" fillId="0" borderId="9" xfId="0" applyNumberFormat="1" applyFont="1" applyBorder="1" applyAlignment="1">
      <alignment vertical="center"/>
    </xf>
    <xf numFmtId="0" fontId="30" fillId="0" borderId="1" xfId="0" applyFont="1" applyBorder="1" applyAlignment="1">
      <alignment horizontal="left" vertical="center"/>
    </xf>
    <xf numFmtId="0" fontId="4" fillId="7" borderId="0" xfId="0" applyFont="1" applyFill="1"/>
    <xf numFmtId="0" fontId="9" fillId="7" borderId="0" xfId="0" applyFont="1" applyFill="1" applyAlignment="1">
      <alignment horizontal="justify" vertical="center" wrapText="1"/>
    </xf>
    <xf numFmtId="41" fontId="9" fillId="7" borderId="0" xfId="0" applyNumberFormat="1" applyFont="1" applyFill="1" applyAlignment="1">
      <alignment horizontal="center" vertical="center"/>
    </xf>
    <xf numFmtId="0" fontId="9" fillId="0" borderId="0" xfId="0" applyFont="1" applyAlignment="1">
      <alignment horizontal="justify" vertical="center" wrapText="1"/>
    </xf>
    <xf numFmtId="0" fontId="9" fillId="0" borderId="3" xfId="0" applyFont="1" applyBorder="1"/>
    <xf numFmtId="0" fontId="7" fillId="0" borderId="0" xfId="0" applyFont="1" applyBorder="1"/>
    <xf numFmtId="0" fontId="9" fillId="0" borderId="0" xfId="0" applyFont="1" applyFill="1" applyBorder="1" applyAlignment="1">
      <alignment horizontal="justify" vertical="center" wrapText="1"/>
    </xf>
    <xf numFmtId="43" fontId="4" fillId="0" borderId="0" xfId="1" applyFont="1" applyFill="1" applyBorder="1" applyAlignment="1">
      <alignment horizontal="center" vertical="center"/>
    </xf>
    <xf numFmtId="0" fontId="9" fillId="0" borderId="0" xfId="0" applyFont="1" applyFill="1" applyBorder="1" applyAlignment="1">
      <alignment horizontal="center" vertical="center"/>
    </xf>
    <xf numFmtId="41" fontId="9" fillId="0" borderId="0" xfId="0" applyNumberFormat="1" applyFont="1" applyFill="1" applyBorder="1" applyAlignment="1">
      <alignment horizontal="center" vertical="center"/>
    </xf>
    <xf numFmtId="0" fontId="9" fillId="0" borderId="0" xfId="0" applyFont="1" applyFill="1" applyAlignment="1">
      <alignment horizontal="justify" vertical="center" wrapText="1"/>
    </xf>
    <xf numFmtId="41" fontId="9" fillId="0" borderId="0" xfId="0" applyNumberFormat="1" applyFont="1" applyFill="1" applyAlignment="1">
      <alignment horizontal="center" vertical="center"/>
    </xf>
    <xf numFmtId="1" fontId="9" fillId="0" borderId="0" xfId="0" applyNumberFormat="1" applyFont="1" applyFill="1" applyAlignment="1">
      <alignment horizontal="center" vertical="center"/>
    </xf>
    <xf numFmtId="0" fontId="9" fillId="0" borderId="0" xfId="0" applyFont="1" applyFill="1" applyAlignment="1">
      <alignment horizontal="center" vertical="center"/>
    </xf>
    <xf numFmtId="43" fontId="49" fillId="0" borderId="2" xfId="1" applyFont="1" applyFill="1" applyBorder="1" applyAlignment="1">
      <alignment horizontal="center" vertical="center"/>
    </xf>
    <xf numFmtId="43" fontId="49" fillId="0" borderId="2" xfId="1" applyFont="1" applyFill="1" applyBorder="1" applyAlignment="1">
      <alignment vertical="center"/>
    </xf>
    <xf numFmtId="43" fontId="49" fillId="0" borderId="6" xfId="1" applyFont="1" applyFill="1" applyBorder="1" applyAlignment="1">
      <alignment vertical="center"/>
    </xf>
    <xf numFmtId="43" fontId="23" fillId="7" borderId="2" xfId="1" applyFont="1" applyFill="1" applyBorder="1" applyAlignment="1">
      <alignment horizontal="center" vertical="center" wrapText="1"/>
    </xf>
    <xf numFmtId="43" fontId="23" fillId="7" borderId="11" xfId="1" applyFont="1" applyFill="1" applyBorder="1" applyAlignment="1">
      <alignment horizontal="center" vertical="center" wrapText="1"/>
    </xf>
    <xf numFmtId="43" fontId="23" fillId="7" borderId="6" xfId="1" applyFont="1" applyFill="1" applyBorder="1" applyAlignment="1">
      <alignment horizontal="center" vertical="center" wrapText="1"/>
    </xf>
    <xf numFmtId="43" fontId="23" fillId="0" borderId="11" xfId="1" applyFont="1" applyBorder="1" applyAlignment="1">
      <alignment horizontal="center" vertical="center" wrapText="1"/>
    </xf>
    <xf numFmtId="43" fontId="23" fillId="0" borderId="13" xfId="1" applyFont="1" applyBorder="1" applyAlignment="1">
      <alignment horizontal="center" vertical="center" wrapText="1"/>
    </xf>
    <xf numFmtId="43" fontId="23" fillId="0" borderId="6" xfId="1" applyFont="1" applyBorder="1" applyAlignment="1">
      <alignment horizontal="center" vertical="center" wrapText="1"/>
    </xf>
    <xf numFmtId="43" fontId="23" fillId="0" borderId="2" xfId="1" applyFont="1" applyFill="1" applyBorder="1" applyAlignment="1">
      <alignment horizontal="center" vertical="center" wrapText="1"/>
    </xf>
    <xf numFmtId="0" fontId="4" fillId="3" borderId="2" xfId="0" applyFont="1" applyFill="1" applyBorder="1" applyAlignment="1">
      <alignment horizontal="center" vertical="center" wrapText="1"/>
    </xf>
    <xf numFmtId="9" fontId="23" fillId="7" borderId="11" xfId="18" applyFont="1" applyFill="1" applyBorder="1" applyAlignment="1">
      <alignment horizontal="center" vertical="center" wrapText="1"/>
    </xf>
    <xf numFmtId="9" fontId="23" fillId="7" borderId="6" xfId="18" applyFont="1" applyFill="1" applyBorder="1" applyAlignment="1">
      <alignment horizontal="center" vertical="center" wrapText="1"/>
    </xf>
    <xf numFmtId="0" fontId="4" fillId="7" borderId="0" xfId="24" applyFont="1" applyFill="1" applyAlignment="1">
      <alignment horizontal="center"/>
    </xf>
    <xf numFmtId="0" fontId="23" fillId="7" borderId="0" xfId="24" applyFont="1" applyFill="1" applyAlignment="1">
      <alignment horizontal="center"/>
    </xf>
    <xf numFmtId="0" fontId="23" fillId="7" borderId="11" xfId="24" applyFont="1" applyFill="1" applyBorder="1" applyAlignment="1">
      <alignment horizontal="center" vertical="center" wrapText="1"/>
    </xf>
    <xf numFmtId="0" fontId="23" fillId="7" borderId="13" xfId="24" applyFont="1" applyFill="1" applyBorder="1" applyAlignment="1">
      <alignment horizontal="center" vertical="center" wrapText="1"/>
    </xf>
    <xf numFmtId="0" fontId="23" fillId="7" borderId="6" xfId="24" applyFont="1" applyFill="1" applyBorder="1" applyAlignment="1">
      <alignment horizontal="center" vertical="center" wrapText="1"/>
    </xf>
    <xf numFmtId="0" fontId="23" fillId="7" borderId="11" xfId="24" applyFont="1" applyFill="1" applyBorder="1" applyAlignment="1">
      <alignment horizontal="justify" vertical="center" wrapText="1"/>
    </xf>
    <xf numFmtId="0" fontId="23" fillId="7" borderId="6" xfId="24" applyFont="1" applyFill="1" applyBorder="1" applyAlignment="1">
      <alignment horizontal="justify" vertical="center" wrapText="1"/>
    </xf>
    <xf numFmtId="0" fontId="23" fillId="0" borderId="11" xfId="24" applyFont="1" applyBorder="1" applyAlignment="1">
      <alignment horizontal="justify" vertical="center" wrapText="1"/>
    </xf>
    <xf numFmtId="0" fontId="23" fillId="0" borderId="13" xfId="24" applyFont="1" applyBorder="1" applyAlignment="1">
      <alignment horizontal="justify" vertical="center" wrapText="1"/>
    </xf>
    <xf numFmtId="0" fontId="23" fillId="0" borderId="11" xfId="24" applyFont="1" applyBorder="1" applyAlignment="1">
      <alignment horizontal="center" vertical="center" wrapText="1"/>
    </xf>
    <xf numFmtId="0" fontId="23" fillId="0" borderId="13" xfId="24" applyFont="1" applyBorder="1" applyAlignment="1">
      <alignment horizontal="center" vertical="center" wrapText="1"/>
    </xf>
    <xf numFmtId="0" fontId="23" fillId="0" borderId="6" xfId="24" applyFont="1" applyBorder="1" applyAlignment="1">
      <alignment horizontal="center" vertical="center" wrapText="1"/>
    </xf>
    <xf numFmtId="49" fontId="23" fillId="7" borderId="4" xfId="25" quotePrefix="1" applyNumberFormat="1" applyFont="1" applyFill="1" applyBorder="1" applyAlignment="1">
      <alignment horizontal="justify" vertical="center" wrapText="1"/>
    </xf>
    <xf numFmtId="0" fontId="23" fillId="0" borderId="16" xfId="24" applyFont="1" applyBorder="1" applyAlignment="1">
      <alignment horizontal="center" vertical="center" wrapText="1"/>
    </xf>
    <xf numFmtId="0" fontId="23" fillId="7" borderId="16" xfId="24" applyFont="1" applyFill="1" applyBorder="1" applyAlignment="1">
      <alignment horizontal="justify" vertical="center" wrapText="1"/>
    </xf>
    <xf numFmtId="166" fontId="4" fillId="26" borderId="9" xfId="4" applyNumberFormat="1" applyFont="1" applyFill="1" applyBorder="1" applyAlignment="1">
      <alignment horizontal="center" vertical="center" textRotation="180" wrapText="1"/>
    </xf>
    <xf numFmtId="0" fontId="23" fillId="0" borderId="11" xfId="24" applyFont="1" applyBorder="1" applyAlignment="1">
      <alignment horizontal="center" vertical="center"/>
    </xf>
    <xf numFmtId="0" fontId="23" fillId="7" borderId="2" xfId="24" applyFont="1" applyFill="1" applyBorder="1" applyAlignment="1">
      <alignment horizontal="center" vertical="center" wrapText="1"/>
    </xf>
    <xf numFmtId="0" fontId="23" fillId="0" borderId="2" xfId="24" applyFont="1" applyBorder="1" applyAlignment="1">
      <alignment horizontal="center" vertical="center" wrapText="1"/>
    </xf>
    <xf numFmtId="0" fontId="23" fillId="7" borderId="10" xfId="24" applyFont="1" applyFill="1" applyBorder="1" applyAlignment="1">
      <alignment horizontal="center" vertical="center" wrapText="1"/>
    </xf>
    <xf numFmtId="0" fontId="23" fillId="7" borderId="15" xfId="24" applyFont="1" applyFill="1" applyBorder="1" applyAlignment="1">
      <alignment horizontal="center" vertical="center" wrapText="1"/>
    </xf>
    <xf numFmtId="0" fontId="23" fillId="7" borderId="2" xfId="24" applyFont="1" applyFill="1" applyBorder="1" applyAlignment="1">
      <alignment horizontal="justify" vertical="center" wrapText="1"/>
    </xf>
    <xf numFmtId="0" fontId="23" fillId="7" borderId="5" xfId="24" applyFont="1" applyFill="1" applyBorder="1" applyAlignment="1">
      <alignment horizontal="center" vertical="center" wrapText="1"/>
    </xf>
    <xf numFmtId="0" fontId="23" fillId="7" borderId="3" xfId="24" applyFont="1" applyFill="1" applyBorder="1" applyAlignment="1">
      <alignment horizontal="center" vertical="center" wrapText="1"/>
    </xf>
    <xf numFmtId="9" fontId="23" fillId="7" borderId="2" xfId="18" applyFont="1" applyFill="1" applyBorder="1" applyAlignment="1">
      <alignment horizontal="center" vertical="center" wrapText="1"/>
    </xf>
    <xf numFmtId="0" fontId="30" fillId="3" borderId="2" xfId="0" applyFont="1" applyFill="1" applyBorder="1" applyAlignment="1">
      <alignment horizontal="center" vertical="center" wrapText="1"/>
    </xf>
    <xf numFmtId="3" fontId="30" fillId="4" borderId="9" xfId="0" applyNumberFormat="1" applyFont="1" applyFill="1" applyBorder="1" applyAlignment="1">
      <alignment horizontal="center" vertical="center" wrapText="1"/>
    </xf>
    <xf numFmtId="43" fontId="24" fillId="6" borderId="3" xfId="1" applyFont="1" applyFill="1" applyBorder="1" applyAlignment="1">
      <alignment horizontal="left" vertical="center" wrapText="1"/>
    </xf>
    <xf numFmtId="43" fontId="24" fillId="8" borderId="0" xfId="1" applyFont="1" applyFill="1" applyAlignment="1">
      <alignment vertical="center"/>
    </xf>
    <xf numFmtId="43" fontId="24" fillId="0" borderId="2" xfId="1" applyFont="1" applyBorder="1" applyAlignment="1">
      <alignment horizontal="center" vertical="center" wrapText="1"/>
    </xf>
    <xf numFmtId="43" fontId="24" fillId="0" borderId="0" xfId="1" applyFont="1" applyAlignment="1">
      <alignment wrapText="1"/>
    </xf>
    <xf numFmtId="43" fontId="22" fillId="0" borderId="0" xfId="1" applyFont="1" applyAlignment="1">
      <alignment wrapText="1"/>
    </xf>
    <xf numFmtId="43" fontId="22" fillId="0" borderId="0" xfId="1" applyFont="1"/>
    <xf numFmtId="0" fontId="23" fillId="7" borderId="89" xfId="24" applyFont="1" applyFill="1" applyBorder="1" applyAlignment="1">
      <alignment horizontal="justify" vertical="center" wrapText="1"/>
    </xf>
    <xf numFmtId="41" fontId="9" fillId="0" borderId="16" xfId="0" applyNumberFormat="1" applyFont="1" applyFill="1" applyBorder="1" applyAlignment="1">
      <alignment vertical="center"/>
    </xf>
    <xf numFmtId="10" fontId="9" fillId="2" borderId="11" xfId="6" applyNumberFormat="1" applyFont="1" applyFill="1" applyBorder="1" applyAlignment="1">
      <alignment horizontal="center" vertical="center" wrapText="1"/>
    </xf>
    <xf numFmtId="10" fontId="9" fillId="2" borderId="6" xfId="6" applyNumberFormat="1" applyFont="1" applyFill="1" applyBorder="1" applyAlignment="1">
      <alignment horizontal="center" vertical="center" wrapText="1"/>
    </xf>
    <xf numFmtId="0" fontId="14" fillId="0" borderId="2" xfId="0" applyFont="1" applyBorder="1" applyAlignment="1">
      <alignment horizontal="justify" vertical="center" wrapText="1"/>
    </xf>
    <xf numFmtId="0" fontId="15" fillId="0" borderId="0" xfId="0" applyFont="1" applyAlignment="1">
      <alignment horizontal="center"/>
    </xf>
    <xf numFmtId="0" fontId="14" fillId="0" borderId="0" xfId="0" applyFont="1" applyAlignment="1">
      <alignment horizontal="center"/>
    </xf>
    <xf numFmtId="0" fontId="12" fillId="0" borderId="0" xfId="0" applyFont="1" applyAlignment="1">
      <alignment horizontal="justify" vertical="top" wrapText="1"/>
    </xf>
    <xf numFmtId="0" fontId="9" fillId="0" borderId="2" xfId="0" applyFont="1" applyBorder="1" applyAlignment="1">
      <alignment horizontal="center" vertical="center" wrapText="1"/>
    </xf>
    <xf numFmtId="0" fontId="9" fillId="0" borderId="11" xfId="0" applyFont="1" applyBorder="1" applyAlignment="1">
      <alignment horizontal="justify" vertical="center" wrapText="1"/>
    </xf>
    <xf numFmtId="0" fontId="9" fillId="0" borderId="6" xfId="0" applyFont="1" applyBorder="1" applyAlignment="1">
      <alignment horizontal="justify" vertical="center" wrapText="1"/>
    </xf>
    <xf numFmtId="0" fontId="14" fillId="0" borderId="8" xfId="0" applyFont="1" applyBorder="1" applyAlignment="1">
      <alignment horizontal="center" vertical="center" wrapText="1"/>
    </xf>
    <xf numFmtId="0" fontId="14" fillId="0" borderId="2" xfId="0" applyFont="1" applyBorder="1" applyAlignment="1">
      <alignment horizontal="center" vertical="center" wrapText="1"/>
    </xf>
    <xf numFmtId="0" fontId="14" fillId="2" borderId="1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11" xfId="0" applyFont="1" applyFill="1" applyBorder="1" applyAlignment="1">
      <alignment horizontal="justify" vertical="center" wrapText="1"/>
    </xf>
    <xf numFmtId="0" fontId="14" fillId="2" borderId="13" xfId="0" applyFont="1" applyFill="1" applyBorder="1" applyAlignment="1">
      <alignment horizontal="justify" vertical="center" wrapText="1"/>
    </xf>
    <xf numFmtId="0" fontId="14" fillId="2" borderId="26" xfId="0" applyFont="1" applyFill="1" applyBorder="1" applyAlignment="1">
      <alignment horizontal="justify" vertical="center" wrapText="1"/>
    </xf>
    <xf numFmtId="43" fontId="14" fillId="2" borderId="11" xfId="7" applyFont="1" applyFill="1" applyBorder="1" applyAlignment="1">
      <alignment horizontal="center" vertical="center" wrapText="1"/>
    </xf>
    <xf numFmtId="43" fontId="14" fillId="2" borderId="13" xfId="7" applyFont="1" applyFill="1" applyBorder="1" applyAlignment="1">
      <alignment horizontal="center" vertical="center" wrapText="1"/>
    </xf>
    <xf numFmtId="43" fontId="14" fillId="2" borderId="26" xfId="7" applyFont="1" applyFill="1" applyBorder="1" applyAlignment="1">
      <alignment horizontal="center" vertical="center" wrapText="1"/>
    </xf>
    <xf numFmtId="3" fontId="14" fillId="0" borderId="11"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3" fontId="14" fillId="0" borderId="26" xfId="0" applyNumberFormat="1" applyFont="1" applyBorder="1" applyAlignment="1">
      <alignment horizontal="center" vertical="center" wrapText="1"/>
    </xf>
    <xf numFmtId="14" fontId="14" fillId="0" borderId="11" xfId="0" applyNumberFormat="1" applyFont="1" applyBorder="1" applyAlignment="1">
      <alignment horizontal="center" vertical="center"/>
    </xf>
    <xf numFmtId="14" fontId="14" fillId="0" borderId="13" xfId="0" applyNumberFormat="1" applyFont="1" applyBorder="1" applyAlignment="1">
      <alignment horizontal="center" vertical="center"/>
    </xf>
    <xf numFmtId="14" fontId="14" fillId="0" borderId="26" xfId="0" applyNumberFormat="1" applyFont="1" applyBorder="1" applyAlignment="1">
      <alignment horizontal="center" vertical="center"/>
    </xf>
    <xf numFmtId="3" fontId="14" fillId="0" borderId="35" xfId="0" applyNumberFormat="1" applyFont="1" applyBorder="1" applyAlignment="1">
      <alignment horizontal="center" vertical="center" wrapText="1"/>
    </xf>
    <xf numFmtId="3" fontId="14" fillId="0" borderId="36" xfId="0" applyNumberFormat="1" applyFont="1" applyBorder="1" applyAlignment="1">
      <alignment horizontal="center" vertical="center" wrapText="1"/>
    </xf>
    <xf numFmtId="3" fontId="14" fillId="0" borderId="38" xfId="0" applyNumberFormat="1" applyFont="1" applyBorder="1" applyAlignment="1">
      <alignment horizontal="center" vertical="center" wrapText="1"/>
    </xf>
    <xf numFmtId="3" fontId="14" fillId="0" borderId="11" xfId="0" applyNumberFormat="1" applyFont="1" applyBorder="1" applyAlignment="1">
      <alignment horizontal="center" vertical="center"/>
    </xf>
    <xf numFmtId="3" fontId="14" fillId="0" borderId="13" xfId="0" applyNumberFormat="1" applyFont="1" applyBorder="1" applyAlignment="1">
      <alignment horizontal="center" vertical="center"/>
    </xf>
    <xf numFmtId="3" fontId="14" fillId="0" borderId="26" xfId="0" applyNumberFormat="1" applyFont="1" applyBorder="1" applyAlignment="1">
      <alignment horizontal="center" vertical="center"/>
    </xf>
    <xf numFmtId="43" fontId="14" fillId="0" borderId="11" xfId="1" applyFont="1" applyBorder="1" applyAlignment="1">
      <alignment horizontal="center" vertical="center"/>
    </xf>
    <xf numFmtId="43" fontId="14" fillId="0" borderId="13" xfId="1" applyFont="1" applyBorder="1" applyAlignment="1">
      <alignment horizontal="center" vertical="center"/>
    </xf>
    <xf numFmtId="9" fontId="14" fillId="0" borderId="11" xfId="2" applyFont="1" applyBorder="1" applyAlignment="1">
      <alignment horizontal="center" vertical="center"/>
    </xf>
    <xf numFmtId="9" fontId="14" fillId="0" borderId="13" xfId="2" applyFont="1" applyBorder="1" applyAlignment="1">
      <alignment horizontal="center" vertical="center"/>
    </xf>
    <xf numFmtId="3" fontId="14" fillId="0" borderId="2" xfId="0" applyNumberFormat="1"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6" xfId="0" applyFont="1" applyBorder="1" applyAlignment="1">
      <alignment horizontal="center" vertical="center"/>
    </xf>
    <xf numFmtId="43" fontId="14" fillId="0" borderId="6" xfId="1" applyFont="1" applyBorder="1" applyAlignment="1">
      <alignment horizontal="center" vertical="center"/>
    </xf>
    <xf numFmtId="9" fontId="14" fillId="0" borderId="6" xfId="2" applyFont="1" applyBorder="1" applyAlignment="1">
      <alignment horizontal="center" vertical="center"/>
    </xf>
    <xf numFmtId="3" fontId="14" fillId="0" borderId="6" xfId="0" applyNumberFormat="1" applyFont="1" applyBorder="1" applyAlignment="1">
      <alignment horizontal="center" vertical="center"/>
    </xf>
    <xf numFmtId="9" fontId="9" fillId="0" borderId="2" xfId="6" applyFont="1" applyBorder="1" applyAlignment="1">
      <alignment horizontal="center" vertical="center" wrapText="1"/>
    </xf>
    <xf numFmtId="43" fontId="14" fillId="0" borderId="2" xfId="7" applyFont="1" applyBorder="1" applyAlignment="1">
      <alignment horizontal="center" vertical="center" wrapText="1"/>
    </xf>
    <xf numFmtId="165" fontId="14" fillId="7" borderId="11" xfId="0" applyNumberFormat="1" applyFont="1" applyFill="1" applyBorder="1" applyAlignment="1">
      <alignment horizontal="center" vertical="center" wrapText="1"/>
    </xf>
    <xf numFmtId="165" fontId="14" fillId="7" borderId="13" xfId="0" applyNumberFormat="1" applyFont="1" applyFill="1" applyBorder="1" applyAlignment="1">
      <alignment horizontal="center" vertical="center" wrapText="1"/>
    </xf>
    <xf numFmtId="165" fontId="14" fillId="7" borderId="6" xfId="0" applyNumberFormat="1" applyFont="1" applyFill="1" applyBorder="1" applyAlignment="1">
      <alignment horizontal="center" vertical="center" wrapText="1"/>
    </xf>
    <xf numFmtId="3" fontId="14" fillId="0" borderId="34" xfId="0" applyNumberFormat="1" applyFont="1" applyBorder="1" applyAlignment="1">
      <alignment horizontal="center" vertical="center" wrapText="1"/>
    </xf>
    <xf numFmtId="165" fontId="14" fillId="0" borderId="11" xfId="0" applyNumberFormat="1" applyFont="1" applyBorder="1" applyAlignment="1">
      <alignment horizontal="center" vertical="center" wrapText="1"/>
    </xf>
    <xf numFmtId="165" fontId="14" fillId="0" borderId="13" xfId="0" applyNumberFormat="1" applyFont="1" applyBorder="1" applyAlignment="1">
      <alignment horizontal="center" vertical="center" wrapText="1"/>
    </xf>
    <xf numFmtId="165" fontId="14" fillId="0" borderId="6" xfId="0" applyNumberFormat="1" applyFont="1" applyBorder="1" applyAlignment="1">
      <alignment horizontal="center" vertical="center" wrapText="1"/>
    </xf>
    <xf numFmtId="9" fontId="3" fillId="17" borderId="2" xfId="2" applyFont="1" applyFill="1" applyBorder="1" applyAlignment="1">
      <alignment horizontal="center" vertical="center" wrapText="1"/>
    </xf>
    <xf numFmtId="0" fontId="3" fillId="17" borderId="2"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6" xfId="0" applyFont="1" applyBorder="1" applyAlignment="1">
      <alignment horizontal="center" vertical="center" wrapText="1"/>
    </xf>
    <xf numFmtId="0" fontId="14" fillId="7" borderId="2"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15" fillId="11" borderId="13" xfId="0" applyFont="1" applyFill="1" applyBorder="1" applyAlignment="1">
      <alignment horizontal="center" vertical="center" wrapText="1"/>
    </xf>
    <xf numFmtId="10" fontId="7" fillId="11" borderId="11" xfId="6" applyNumberFormat="1" applyFont="1" applyFill="1" applyBorder="1" applyAlignment="1">
      <alignment horizontal="center" vertical="center" wrapText="1"/>
    </xf>
    <xf numFmtId="10" fontId="7" fillId="11" borderId="13" xfId="6" applyNumberFormat="1" applyFont="1" applyFill="1" applyBorder="1" applyAlignment="1">
      <alignment horizontal="center" vertical="center" wrapText="1"/>
    </xf>
    <xf numFmtId="43" fontId="15" fillId="11" borderId="11" xfId="7" applyFont="1" applyFill="1" applyBorder="1" applyAlignment="1">
      <alignment horizontal="center" vertical="center" wrapText="1"/>
    </xf>
    <xf numFmtId="43" fontId="15" fillId="11" borderId="13" xfId="7" applyFont="1" applyFill="1" applyBorder="1" applyAlignment="1">
      <alignment horizontal="center" vertical="center" wrapText="1"/>
    </xf>
    <xf numFmtId="0" fontId="15" fillId="11" borderId="4" xfId="0" applyFont="1" applyFill="1" applyBorder="1" applyAlignment="1">
      <alignment horizontal="center" vertical="center" wrapText="1"/>
    </xf>
    <xf numFmtId="0" fontId="15" fillId="11" borderId="14" xfId="0" applyFont="1" applyFill="1" applyBorder="1" applyAlignment="1">
      <alignment horizontal="center" vertical="center" wrapText="1"/>
    </xf>
    <xf numFmtId="4" fontId="3" fillId="17" borderId="2" xfId="0" applyNumberFormat="1" applyFont="1" applyFill="1" applyBorder="1" applyAlignment="1">
      <alignment horizontal="center" vertical="center" wrapText="1"/>
    </xf>
    <xf numFmtId="0" fontId="15" fillId="11" borderId="4" xfId="0" applyFont="1" applyFill="1" applyBorder="1" applyAlignment="1">
      <alignment horizontal="center" vertical="center" textRotation="90" wrapText="1"/>
    </xf>
    <xf numFmtId="0" fontId="15" fillId="11" borderId="10" xfId="0" applyFont="1" applyFill="1" applyBorder="1" applyAlignment="1">
      <alignment horizontal="center" vertical="center" textRotation="90" wrapText="1"/>
    </xf>
    <xf numFmtId="0" fontId="15" fillId="11" borderId="14" xfId="0" applyFont="1" applyFill="1" applyBorder="1" applyAlignment="1">
      <alignment horizontal="center" vertical="center" textRotation="90" wrapText="1"/>
    </xf>
    <xf numFmtId="0" fontId="15" fillId="11" borderId="15" xfId="0" applyFont="1" applyFill="1" applyBorder="1" applyAlignment="1">
      <alignment horizontal="center" vertical="center" textRotation="90" wrapText="1"/>
    </xf>
    <xf numFmtId="0" fontId="15" fillId="11" borderId="7" xfId="0" applyFont="1" applyFill="1" applyBorder="1" applyAlignment="1">
      <alignment horizontal="center" vertical="center" textRotation="90" wrapText="1"/>
    </xf>
    <xf numFmtId="0" fontId="15" fillId="11" borderId="12" xfId="0" applyFont="1" applyFill="1" applyBorder="1" applyAlignment="1">
      <alignment horizontal="center" vertical="center" textRotation="90" wrapText="1"/>
    </xf>
    <xf numFmtId="0" fontId="15" fillId="11" borderId="15" xfId="0" applyFont="1" applyFill="1" applyBorder="1" applyAlignment="1">
      <alignment horizontal="center" vertical="center" wrapText="1"/>
    </xf>
    <xf numFmtId="3" fontId="7" fillId="12" borderId="8" xfId="0" applyNumberFormat="1" applyFont="1" applyFill="1" applyBorder="1" applyAlignment="1">
      <alignment horizontal="center" vertical="center" wrapText="1"/>
    </xf>
    <xf numFmtId="3" fontId="7" fillId="12" borderId="9" xfId="0" applyNumberFormat="1" applyFont="1" applyFill="1" applyBorder="1" applyAlignment="1">
      <alignment horizontal="center" vertical="center" wrapText="1"/>
    </xf>
    <xf numFmtId="0" fontId="7" fillId="12" borderId="8" xfId="0" applyFont="1" applyFill="1" applyBorder="1" applyAlignment="1">
      <alignment horizontal="center" vertical="center" wrapText="1"/>
    </xf>
    <xf numFmtId="0" fontId="7" fillId="12" borderId="9" xfId="0" applyFont="1" applyFill="1" applyBorder="1" applyAlignment="1">
      <alignment horizontal="center" vertical="center" wrapText="1"/>
    </xf>
    <xf numFmtId="0" fontId="7" fillId="12" borderId="8" xfId="0" applyFont="1" applyFill="1" applyBorder="1" applyAlignment="1">
      <alignment horizontal="center" vertical="center"/>
    </xf>
    <xf numFmtId="0" fontId="7" fillId="12" borderId="9" xfId="0" applyFont="1" applyFill="1" applyBorder="1" applyAlignment="1">
      <alignment horizontal="center" vertical="center"/>
    </xf>
    <xf numFmtId="0" fontId="7" fillId="12" borderId="1" xfId="0" applyFont="1" applyFill="1" applyBorder="1" applyAlignment="1">
      <alignment horizontal="center" vertical="center" wrapText="1"/>
    </xf>
    <xf numFmtId="0" fontId="15" fillId="18" borderId="4" xfId="0" applyFont="1" applyFill="1" applyBorder="1" applyAlignment="1">
      <alignment horizontal="center" vertical="center" textRotation="90" wrapText="1"/>
    </xf>
    <xf numFmtId="0" fontId="15" fillId="18" borderId="10" xfId="0" applyFont="1" applyFill="1" applyBorder="1" applyAlignment="1">
      <alignment horizontal="center" vertical="center" textRotation="90" wrapText="1"/>
    </xf>
    <xf numFmtId="0" fontId="15" fillId="18" borderId="14" xfId="0" applyFont="1" applyFill="1" applyBorder="1" applyAlignment="1">
      <alignment horizontal="center" vertical="center" textRotation="90" wrapText="1"/>
    </xf>
    <xf numFmtId="0" fontId="15" fillId="18" borderId="15" xfId="0" applyFont="1" applyFill="1" applyBorder="1" applyAlignment="1">
      <alignment horizontal="center" vertical="center" textRotation="90" wrapText="1"/>
    </xf>
    <xf numFmtId="0" fontId="15" fillId="18" borderId="7" xfId="0" applyFont="1" applyFill="1" applyBorder="1" applyAlignment="1">
      <alignment horizontal="center" vertical="center" textRotation="90" wrapText="1"/>
    </xf>
    <xf numFmtId="0" fontId="15" fillId="18" borderId="12" xfId="0" applyFont="1" applyFill="1" applyBorder="1" applyAlignment="1">
      <alignment horizontal="center" vertical="center" textRotation="90" wrapText="1"/>
    </xf>
    <xf numFmtId="170" fontId="6" fillId="17" borderId="2" xfId="0" applyNumberFormat="1" applyFont="1" applyFill="1" applyBorder="1" applyAlignment="1">
      <alignment horizontal="center" vertical="center" wrapText="1"/>
    </xf>
    <xf numFmtId="0" fontId="15" fillId="11" borderId="5" xfId="0" applyFont="1" applyFill="1" applyBorder="1" applyAlignment="1">
      <alignment horizontal="center" vertical="center" wrapText="1"/>
    </xf>
    <xf numFmtId="0" fontId="15" fillId="11" borderId="10" xfId="0" applyFont="1" applyFill="1" applyBorder="1" applyAlignment="1">
      <alignment horizontal="center" vertical="center" wrapText="1"/>
    </xf>
    <xf numFmtId="0" fontId="15" fillId="11" borderId="0" xfId="0" applyFont="1" applyFill="1" applyBorder="1" applyAlignment="1">
      <alignment horizontal="center" vertical="center" wrapText="1"/>
    </xf>
    <xf numFmtId="0" fontId="15" fillId="11" borderId="7" xfId="0" applyFont="1" applyFill="1" applyBorder="1" applyAlignment="1">
      <alignment horizontal="center" vertical="center" wrapText="1"/>
    </xf>
    <xf numFmtId="0" fontId="15" fillId="11" borderId="3" xfId="0" applyFont="1" applyFill="1" applyBorder="1" applyAlignment="1">
      <alignment horizontal="center" vertical="center" wrapText="1"/>
    </xf>
    <xf numFmtId="0" fontId="15" fillId="11" borderId="12" xfId="0" applyFont="1" applyFill="1" applyBorder="1" applyAlignment="1">
      <alignment horizontal="center" vertical="center" wrapText="1"/>
    </xf>
    <xf numFmtId="1" fontId="15" fillId="11" borderId="11" xfId="0" applyNumberFormat="1" applyFont="1" applyFill="1" applyBorder="1" applyAlignment="1">
      <alignment horizontal="center" vertical="center" wrapText="1"/>
    </xf>
    <xf numFmtId="1" fontId="15" fillId="11" borderId="13" xfId="0" applyNumberFormat="1" applyFont="1" applyFill="1" applyBorder="1" applyAlignment="1">
      <alignment horizontal="center" vertical="center" wrapText="1"/>
    </xf>
    <xf numFmtId="1" fontId="15" fillId="11" borderId="6" xfId="0" applyNumberFormat="1" applyFont="1" applyFill="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3" xfId="0" applyFont="1" applyBorder="1" applyAlignment="1">
      <alignment horizontal="center" vertical="center" wrapText="1"/>
    </xf>
    <xf numFmtId="0" fontId="15" fillId="0" borderId="59" xfId="0" applyFont="1" applyBorder="1" applyAlignment="1">
      <alignment horizontal="center" vertical="center"/>
    </xf>
    <xf numFmtId="0" fontId="15" fillId="0" borderId="5" xfId="0" applyFont="1" applyBorder="1" applyAlignment="1">
      <alignment horizontal="center" vertical="center"/>
    </xf>
    <xf numFmtId="0" fontId="15" fillId="0" borderId="58"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34" xfId="0" applyFont="1" applyBorder="1" applyAlignment="1">
      <alignment horizontal="center" vertical="center"/>
    </xf>
    <xf numFmtId="0" fontId="15" fillId="0" borderId="7" xfId="0" applyFont="1" applyBorder="1" applyAlignment="1">
      <alignment horizontal="center" vertical="center"/>
    </xf>
    <xf numFmtId="0" fontId="15" fillId="0" borderId="12" xfId="0" applyFont="1" applyBorder="1" applyAlignment="1">
      <alignment horizontal="center" vertical="center"/>
    </xf>
    <xf numFmtId="1" fontId="15" fillId="11" borderId="59" xfId="0" applyNumberFormat="1" applyFont="1" applyFill="1" applyBorder="1" applyAlignment="1">
      <alignment horizontal="center" vertical="center" wrapText="1"/>
    </xf>
    <xf numFmtId="1" fontId="15" fillId="11" borderId="45" xfId="0" applyNumberFormat="1"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7" fillId="12" borderId="10" xfId="0" applyFont="1" applyFill="1" applyBorder="1" applyAlignment="1">
      <alignment horizontal="center" vertical="center" wrapText="1"/>
    </xf>
    <xf numFmtId="165" fontId="15" fillId="11" borderId="4" xfId="0" applyNumberFormat="1" applyFont="1" applyFill="1" applyBorder="1" applyAlignment="1">
      <alignment horizontal="center" vertical="center" wrapText="1"/>
    </xf>
    <xf numFmtId="165" fontId="15" fillId="11" borderId="10" xfId="0" applyNumberFormat="1" applyFont="1" applyFill="1" applyBorder="1" applyAlignment="1">
      <alignment horizontal="center" vertical="center" wrapText="1"/>
    </xf>
    <xf numFmtId="165" fontId="15" fillId="11" borderId="14" xfId="0" applyNumberFormat="1" applyFont="1" applyFill="1" applyBorder="1" applyAlignment="1">
      <alignment horizontal="center" vertical="center" wrapText="1"/>
    </xf>
    <xf numFmtId="165" fontId="15" fillId="11" borderId="15" xfId="0" applyNumberFormat="1" applyFont="1" applyFill="1" applyBorder="1" applyAlignment="1">
      <alignment horizontal="center" vertical="center" wrapText="1"/>
    </xf>
    <xf numFmtId="165" fontId="15" fillId="11" borderId="7" xfId="0" applyNumberFormat="1" applyFont="1" applyFill="1" applyBorder="1" applyAlignment="1">
      <alignment horizontal="center" vertical="center" wrapText="1"/>
    </xf>
    <xf numFmtId="165" fontId="15" fillId="11" borderId="12" xfId="0" applyNumberFormat="1" applyFont="1" applyFill="1" applyBorder="1" applyAlignment="1">
      <alignment horizontal="center" vertical="center" wrapText="1"/>
    </xf>
    <xf numFmtId="3" fontId="15" fillId="11" borderId="35" xfId="0" applyNumberFormat="1" applyFont="1" applyFill="1" applyBorder="1" applyAlignment="1">
      <alignment horizontal="center" vertical="center" wrapText="1"/>
    </xf>
    <xf numFmtId="3" fontId="15" fillId="11" borderId="36" xfId="0" applyNumberFormat="1" applyFont="1" applyFill="1" applyBorder="1" applyAlignment="1">
      <alignment horizontal="center" vertical="center" wrapText="1"/>
    </xf>
    <xf numFmtId="3" fontId="15" fillId="11" borderId="67" xfId="0" applyNumberFormat="1" applyFont="1" applyFill="1" applyBorder="1" applyAlignment="1">
      <alignment horizontal="center" vertical="center" wrapText="1"/>
    </xf>
    <xf numFmtId="49" fontId="15" fillId="11" borderId="4" xfId="0" applyNumberFormat="1" applyFont="1" applyFill="1" applyBorder="1" applyAlignment="1">
      <alignment horizontal="center" vertical="center" textRotation="90" wrapText="1"/>
    </xf>
    <xf numFmtId="49" fontId="15" fillId="11" borderId="10" xfId="0" applyNumberFormat="1" applyFont="1" applyFill="1" applyBorder="1" applyAlignment="1">
      <alignment horizontal="center" vertical="center" textRotation="90" wrapText="1"/>
    </xf>
    <xf numFmtId="49" fontId="15" fillId="11" borderId="14" xfId="0" applyNumberFormat="1" applyFont="1" applyFill="1" applyBorder="1" applyAlignment="1">
      <alignment horizontal="center" vertical="center" textRotation="90" wrapText="1"/>
    </xf>
    <xf numFmtId="49" fontId="15" fillId="11" borderId="15" xfId="0" applyNumberFormat="1" applyFont="1" applyFill="1" applyBorder="1" applyAlignment="1">
      <alignment horizontal="center" vertical="center" textRotation="90" wrapText="1"/>
    </xf>
    <xf numFmtId="49" fontId="15" fillId="11" borderId="7" xfId="0" applyNumberFormat="1" applyFont="1" applyFill="1" applyBorder="1" applyAlignment="1">
      <alignment horizontal="center" vertical="center" textRotation="90" wrapText="1"/>
    </xf>
    <xf numFmtId="49" fontId="15" fillId="11" borderId="12" xfId="0" applyNumberFormat="1" applyFont="1" applyFill="1" applyBorder="1" applyAlignment="1">
      <alignment horizontal="center" vertical="center" textRotation="90"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59"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34" xfId="0" applyFont="1" applyBorder="1" applyAlignment="1">
      <alignment horizontal="center" vertical="center"/>
    </xf>
    <xf numFmtId="1" fontId="6" fillId="3" borderId="71"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170" fontId="6" fillId="3" borderId="2" xfId="0" applyNumberFormat="1" applyFont="1" applyFill="1" applyBorder="1" applyAlignment="1">
      <alignment horizontal="center" vertical="center" wrapText="1"/>
    </xf>
    <xf numFmtId="169" fontId="6" fillId="3" borderId="2" xfId="0" applyNumberFormat="1" applyFont="1" applyFill="1" applyBorder="1" applyAlignment="1">
      <alignment horizontal="center" vertical="center" wrapText="1"/>
    </xf>
    <xf numFmtId="41" fontId="6" fillId="3" borderId="2" xfId="9" applyFont="1" applyFill="1" applyBorder="1" applyAlignment="1">
      <alignment horizontal="center" vertical="center" wrapText="1"/>
    </xf>
    <xf numFmtId="167" fontId="6" fillId="4" borderId="2" xfId="0" applyNumberFormat="1" applyFont="1" applyFill="1" applyBorder="1" applyAlignment="1">
      <alignment horizontal="center" vertical="center" textRotation="90" wrapText="1"/>
    </xf>
    <xf numFmtId="171" fontId="17" fillId="3" borderId="42" xfId="8" applyFont="1" applyFill="1" applyBorder="1" applyAlignment="1">
      <alignment horizontal="center" vertical="center"/>
    </xf>
    <xf numFmtId="171" fontId="17" fillId="3" borderId="43" xfId="8" applyFont="1" applyFill="1" applyBorder="1" applyAlignment="1">
      <alignment horizontal="center" vertical="center"/>
    </xf>
    <xf numFmtId="171" fontId="17" fillId="3" borderId="44" xfId="8" applyFont="1" applyFill="1" applyBorder="1" applyAlignment="1">
      <alignment horizontal="center" vertical="center"/>
    </xf>
    <xf numFmtId="167" fontId="6" fillId="3" borderId="2" xfId="0" applyNumberFormat="1" applyFont="1" applyFill="1" applyBorder="1" applyAlignment="1">
      <alignment horizontal="center" vertical="center" wrapText="1"/>
    </xf>
    <xf numFmtId="3" fontId="6" fillId="3" borderId="34" xfId="0" applyNumberFormat="1" applyFont="1" applyFill="1" applyBorder="1" applyAlignment="1">
      <alignment horizontal="center" vertical="center" wrapText="1"/>
    </xf>
    <xf numFmtId="0" fontId="6" fillId="3" borderId="8" xfId="0" applyFont="1" applyFill="1" applyBorder="1" applyAlignment="1">
      <alignment horizontal="center" vertical="center" textRotation="90" wrapText="1"/>
    </xf>
    <xf numFmtId="0" fontId="6" fillId="3" borderId="1" xfId="0" applyFont="1" applyFill="1" applyBorder="1" applyAlignment="1">
      <alignment horizontal="center" vertical="center" textRotation="90" wrapText="1"/>
    </xf>
    <xf numFmtId="49" fontId="6" fillId="3" borderId="8" xfId="0" applyNumberFormat="1" applyFont="1" applyFill="1" applyBorder="1" applyAlignment="1">
      <alignment horizontal="center" vertical="center" textRotation="90" wrapText="1"/>
    </xf>
    <xf numFmtId="49" fontId="6" fillId="3" borderId="1" xfId="0" applyNumberFormat="1" applyFont="1" applyFill="1" applyBorder="1" applyAlignment="1">
      <alignment horizontal="center" vertical="center" textRotation="90" wrapText="1"/>
    </xf>
    <xf numFmtId="1" fontId="6" fillId="3" borderId="11" xfId="0" applyNumberFormat="1"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1" fontId="6" fillId="3" borderId="6" xfId="0" applyNumberFormat="1"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6" xfId="0" applyFont="1" applyFill="1" applyBorder="1" applyAlignment="1">
      <alignment horizontal="center" vertical="center" wrapText="1"/>
    </xf>
    <xf numFmtId="3" fontId="7" fillId="4" borderId="8" xfId="0" applyNumberFormat="1" applyFont="1" applyFill="1" applyBorder="1" applyAlignment="1">
      <alignment horizontal="center" vertical="center" wrapText="1"/>
    </xf>
    <xf numFmtId="3" fontId="7" fillId="4" borderId="9" xfId="0" applyNumberFormat="1" applyFont="1" applyFill="1" applyBorder="1" applyAlignment="1">
      <alignment horizontal="center" vertical="center" wrapText="1"/>
    </xf>
    <xf numFmtId="3" fontId="7" fillId="4" borderId="1" xfId="0" applyNumberFormat="1"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0" borderId="5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6" xfId="0" applyFont="1" applyBorder="1" applyAlignment="1">
      <alignment horizontal="justify" vertical="center" wrapText="1"/>
    </xf>
    <xf numFmtId="0" fontId="5" fillId="0" borderId="2" xfId="0" applyFont="1" applyBorder="1" applyAlignment="1">
      <alignment horizontal="justify" vertical="center" wrapText="1"/>
    </xf>
    <xf numFmtId="9" fontId="3" fillId="5" borderId="2" xfId="6"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6" fillId="6" borderId="9" xfId="0" applyFont="1" applyFill="1" applyBorder="1" applyAlignment="1">
      <alignment horizontal="left" vertical="center"/>
    </xf>
    <xf numFmtId="0" fontId="6" fillId="8" borderId="9" xfId="0" applyFont="1" applyFill="1" applyBorder="1" applyAlignment="1">
      <alignment horizontal="left" vertical="center"/>
    </xf>
    <xf numFmtId="0" fontId="6" fillId="9" borderId="5" xfId="0" applyFont="1" applyFill="1" applyBorder="1" applyAlignment="1">
      <alignment horizontal="left" vertical="center"/>
    </xf>
    <xf numFmtId="0" fontId="6" fillId="3" borderId="14" xfId="0" applyFont="1" applyFill="1" applyBorder="1" applyAlignment="1">
      <alignment horizontal="center" vertical="center" textRotation="90" wrapText="1"/>
    </xf>
    <xf numFmtId="0" fontId="6" fillId="3" borderId="15" xfId="0" applyFont="1" applyFill="1" applyBorder="1" applyAlignment="1">
      <alignment horizontal="center" vertical="center" textRotation="90" wrapText="1"/>
    </xf>
    <xf numFmtId="3" fontId="3" fillId="5" borderId="2" xfId="0" applyNumberFormat="1" applyFont="1" applyFill="1" applyBorder="1" applyAlignment="1">
      <alignment horizontal="center" vertical="center" wrapText="1"/>
    </xf>
    <xf numFmtId="0" fontId="5" fillId="0" borderId="56" xfId="4" applyNumberFormat="1" applyFont="1" applyBorder="1" applyAlignment="1">
      <alignment horizontal="center" vertical="center"/>
    </xf>
    <xf numFmtId="0" fontId="5" fillId="0" borderId="2" xfId="4" applyNumberFormat="1" applyFont="1" applyBorder="1" applyAlignment="1">
      <alignment horizontal="center" vertical="center"/>
    </xf>
    <xf numFmtId="0" fontId="5" fillId="0" borderId="56" xfId="4" applyNumberFormat="1" applyFont="1" applyBorder="1" applyAlignment="1">
      <alignment vertical="center" wrapText="1"/>
    </xf>
    <xf numFmtId="0" fontId="5" fillId="0" borderId="2" xfId="4" applyNumberFormat="1" applyFont="1" applyBorder="1" applyAlignment="1">
      <alignment vertical="center" wrapText="1"/>
    </xf>
    <xf numFmtId="9" fontId="5" fillId="0" borderId="42" xfId="18" applyFont="1" applyBorder="1" applyAlignment="1">
      <alignment horizontal="center" vertical="center" wrapText="1"/>
    </xf>
    <xf numFmtId="9" fontId="5" fillId="0" borderId="8" xfId="18" applyFont="1" applyBorder="1" applyAlignment="1">
      <alignment horizontal="center" vertical="center" wrapText="1"/>
    </xf>
    <xf numFmtId="43" fontId="5" fillId="0" borderId="56" xfId="4" applyFont="1" applyBorder="1" applyAlignment="1">
      <alignment horizontal="center" vertical="center" wrapText="1"/>
    </xf>
    <xf numFmtId="43" fontId="5" fillId="0" borderId="2" xfId="4" applyFont="1" applyBorder="1" applyAlignment="1">
      <alignment horizontal="center" vertical="center" wrapText="1"/>
    </xf>
    <xf numFmtId="0" fontId="5" fillId="0" borderId="75"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6" xfId="0" applyFont="1" applyBorder="1" applyAlignment="1">
      <alignment horizontal="justify" vertical="center" wrapText="1"/>
    </xf>
    <xf numFmtId="0" fontId="22" fillId="0" borderId="2" xfId="0" applyFont="1" applyBorder="1" applyAlignment="1">
      <alignment horizontal="justify" vertical="center" wrapText="1"/>
    </xf>
    <xf numFmtId="180" fontId="9" fillId="0" borderId="2" xfId="0" applyNumberFormat="1" applyFont="1" applyBorder="1" applyAlignment="1">
      <alignment horizontal="center" vertical="center"/>
    </xf>
    <xf numFmtId="1" fontId="5" fillId="0" borderId="57" xfId="0" applyNumberFormat="1" applyFont="1" applyBorder="1" applyAlignment="1">
      <alignment horizontal="center" vertical="center" wrapText="1"/>
    </xf>
    <xf numFmtId="1" fontId="5" fillId="0" borderId="34" xfId="0" applyNumberFormat="1" applyFont="1" applyBorder="1" applyAlignment="1">
      <alignment horizontal="center" vertical="center" wrapText="1"/>
    </xf>
    <xf numFmtId="43" fontId="5" fillId="0" borderId="56" xfId="1" applyFont="1" applyBorder="1" applyAlignment="1">
      <alignment horizontal="center" vertical="center"/>
    </xf>
    <xf numFmtId="43" fontId="5" fillId="0" borderId="2" xfId="1" applyFont="1" applyBorder="1" applyAlignment="1">
      <alignment horizontal="center" vertical="center"/>
    </xf>
    <xf numFmtId="43" fontId="5" fillId="0" borderId="56" xfId="4" applyNumberFormat="1" applyFont="1" applyBorder="1" applyAlignment="1">
      <alignment horizontal="center" vertical="center"/>
    </xf>
    <xf numFmtId="9" fontId="5" fillId="0" borderId="56" xfId="2" applyFont="1" applyBorder="1" applyAlignment="1">
      <alignment horizontal="center" vertical="center"/>
    </xf>
    <xf numFmtId="9" fontId="5" fillId="0" borderId="2" xfId="2" applyFont="1" applyBorder="1" applyAlignment="1">
      <alignment horizontal="center" vertical="center"/>
    </xf>
    <xf numFmtId="0" fontId="5" fillId="0" borderId="56" xfId="4" applyNumberFormat="1" applyFont="1" applyBorder="1" applyAlignment="1">
      <alignment horizontal="center" vertical="center" wrapText="1"/>
    </xf>
    <xf numFmtId="0" fontId="5" fillId="0" borderId="2" xfId="4" applyNumberFormat="1" applyFont="1" applyBorder="1" applyAlignment="1">
      <alignment horizontal="center" vertical="center" wrapText="1"/>
    </xf>
    <xf numFmtId="0" fontId="6" fillId="9" borderId="9" xfId="0" applyFont="1" applyFill="1" applyBorder="1" applyAlignment="1">
      <alignment horizontal="left" vertical="center"/>
    </xf>
    <xf numFmtId="0" fontId="5" fillId="0" borderId="2" xfId="0" applyFont="1" applyBorder="1" applyAlignment="1">
      <alignment horizontal="center" vertical="center"/>
    </xf>
    <xf numFmtId="0" fontId="9" fillId="0" borderId="2" xfId="4" applyNumberFormat="1" applyFont="1" applyBorder="1" applyAlignment="1">
      <alignment horizontal="center" vertical="center" wrapText="1"/>
    </xf>
    <xf numFmtId="0" fontId="9" fillId="0" borderId="2" xfId="4" applyNumberFormat="1" applyFont="1" applyBorder="1" applyAlignment="1">
      <alignment horizontal="center" vertical="center"/>
    </xf>
    <xf numFmtId="0" fontId="5" fillId="0" borderId="11" xfId="0" applyFont="1" applyBorder="1" applyAlignment="1">
      <alignment horizontal="justify" vertical="center" wrapText="1"/>
    </xf>
    <xf numFmtId="0" fontId="5" fillId="0" borderId="1" xfId="4" applyNumberFormat="1" applyFont="1" applyBorder="1" applyAlignment="1">
      <alignment horizontal="center" vertical="center"/>
    </xf>
    <xf numFmtId="9" fontId="5" fillId="0" borderId="2" xfId="18" applyFont="1" applyBorder="1" applyAlignment="1">
      <alignment horizontal="center" vertical="center"/>
    </xf>
    <xf numFmtId="43" fontId="5" fillId="0" borderId="2" xfId="4" applyFont="1" applyBorder="1" applyAlignment="1">
      <alignment horizontal="center" vertical="center"/>
    </xf>
    <xf numFmtId="1" fontId="5" fillId="0" borderId="2" xfId="0" applyNumberFormat="1" applyFont="1" applyBorder="1" applyAlignment="1">
      <alignment horizontal="justify" vertical="center" wrapText="1"/>
    </xf>
    <xf numFmtId="180" fontId="5" fillId="0" borderId="2" xfId="0" applyNumberFormat="1" applyFont="1" applyBorder="1" applyAlignment="1">
      <alignment horizontal="center" vertical="center"/>
    </xf>
    <xf numFmtId="0" fontId="6" fillId="17" borderId="9" xfId="0" applyFont="1" applyFill="1" applyBorder="1" applyAlignment="1">
      <alignment horizontal="left" vertical="center"/>
    </xf>
    <xf numFmtId="9" fontId="5" fillId="0" borderId="11" xfId="2" applyFont="1" applyBorder="1" applyAlignment="1">
      <alignment horizontal="center" vertical="center"/>
    </xf>
    <xf numFmtId="9" fontId="5" fillId="0" borderId="13" xfId="2" applyFont="1" applyBorder="1" applyAlignment="1">
      <alignment horizontal="center" vertical="center"/>
    </xf>
    <xf numFmtId="9" fontId="5" fillId="0" borderId="6" xfId="2" applyFont="1" applyBorder="1" applyAlignment="1">
      <alignment horizontal="center" vertical="center"/>
    </xf>
    <xf numFmtId="0" fontId="5" fillId="0" borderId="11" xfId="4" applyNumberFormat="1" applyFont="1" applyBorder="1" applyAlignment="1">
      <alignment horizontal="center" vertical="center" wrapText="1"/>
    </xf>
    <xf numFmtId="0" fontId="5" fillId="0" borderId="13" xfId="4" applyNumberFormat="1" applyFont="1" applyBorder="1" applyAlignment="1">
      <alignment horizontal="center" vertical="center" wrapText="1"/>
    </xf>
    <xf numFmtId="0" fontId="5" fillId="0" borderId="6" xfId="4" applyNumberFormat="1" applyFont="1" applyBorder="1" applyAlignment="1">
      <alignment horizontal="center" vertical="center" wrapText="1"/>
    </xf>
    <xf numFmtId="0" fontId="5" fillId="0" borderId="13" xfId="4" applyNumberFormat="1" applyFont="1" applyBorder="1" applyAlignment="1">
      <alignment horizontal="center" vertical="center"/>
    </xf>
    <xf numFmtId="0" fontId="5" fillId="0" borderId="6" xfId="4" applyNumberFormat="1" applyFont="1" applyBorder="1" applyAlignment="1">
      <alignment horizontal="center" vertical="center"/>
    </xf>
    <xf numFmtId="0" fontId="5" fillId="0" borderId="11" xfId="4" applyNumberFormat="1" applyFont="1" applyBorder="1" applyAlignment="1">
      <alignment horizontal="center" vertical="center"/>
    </xf>
    <xf numFmtId="43" fontId="5" fillId="0" borderId="11" xfId="4" applyNumberFormat="1" applyFont="1" applyBorder="1" applyAlignment="1">
      <alignment horizontal="center" vertical="center"/>
    </xf>
    <xf numFmtId="0" fontId="5" fillId="0" borderId="2" xfId="0" applyFont="1" applyBorder="1" applyAlignment="1">
      <alignment vertical="center"/>
    </xf>
    <xf numFmtId="1" fontId="5" fillId="0" borderId="2" xfId="0" applyNumberFormat="1" applyFont="1" applyBorder="1" applyAlignment="1">
      <alignment vertical="center" wrapText="1"/>
    </xf>
    <xf numFmtId="1" fontId="5" fillId="0" borderId="2" xfId="0" applyNumberFormat="1" applyFont="1" applyBorder="1" applyAlignment="1">
      <alignment horizontal="center" vertical="center"/>
    </xf>
    <xf numFmtId="0" fontId="5" fillId="0" borderId="34" xfId="0" applyFont="1" applyBorder="1" applyAlignment="1">
      <alignment horizontal="center" vertical="center" wrapText="1"/>
    </xf>
    <xf numFmtId="0" fontId="6" fillId="22" borderId="9" xfId="0" applyFont="1" applyFill="1" applyBorder="1" applyAlignment="1">
      <alignment horizontal="left" vertical="center"/>
    </xf>
    <xf numFmtId="1" fontId="5" fillId="0" borderId="2" xfId="0" applyNumberFormat="1" applyFont="1" applyFill="1" applyBorder="1" applyAlignment="1">
      <alignment horizontal="center" vertical="center" wrapText="1"/>
    </xf>
    <xf numFmtId="0" fontId="5" fillId="0" borderId="2" xfId="0" applyFont="1" applyFill="1" applyBorder="1" applyAlignment="1">
      <alignment horizontal="justify" vertical="center" wrapText="1"/>
    </xf>
    <xf numFmtId="1" fontId="5" fillId="0" borderId="8" xfId="0" applyNumberFormat="1" applyFont="1" applyFill="1" applyBorder="1" applyAlignment="1">
      <alignment horizontal="center" vertical="center" wrapText="1"/>
    </xf>
    <xf numFmtId="2" fontId="5" fillId="0" borderId="8"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11" xfId="4" applyNumberFormat="1" applyFont="1" applyFill="1" applyBorder="1" applyAlignment="1">
      <alignment horizontal="center" vertical="center"/>
    </xf>
    <xf numFmtId="1" fontId="5" fillId="0" borderId="13" xfId="4" applyNumberFormat="1" applyFont="1" applyFill="1" applyBorder="1" applyAlignment="1">
      <alignment horizontal="center" vertical="center"/>
    </xf>
    <xf numFmtId="1" fontId="5" fillId="0" borderId="15" xfId="4" applyNumberFormat="1" applyFont="1" applyFill="1" applyBorder="1" applyAlignment="1">
      <alignment horizontal="center" vertical="center"/>
    </xf>
    <xf numFmtId="1" fontId="5" fillId="0" borderId="12" xfId="4" applyNumberFormat="1" applyFont="1" applyFill="1" applyBorder="1" applyAlignment="1">
      <alignment horizontal="center" vertical="center"/>
    </xf>
    <xf numFmtId="1" fontId="5" fillId="0" borderId="11" xfId="4" applyNumberFormat="1" applyFont="1" applyFill="1" applyBorder="1" applyAlignment="1">
      <alignment horizontal="center" vertical="center" wrapText="1"/>
    </xf>
    <xf numFmtId="1" fontId="5" fillId="0" borderId="13" xfId="4" applyNumberFormat="1" applyFont="1" applyFill="1" applyBorder="1" applyAlignment="1">
      <alignment horizontal="center" vertical="center" wrapText="1"/>
    </xf>
    <xf numFmtId="1" fontId="5" fillId="0" borderId="6" xfId="4" applyNumberFormat="1" applyFont="1" applyFill="1" applyBorder="1" applyAlignment="1">
      <alignment horizontal="center" vertical="center" wrapText="1"/>
    </xf>
    <xf numFmtId="1" fontId="5" fillId="0" borderId="4" xfId="4" applyNumberFormat="1" applyFont="1" applyFill="1" applyBorder="1" applyAlignment="1">
      <alignment horizontal="center" vertical="center" wrapText="1"/>
    </xf>
    <xf numFmtId="1" fontId="5" fillId="0" borderId="14" xfId="4" applyNumberFormat="1" applyFont="1" applyFill="1" applyBorder="1" applyAlignment="1">
      <alignment horizontal="center" vertical="center" wrapText="1"/>
    </xf>
    <xf numFmtId="1" fontId="5" fillId="0" borderId="7" xfId="4"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5" xfId="0" applyFont="1" applyFill="1" applyBorder="1" applyAlignment="1">
      <alignment horizontal="justify" vertical="center" wrapText="1"/>
    </xf>
    <xf numFmtId="9" fontId="5" fillId="0" borderId="2" xfId="18" applyFont="1" applyFill="1" applyBorder="1" applyAlignment="1">
      <alignment horizontal="center" vertical="center"/>
    </xf>
    <xf numFmtId="43" fontId="5" fillId="0" borderId="11" xfId="4" applyFont="1" applyFill="1" applyBorder="1" applyAlignment="1">
      <alignment horizontal="center" vertical="center" wrapText="1"/>
    </xf>
    <xf numFmtId="43" fontId="5" fillId="0" borderId="13" xfId="4" applyFont="1" applyFill="1" applyBorder="1" applyAlignment="1">
      <alignment horizontal="center" vertical="center" wrapText="1"/>
    </xf>
    <xf numFmtId="0" fontId="5" fillId="0" borderId="11"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5" fillId="0" borderId="8" xfId="0" applyFont="1" applyFill="1" applyBorder="1" applyAlignment="1">
      <alignment horizontal="justify" vertical="center" wrapText="1"/>
    </xf>
    <xf numFmtId="1" fontId="5" fillId="0" borderId="2" xfId="4" applyNumberFormat="1" applyFont="1" applyFill="1" applyBorder="1" applyAlignment="1">
      <alignment horizontal="center" vertical="center" wrapText="1"/>
    </xf>
    <xf numFmtId="1" fontId="5" fillId="0" borderId="35" xfId="0" applyNumberFormat="1" applyFont="1" applyFill="1" applyBorder="1" applyAlignment="1">
      <alignment horizontal="center" vertical="center" wrapText="1"/>
    </xf>
    <xf numFmtId="1" fontId="5" fillId="0" borderId="36" xfId="0" applyNumberFormat="1" applyFont="1" applyFill="1" applyBorder="1" applyAlignment="1">
      <alignment horizontal="center" vertical="center" wrapText="1"/>
    </xf>
    <xf numFmtId="1" fontId="5" fillId="0" borderId="67" xfId="0" applyNumberFormat="1"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1" fontId="5" fillId="0" borderId="11" xfId="0" applyNumberFormat="1"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1" fontId="5" fillId="0" borderId="11"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9" fontId="5" fillId="0" borderId="11" xfId="18" applyFont="1" applyFill="1" applyBorder="1" applyAlignment="1">
      <alignment horizontal="center" vertical="center"/>
    </xf>
    <xf numFmtId="9" fontId="5" fillId="0" borderId="13" xfId="18" applyFont="1" applyFill="1" applyBorder="1" applyAlignment="1">
      <alignment horizontal="center" vertical="center"/>
    </xf>
    <xf numFmtId="180" fontId="5" fillId="0" borderId="11" xfId="0" applyNumberFormat="1" applyFont="1" applyFill="1" applyBorder="1" applyAlignment="1">
      <alignment horizontal="center" vertical="center"/>
    </xf>
    <xf numFmtId="180" fontId="5" fillId="0" borderId="13" xfId="0" applyNumberFormat="1" applyFont="1" applyFill="1" applyBorder="1" applyAlignment="1">
      <alignment horizontal="center" vertical="center"/>
    </xf>
    <xf numFmtId="180" fontId="5" fillId="0" borderId="6" xfId="0" applyNumberFormat="1" applyFont="1" applyFill="1" applyBorder="1" applyAlignment="1">
      <alignment horizontal="center" vertical="center"/>
    </xf>
    <xf numFmtId="9" fontId="5" fillId="0" borderId="11" xfId="2" applyFont="1" applyFill="1" applyBorder="1" applyAlignment="1">
      <alignment horizontal="center" vertical="center" wrapText="1"/>
    </xf>
    <xf numFmtId="9" fontId="5" fillId="0" borderId="13" xfId="2" applyFont="1" applyFill="1" applyBorder="1" applyAlignment="1">
      <alignment horizontal="center" vertical="center" wrapText="1"/>
    </xf>
    <xf numFmtId="9" fontId="5" fillId="0" borderId="6" xfId="2" applyFont="1" applyFill="1" applyBorder="1" applyAlignment="1">
      <alignment horizontal="center" vertical="center" wrapText="1"/>
    </xf>
    <xf numFmtId="0" fontId="5" fillId="0" borderId="2" xfId="4"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16" xfId="0" applyFont="1" applyFill="1" applyBorder="1" applyAlignment="1">
      <alignment horizontal="justify" vertical="center" wrapText="1"/>
    </xf>
    <xf numFmtId="0" fontId="5" fillId="0" borderId="79" xfId="0" applyFont="1" applyFill="1" applyBorder="1" applyAlignment="1">
      <alignment horizontal="justify" vertical="center" wrapText="1"/>
    </xf>
    <xf numFmtId="9" fontId="5" fillId="0" borderId="16" xfId="18" applyFont="1" applyFill="1" applyBorder="1" applyAlignment="1">
      <alignment horizontal="center" vertical="center" wrapText="1"/>
    </xf>
    <xf numFmtId="9" fontId="5" fillId="0" borderId="79" xfId="18" applyFont="1" applyFill="1" applyBorder="1" applyAlignment="1">
      <alignment horizontal="center" vertical="center" wrapText="1"/>
    </xf>
    <xf numFmtId="43" fontId="5" fillId="0" borderId="16" xfId="4" applyFont="1" applyFill="1" applyBorder="1" applyAlignment="1">
      <alignment horizontal="center" vertical="center" wrapText="1"/>
    </xf>
    <xf numFmtId="43" fontId="5" fillId="0" borderId="79" xfId="4" applyFont="1" applyFill="1" applyBorder="1" applyAlignment="1">
      <alignment horizontal="center" vertical="center" wrapText="1"/>
    </xf>
    <xf numFmtId="0" fontId="5" fillId="0" borderId="1" xfId="0" applyFont="1" applyFill="1" applyBorder="1" applyAlignment="1">
      <alignment horizontal="justify" vertical="center" wrapText="1"/>
    </xf>
    <xf numFmtId="0" fontId="22" fillId="0" borderId="4" xfId="0" applyFont="1" applyFill="1" applyBorder="1" applyAlignment="1">
      <alignment horizontal="left" vertical="center" wrapText="1"/>
    </xf>
    <xf numFmtId="0" fontId="5" fillId="0" borderId="0"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3" xfId="0" applyFont="1" applyFill="1" applyBorder="1" applyAlignment="1">
      <alignment horizontal="justify" vertical="center" wrapText="1"/>
    </xf>
    <xf numFmtId="1" fontId="5" fillId="0" borderId="2"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3" fontId="5" fillId="0" borderId="11" xfId="0" applyNumberFormat="1" applyFont="1" applyFill="1" applyBorder="1" applyAlignment="1">
      <alignment horizontal="justify" vertical="center" wrapText="1"/>
    </xf>
    <xf numFmtId="3" fontId="5" fillId="0" borderId="13" xfId="0" applyNumberFormat="1" applyFont="1" applyFill="1" applyBorder="1" applyAlignment="1">
      <alignment horizontal="justify" vertical="center" wrapText="1"/>
    </xf>
    <xf numFmtId="3" fontId="5" fillId="0" borderId="6" xfId="0" applyNumberFormat="1" applyFont="1" applyFill="1" applyBorder="1" applyAlignment="1">
      <alignment horizontal="justify" vertical="center" wrapText="1"/>
    </xf>
    <xf numFmtId="0" fontId="1" fillId="0" borderId="11" xfId="0" applyFont="1" applyFill="1" applyBorder="1" applyAlignment="1">
      <alignment horizontal="left" vertical="center" wrapText="1"/>
    </xf>
    <xf numFmtId="0" fontId="1" fillId="0" borderId="7" xfId="0" applyFont="1" applyFill="1" applyBorder="1" applyAlignment="1">
      <alignment horizontal="left" vertical="center" wrapText="1"/>
    </xf>
    <xf numFmtId="1" fontId="5" fillId="0" borderId="1" xfId="0" applyNumberFormat="1" applyFont="1" applyFill="1" applyBorder="1" applyAlignment="1">
      <alignment horizontal="center" vertical="center"/>
    </xf>
    <xf numFmtId="1" fontId="5" fillId="0" borderId="2" xfId="0" applyNumberFormat="1" applyFont="1" applyFill="1" applyBorder="1" applyAlignment="1">
      <alignment vertical="center" wrapText="1"/>
    </xf>
    <xf numFmtId="180" fontId="5" fillId="0" borderId="2" xfId="0" applyNumberFormat="1" applyFont="1" applyFill="1" applyBorder="1" applyAlignment="1">
      <alignment horizontal="center" vertical="center"/>
    </xf>
    <xf numFmtId="1" fontId="5" fillId="0" borderId="34"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5" fillId="0" borderId="76" xfId="0" applyFont="1" applyFill="1" applyBorder="1" applyAlignment="1">
      <alignment horizontal="justify" vertical="center" wrapText="1"/>
    </xf>
    <xf numFmtId="0" fontId="5" fillId="0" borderId="77" xfId="0" applyFont="1" applyFill="1" applyBorder="1" applyAlignment="1">
      <alignment horizontal="justify" vertical="center" wrapText="1"/>
    </xf>
    <xf numFmtId="0" fontId="5" fillId="0" borderId="80" xfId="0" applyFont="1" applyFill="1" applyBorder="1" applyAlignment="1">
      <alignment horizontal="justify" vertical="center" wrapText="1"/>
    </xf>
    <xf numFmtId="0" fontId="1" fillId="0" borderId="17" xfId="0" applyFont="1" applyFill="1" applyBorder="1" applyAlignment="1">
      <alignment horizontal="justify" vertical="center" wrapText="1"/>
    </xf>
    <xf numFmtId="9" fontId="5" fillId="0" borderId="2" xfId="2"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6" xfId="0" applyFont="1" applyFill="1" applyBorder="1" applyAlignment="1">
      <alignment horizontal="center" vertical="center" wrapText="1"/>
    </xf>
    <xf numFmtId="2" fontId="11" fillId="0" borderId="13" xfId="0" applyNumberFormat="1" applyFont="1" applyFill="1" applyBorder="1" applyAlignment="1">
      <alignment horizontal="center" vertical="center" wrapText="1"/>
    </xf>
    <xf numFmtId="2" fontId="11" fillId="0" borderId="6" xfId="0" applyNumberFormat="1" applyFont="1" applyFill="1" applyBorder="1" applyAlignment="1">
      <alignment horizontal="center" vertical="center" wrapText="1"/>
    </xf>
    <xf numFmtId="0" fontId="11" fillId="0" borderId="13" xfId="0" applyFont="1" applyFill="1" applyBorder="1" applyAlignment="1">
      <alignment horizontal="justify" vertical="center" wrapText="1"/>
    </xf>
    <xf numFmtId="0" fontId="11" fillId="0" borderId="6" xfId="0" applyFont="1" applyFill="1" applyBorder="1" applyAlignment="1">
      <alignment horizontal="justify" vertical="center" wrapText="1"/>
    </xf>
    <xf numFmtId="9" fontId="11" fillId="0" borderId="13" xfId="18" applyFont="1" applyFill="1" applyBorder="1" applyAlignment="1">
      <alignment horizontal="center" vertical="center" wrapText="1"/>
    </xf>
    <xf numFmtId="9" fontId="11" fillId="0" borderId="6" xfId="18" applyFont="1" applyFill="1" applyBorder="1" applyAlignment="1">
      <alignment horizontal="center" vertical="center" wrapText="1"/>
    </xf>
    <xf numFmtId="1" fontId="5" fillId="0" borderId="45" xfId="0"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43" fontId="11" fillId="0" borderId="13" xfId="4" applyFont="1" applyFill="1" applyBorder="1" applyAlignment="1">
      <alignment horizontal="center" vertical="center" wrapText="1"/>
    </xf>
    <xf numFmtId="43" fontId="11" fillId="0" borderId="6" xfId="4" applyFont="1" applyFill="1" applyBorder="1" applyAlignment="1">
      <alignment horizontal="center" vertical="center" wrapText="1"/>
    </xf>
    <xf numFmtId="2" fontId="5" fillId="0" borderId="13" xfId="0" applyNumberFormat="1" applyFont="1" applyFill="1" applyBorder="1" applyAlignment="1">
      <alignment vertical="center" wrapText="1"/>
    </xf>
    <xf numFmtId="2" fontId="5" fillId="0" borderId="6" xfId="0" applyNumberFormat="1" applyFont="1" applyFill="1" applyBorder="1" applyAlignment="1">
      <alignment vertical="center" wrapText="1"/>
    </xf>
    <xf numFmtId="1" fontId="5" fillId="0" borderId="45" xfId="0" applyNumberFormat="1" applyFont="1" applyFill="1" applyBorder="1" applyAlignment="1">
      <alignment horizontal="justify"/>
    </xf>
    <xf numFmtId="0" fontId="6" fillId="0" borderId="0" xfId="0" applyFont="1" applyFill="1" applyBorder="1" applyAlignment="1">
      <alignment horizontal="justify" vertical="center" wrapText="1"/>
    </xf>
    <xf numFmtId="0" fontId="5" fillId="0" borderId="14" xfId="0" applyFont="1" applyFill="1" applyBorder="1" applyAlignment="1">
      <alignment horizontal="justify"/>
    </xf>
    <xf numFmtId="0" fontId="5" fillId="0" borderId="0" xfId="0" applyFont="1" applyFill="1" applyBorder="1" applyAlignment="1">
      <alignment horizontal="justify"/>
    </xf>
    <xf numFmtId="9" fontId="5" fillId="0" borderId="13" xfId="2" applyFont="1" applyFill="1" applyBorder="1" applyAlignment="1">
      <alignment horizontal="center" vertical="center"/>
    </xf>
    <xf numFmtId="9" fontId="5" fillId="0" borderId="6" xfId="2" applyFont="1" applyFill="1" applyBorder="1" applyAlignment="1">
      <alignment horizontal="center" vertical="center"/>
    </xf>
    <xf numFmtId="1" fontId="5" fillId="0" borderId="52" xfId="0" applyNumberFormat="1"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0" fontId="5" fillId="0" borderId="52" xfId="0" applyFont="1" applyFill="1" applyBorder="1" applyAlignment="1">
      <alignment horizontal="justify" vertical="center" wrapText="1"/>
    </xf>
    <xf numFmtId="1" fontId="5" fillId="0" borderId="52" xfId="0" applyNumberFormat="1" applyFont="1" applyFill="1" applyBorder="1" applyAlignment="1">
      <alignment horizontal="center" vertical="center"/>
    </xf>
    <xf numFmtId="1" fontId="5" fillId="0" borderId="16" xfId="0" applyNumberFormat="1" applyFont="1" applyFill="1" applyBorder="1" applyAlignment="1">
      <alignment horizontal="center" vertical="center"/>
    </xf>
    <xf numFmtId="170" fontId="5" fillId="0" borderId="52" xfId="0" applyNumberFormat="1" applyFont="1" applyFill="1" applyBorder="1" applyAlignment="1">
      <alignment horizontal="center" vertical="center"/>
    </xf>
    <xf numFmtId="170" fontId="5" fillId="0" borderId="16" xfId="0" applyNumberFormat="1" applyFont="1" applyFill="1" applyBorder="1" applyAlignment="1">
      <alignment horizontal="center" vertical="center"/>
    </xf>
    <xf numFmtId="0" fontId="5" fillId="0" borderId="52" xfId="0" applyFont="1" applyFill="1" applyBorder="1" applyAlignment="1">
      <alignment horizontal="center" vertical="center" wrapText="1"/>
    </xf>
    <xf numFmtId="0" fontId="5" fillId="0" borderId="13" xfId="4" applyNumberFormat="1" applyFont="1" applyFill="1" applyBorder="1" applyAlignment="1">
      <alignment horizontal="center" vertical="center"/>
    </xf>
    <xf numFmtId="0" fontId="5" fillId="0" borderId="6" xfId="4" applyNumberFormat="1" applyFont="1" applyFill="1" applyBorder="1" applyAlignment="1">
      <alignment horizontal="center" vertical="center"/>
    </xf>
    <xf numFmtId="0" fontId="5" fillId="0" borderId="15" xfId="4" applyNumberFormat="1" applyFont="1" applyFill="1" applyBorder="1" applyAlignment="1">
      <alignment horizontal="center" vertical="center"/>
    </xf>
    <xf numFmtId="0" fontId="5" fillId="0" borderId="13" xfId="4" applyNumberFormat="1" applyFont="1" applyFill="1" applyBorder="1" applyAlignment="1">
      <alignment horizontal="center" vertical="center" wrapText="1"/>
    </xf>
    <xf numFmtId="0" fontId="5" fillId="0" borderId="6" xfId="4" applyNumberFormat="1" applyFont="1" applyFill="1" applyBorder="1" applyAlignment="1">
      <alignment horizontal="center" vertical="center" wrapText="1"/>
    </xf>
    <xf numFmtId="0" fontId="23" fillId="0" borderId="11"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4"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5" fillId="0" borderId="11" xfId="4" applyNumberFormat="1" applyFont="1" applyFill="1" applyBorder="1" applyAlignment="1">
      <alignment horizontal="center" vertical="center"/>
    </xf>
    <xf numFmtId="43" fontId="5" fillId="0" borderId="11" xfId="4" applyNumberFormat="1" applyFont="1" applyFill="1" applyBorder="1" applyAlignment="1">
      <alignment horizontal="center" vertical="center"/>
    </xf>
    <xf numFmtId="9" fontId="5" fillId="0" borderId="11" xfId="2" applyFont="1" applyFill="1" applyBorder="1" applyAlignment="1">
      <alignment horizontal="center" vertical="center"/>
    </xf>
    <xf numFmtId="0" fontId="5" fillId="0" borderId="11" xfId="4" applyNumberFormat="1" applyFont="1" applyFill="1" applyBorder="1" applyAlignment="1">
      <alignment horizontal="center" vertical="center" wrapText="1"/>
    </xf>
    <xf numFmtId="9" fontId="5" fillId="0" borderId="6" xfId="18" applyFont="1" applyBorder="1" applyAlignment="1">
      <alignment horizontal="center" vertical="center"/>
    </xf>
    <xf numFmtId="169" fontId="5" fillId="0" borderId="6" xfId="0" applyNumberFormat="1" applyFont="1" applyBorder="1" applyAlignment="1">
      <alignment horizontal="center" vertical="center"/>
    </xf>
    <xf numFmtId="169" fontId="5" fillId="0" borderId="2"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1" fontId="5" fillId="0" borderId="11" xfId="0" applyNumberFormat="1" applyFont="1" applyBorder="1" applyAlignment="1">
      <alignment horizontal="center" vertical="center"/>
    </xf>
    <xf numFmtId="1" fontId="5" fillId="0" borderId="13" xfId="0" applyNumberFormat="1" applyFont="1" applyBorder="1" applyAlignment="1">
      <alignment horizontal="center" vertical="center"/>
    </xf>
    <xf numFmtId="1" fontId="5" fillId="0" borderId="6" xfId="0" applyNumberFormat="1" applyFont="1" applyBorder="1" applyAlignment="1">
      <alignment horizontal="center" vertical="center"/>
    </xf>
    <xf numFmtId="0" fontId="23" fillId="0" borderId="14" xfId="0" applyFont="1" applyFill="1" applyBorder="1" applyAlignment="1">
      <alignment horizontal="left" vertical="center" wrapText="1"/>
    </xf>
    <xf numFmtId="1" fontId="5" fillId="0" borderId="6" xfId="0" applyNumberFormat="1" applyFont="1" applyBorder="1" applyAlignment="1">
      <alignment horizontal="center" vertical="center" wrapText="1"/>
    </xf>
    <xf numFmtId="1" fontId="5" fillId="0" borderId="11" xfId="0" applyNumberFormat="1" applyFont="1" applyBorder="1" applyAlignment="1">
      <alignment horizontal="center" vertical="center" wrapText="1"/>
    </xf>
    <xf numFmtId="1" fontId="5" fillId="0" borderId="6" xfId="0" applyNumberFormat="1" applyFont="1" applyBorder="1" applyAlignment="1">
      <alignment horizontal="justify" vertical="center" wrapText="1"/>
    </xf>
    <xf numFmtId="2" fontId="5" fillId="0" borderId="6" xfId="0" applyNumberFormat="1" applyFont="1" applyBorder="1" applyAlignment="1">
      <alignment horizontal="center" vertical="center"/>
    </xf>
    <xf numFmtId="2" fontId="5" fillId="0" borderId="2" xfId="0" applyNumberFormat="1" applyFont="1" applyBorder="1" applyAlignment="1">
      <alignment horizontal="center" vertical="center"/>
    </xf>
    <xf numFmtId="0" fontId="5" fillId="0" borderId="6" xfId="0" applyFont="1" applyBorder="1" applyAlignment="1">
      <alignment horizontal="justify" vertical="center"/>
    </xf>
    <xf numFmtId="0" fontId="5" fillId="0" borderId="2" xfId="0" applyFont="1" applyBorder="1" applyAlignment="1">
      <alignment horizontal="justify" vertical="center"/>
    </xf>
    <xf numFmtId="0" fontId="5" fillId="0" borderId="52" xfId="0" applyFont="1" applyFill="1" applyBorder="1" applyAlignment="1">
      <alignment horizontal="justify" vertical="center"/>
    </xf>
    <xf numFmtId="0" fontId="5" fillId="0" borderId="16" xfId="0" applyFont="1" applyFill="1" applyBorder="1" applyAlignment="1">
      <alignment horizontal="justify" vertical="center"/>
    </xf>
    <xf numFmtId="9" fontId="5" fillId="0" borderId="52" xfId="18" applyFont="1" applyFill="1" applyBorder="1" applyAlignment="1">
      <alignment horizontal="center" vertical="center"/>
    </xf>
    <xf numFmtId="9" fontId="5" fillId="0" borderId="16" xfId="18" applyFont="1" applyFill="1" applyBorder="1" applyAlignment="1">
      <alignment horizontal="center" vertical="center"/>
    </xf>
    <xf numFmtId="3" fontId="5" fillId="0" borderId="52" xfId="0" applyNumberFormat="1" applyFont="1" applyFill="1" applyBorder="1" applyAlignment="1">
      <alignment horizontal="center" vertical="center"/>
    </xf>
    <xf numFmtId="3" fontId="5" fillId="0" borderId="16" xfId="0" applyNumberFormat="1" applyFont="1" applyFill="1" applyBorder="1" applyAlignment="1">
      <alignment horizontal="center" vertical="center"/>
    </xf>
    <xf numFmtId="0" fontId="5" fillId="0" borderId="12" xfId="0" applyFont="1" applyFill="1" applyBorder="1" applyAlignment="1">
      <alignment horizontal="justify" vertical="center" wrapText="1"/>
    </xf>
    <xf numFmtId="2" fontId="5" fillId="0" borderId="11" xfId="0" applyNumberFormat="1" applyFont="1" applyBorder="1" applyAlignment="1">
      <alignment vertical="center" wrapText="1"/>
    </xf>
    <xf numFmtId="2" fontId="5" fillId="0" borderId="13" xfId="0" applyNumberFormat="1" applyFont="1" applyBorder="1" applyAlignment="1">
      <alignment vertical="center" wrapText="1"/>
    </xf>
    <xf numFmtId="2" fontId="5" fillId="0" borderId="6" xfId="0" applyNumberFormat="1" applyFont="1" applyBorder="1" applyAlignment="1">
      <alignment vertical="center" wrapText="1"/>
    </xf>
    <xf numFmtId="166" fontId="5" fillId="0" borderId="11" xfId="4" applyNumberFormat="1" applyFont="1" applyBorder="1" applyAlignment="1">
      <alignment horizontal="center" vertical="center"/>
    </xf>
    <xf numFmtId="166" fontId="5" fillId="0" borderId="13" xfId="4" applyNumberFormat="1" applyFont="1" applyBorder="1" applyAlignment="1">
      <alignment horizontal="center" vertical="center"/>
    </xf>
    <xf numFmtId="166" fontId="5" fillId="0" borderId="6" xfId="4" applyNumberFormat="1" applyFont="1" applyBorder="1" applyAlignment="1">
      <alignment horizontal="center" vertical="center"/>
    </xf>
    <xf numFmtId="0" fontId="23" fillId="0" borderId="16" xfId="0" applyFont="1" applyFill="1" applyBorder="1" applyAlignment="1">
      <alignment horizontal="center" vertical="center" wrapText="1"/>
    </xf>
    <xf numFmtId="0" fontId="23" fillId="0" borderId="17" xfId="0" applyFont="1" applyFill="1" applyBorder="1" applyAlignment="1">
      <alignment horizontal="justify" vertical="center" wrapText="1"/>
    </xf>
    <xf numFmtId="0" fontId="23" fillId="0" borderId="11" xfId="0" applyFont="1" applyFill="1" applyBorder="1" applyAlignment="1" applyProtection="1">
      <alignment horizontal="justify" vertical="center" wrapText="1"/>
      <protection locked="0"/>
    </xf>
    <xf numFmtId="0" fontId="23" fillId="0" borderId="6" xfId="0" applyFont="1" applyFill="1" applyBorder="1" applyAlignment="1" applyProtection="1">
      <alignment horizontal="justify" vertical="center" wrapText="1"/>
      <protection locked="0"/>
    </xf>
    <xf numFmtId="1" fontId="23" fillId="0" borderId="11" xfId="0" applyNumberFormat="1" applyFont="1" applyFill="1" applyBorder="1" applyAlignment="1">
      <alignment horizontal="center" vertical="center"/>
    </xf>
    <xf numFmtId="1" fontId="23" fillId="0" borderId="6" xfId="0" applyNumberFormat="1" applyFont="1" applyFill="1" applyBorder="1" applyAlignment="1">
      <alignment horizontal="center" vertical="center"/>
    </xf>
    <xf numFmtId="170" fontId="23" fillId="0" borderId="11" xfId="0" applyNumberFormat="1" applyFont="1" applyFill="1" applyBorder="1" applyAlignment="1">
      <alignment horizontal="center" vertical="center"/>
    </xf>
    <xf numFmtId="170" fontId="23" fillId="0" borderId="6"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166" fontId="5" fillId="0" borderId="11" xfId="4" applyNumberFormat="1" applyFont="1" applyBorder="1" applyAlignment="1">
      <alignment horizontal="center" vertical="center" wrapText="1"/>
    </xf>
    <xf numFmtId="166" fontId="5" fillId="0" borderId="13" xfId="4" applyNumberFormat="1" applyFont="1" applyBorder="1" applyAlignment="1">
      <alignment horizontal="center" vertical="center" wrapText="1"/>
    </xf>
    <xf numFmtId="166" fontId="5" fillId="0" borderId="6" xfId="4" applyNumberFormat="1" applyFont="1" applyBorder="1" applyAlignment="1">
      <alignment horizontal="center" vertical="center" wrapText="1"/>
    </xf>
    <xf numFmtId="2" fontId="5" fillId="0" borderId="2" xfId="0" applyNumberFormat="1" applyFont="1" applyFill="1" applyBorder="1" applyAlignment="1">
      <alignment vertical="center" wrapText="1"/>
    </xf>
    <xf numFmtId="2" fontId="5" fillId="0" borderId="11" xfId="0" applyNumberFormat="1" applyFont="1" applyFill="1" applyBorder="1" applyAlignment="1">
      <alignment vertical="center" wrapText="1"/>
    </xf>
    <xf numFmtId="0" fontId="5" fillId="0" borderId="2" xfId="0" applyFont="1" applyFill="1" applyBorder="1" applyAlignment="1">
      <alignment horizontal="justify" vertical="center"/>
    </xf>
    <xf numFmtId="0" fontId="5" fillId="0" borderId="11" xfId="0" applyFont="1" applyFill="1" applyBorder="1" applyAlignment="1">
      <alignment horizontal="justify" vertical="center"/>
    </xf>
    <xf numFmtId="9" fontId="5" fillId="0" borderId="11" xfId="2" applyNumberFormat="1" applyFont="1" applyFill="1" applyBorder="1" applyAlignment="1">
      <alignment horizontal="center" vertical="center"/>
    </xf>
    <xf numFmtId="9" fontId="5" fillId="0" borderId="6" xfId="2"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0" fontId="5" fillId="0" borderId="83" xfId="0" applyFont="1" applyFill="1" applyBorder="1" applyAlignment="1">
      <alignment horizontal="justify" vertical="center" wrapText="1"/>
    </xf>
    <xf numFmtId="0" fontId="36" fillId="0" borderId="17" xfId="21" applyFont="1" applyFill="1" applyBorder="1" applyAlignment="1">
      <alignment horizontal="left" vertical="center" wrapText="1"/>
    </xf>
    <xf numFmtId="0" fontId="23" fillId="0" borderId="11" xfId="21" applyFont="1" applyFill="1" applyBorder="1" applyAlignment="1">
      <alignment horizontal="left" vertical="center" wrapText="1"/>
    </xf>
    <xf numFmtId="0" fontId="23" fillId="0" borderId="6" xfId="21" applyFont="1" applyFill="1" applyBorder="1" applyAlignment="1">
      <alignment horizontal="left" vertical="center" wrapText="1"/>
    </xf>
    <xf numFmtId="0" fontId="36" fillId="0" borderId="11" xfId="21" applyFont="1" applyFill="1" applyBorder="1" applyAlignment="1">
      <alignment horizontal="left" vertical="center" wrapText="1"/>
    </xf>
    <xf numFmtId="0" fontId="36" fillId="0" borderId="6" xfId="21" applyFont="1" applyFill="1" applyBorder="1" applyAlignment="1">
      <alignment horizontal="left" vertical="center" wrapText="1"/>
    </xf>
    <xf numFmtId="0" fontId="23" fillId="0" borderId="13"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4" xfId="0" applyFont="1" applyFill="1" applyBorder="1" applyAlignment="1">
      <alignment horizontal="justify" vertical="center" wrapText="1"/>
    </xf>
    <xf numFmtId="0" fontId="23" fillId="0" borderId="6" xfId="0" applyFont="1" applyFill="1" applyBorder="1" applyAlignment="1">
      <alignment horizontal="justify" vertical="center" wrapText="1"/>
    </xf>
    <xf numFmtId="0" fontId="23" fillId="0" borderId="13" xfId="0" applyFont="1" applyFill="1" applyBorder="1" applyAlignment="1" applyProtection="1">
      <alignment horizontal="justify" vertical="center" wrapText="1"/>
      <protection locked="0"/>
    </xf>
    <xf numFmtId="1" fontId="23" fillId="0" borderId="13" xfId="0" applyNumberFormat="1" applyFont="1" applyFill="1" applyBorder="1" applyAlignment="1">
      <alignment horizontal="center" vertical="center"/>
    </xf>
    <xf numFmtId="9" fontId="5" fillId="0" borderId="13" xfId="2" applyNumberFormat="1" applyFont="1" applyFill="1" applyBorder="1" applyAlignment="1">
      <alignment horizontal="center" vertical="center"/>
    </xf>
    <xf numFmtId="0" fontId="36" fillId="0" borderId="84" xfId="21" applyFont="1" applyFill="1" applyBorder="1" applyAlignment="1">
      <alignment horizontal="left" vertical="center" wrapText="1"/>
    </xf>
    <xf numFmtId="0" fontId="36" fillId="0" borderId="7" xfId="21" applyFont="1" applyFill="1" applyBorder="1" applyAlignment="1">
      <alignment horizontal="left" vertical="center" wrapText="1"/>
    </xf>
    <xf numFmtId="0" fontId="23" fillId="0" borderId="11" xfId="0" applyFont="1" applyFill="1" applyBorder="1" applyAlignment="1">
      <alignment horizontal="center" vertical="center" wrapText="1"/>
    </xf>
    <xf numFmtId="0" fontId="23" fillId="0" borderId="11" xfId="0" applyFont="1" applyFill="1" applyBorder="1" applyAlignment="1">
      <alignment horizontal="justify" vertical="center" wrapText="1"/>
    </xf>
    <xf numFmtId="0" fontId="23" fillId="0" borderId="13" xfId="0" applyFont="1" applyFill="1" applyBorder="1" applyAlignment="1">
      <alignment horizontal="justify" vertical="center" wrapText="1"/>
    </xf>
    <xf numFmtId="0" fontId="23" fillId="0" borderId="26" xfId="0" applyFont="1" applyFill="1" applyBorder="1" applyAlignment="1">
      <alignment horizontal="center" vertical="center" wrapText="1"/>
    </xf>
    <xf numFmtId="0" fontId="23" fillId="0" borderId="26" xfId="0" applyFont="1" applyFill="1" applyBorder="1" applyAlignment="1">
      <alignment horizontal="justify" vertical="center" wrapText="1"/>
    </xf>
    <xf numFmtId="0" fontId="23" fillId="0" borderId="26" xfId="0" applyFont="1" applyFill="1" applyBorder="1" applyAlignment="1" applyProtection="1">
      <alignment horizontal="justify" vertical="center" wrapText="1"/>
      <protection locked="0"/>
    </xf>
    <xf numFmtId="1" fontId="23" fillId="0" borderId="26" xfId="0" applyNumberFormat="1" applyFont="1" applyFill="1" applyBorder="1" applyAlignment="1">
      <alignment horizontal="center" vertical="center"/>
    </xf>
    <xf numFmtId="9" fontId="5" fillId="0" borderId="26" xfId="2" applyNumberFormat="1" applyFont="1" applyFill="1" applyBorder="1" applyAlignment="1">
      <alignment horizontal="center" vertical="center"/>
    </xf>
    <xf numFmtId="0" fontId="36" fillId="0" borderId="16" xfId="0" applyFont="1" applyFill="1" applyBorder="1" applyAlignment="1">
      <alignment horizontal="center" vertical="center" wrapText="1"/>
    </xf>
    <xf numFmtId="0" fontId="23" fillId="0" borderId="16" xfId="0" applyFont="1" applyFill="1" applyBorder="1" applyAlignment="1">
      <alignment horizontal="justify" vertical="center" wrapText="1"/>
    </xf>
    <xf numFmtId="0" fontId="23" fillId="0" borderId="20" xfId="0" applyFont="1" applyFill="1" applyBorder="1" applyAlignment="1" applyProtection="1">
      <alignment horizontal="justify" vertical="center" wrapText="1"/>
      <protection locked="0"/>
    </xf>
    <xf numFmtId="0" fontId="23" fillId="0" borderId="21" xfId="0" applyFont="1" applyFill="1" applyBorder="1" applyAlignment="1" applyProtection="1">
      <alignment horizontal="justify" vertical="center" wrapText="1"/>
      <protection locked="0"/>
    </xf>
    <xf numFmtId="0" fontId="23" fillId="0" borderId="27" xfId="0" applyFont="1" applyFill="1" applyBorder="1" applyAlignment="1" applyProtection="1">
      <alignment horizontal="justify" vertical="center" wrapText="1"/>
      <protection locked="0"/>
    </xf>
    <xf numFmtId="0" fontId="6" fillId="17" borderId="2" xfId="0" applyFont="1" applyFill="1" applyBorder="1" applyAlignment="1">
      <alignment horizontal="center" vertical="center" wrapText="1"/>
    </xf>
    <xf numFmtId="0" fontId="2" fillId="0" borderId="0" xfId="0" applyFont="1" applyAlignment="1">
      <alignment horizontal="center" vertical="center" wrapText="1"/>
    </xf>
    <xf numFmtId="0" fontId="6" fillId="0" borderId="58"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1" fontId="6" fillId="17" borderId="61" xfId="0" applyNumberFormat="1" applyFont="1" applyFill="1" applyBorder="1" applyAlignment="1">
      <alignment horizontal="center" vertical="center" wrapText="1"/>
    </xf>
    <xf numFmtId="1" fontId="6" fillId="17" borderId="63" xfId="0" applyNumberFormat="1" applyFont="1" applyFill="1" applyBorder="1" applyAlignment="1">
      <alignment horizontal="center" vertical="center" wrapText="1"/>
    </xf>
    <xf numFmtId="0" fontId="6" fillId="17" borderId="11" xfId="0" applyFont="1" applyFill="1" applyBorder="1" applyAlignment="1">
      <alignment horizontal="center" vertical="center" wrapText="1"/>
    </xf>
    <xf numFmtId="0" fontId="6" fillId="17" borderId="13" xfId="0" applyFont="1" applyFill="1" applyBorder="1" applyAlignment="1">
      <alignment horizontal="center" vertical="center" wrapText="1"/>
    </xf>
    <xf numFmtId="0" fontId="6" fillId="17" borderId="4" xfId="0" applyFont="1" applyFill="1" applyBorder="1" applyAlignment="1">
      <alignment horizontal="center" vertical="center" wrapText="1"/>
    </xf>
    <xf numFmtId="0" fontId="6" fillId="17" borderId="14" xfId="0" applyFont="1" applyFill="1" applyBorder="1" applyAlignment="1">
      <alignment horizontal="center" vertical="center" wrapText="1"/>
    </xf>
    <xf numFmtId="3" fontId="7" fillId="8" borderId="8" xfId="0" applyNumberFormat="1" applyFont="1" applyFill="1" applyBorder="1" applyAlignment="1">
      <alignment horizontal="center" vertical="center" wrapText="1"/>
    </xf>
    <xf numFmtId="3" fontId="7" fillId="8" borderId="9" xfId="0" applyNumberFormat="1" applyFont="1" applyFill="1" applyBorder="1" applyAlignment="1">
      <alignment horizontal="center" vertical="center" wrapText="1"/>
    </xf>
    <xf numFmtId="3" fontId="7" fillId="8" borderId="1" xfId="0" applyNumberFormat="1"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8"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1" xfId="0" applyFont="1" applyFill="1" applyBorder="1" applyAlignment="1">
      <alignment horizontal="center" vertical="center"/>
    </xf>
    <xf numFmtId="0" fontId="6" fillId="17" borderId="8" xfId="0" applyFont="1" applyFill="1" applyBorder="1" applyAlignment="1">
      <alignment horizontal="center" vertical="center" textRotation="90" wrapText="1"/>
    </xf>
    <xf numFmtId="0" fontId="6" fillId="17" borderId="1" xfId="0" applyFont="1" applyFill="1" applyBorder="1" applyAlignment="1">
      <alignment horizontal="center" vertical="center" textRotation="90" wrapText="1"/>
    </xf>
    <xf numFmtId="49" fontId="6" fillId="17" borderId="8" xfId="0" applyNumberFormat="1" applyFont="1" applyFill="1" applyBorder="1" applyAlignment="1">
      <alignment horizontal="center" vertical="center" textRotation="90" wrapText="1"/>
    </xf>
    <xf numFmtId="49" fontId="6" fillId="17" borderId="1" xfId="0" applyNumberFormat="1" applyFont="1" applyFill="1" applyBorder="1" applyAlignment="1">
      <alignment horizontal="center" vertical="center" textRotation="90" wrapText="1"/>
    </xf>
    <xf numFmtId="170" fontId="6" fillId="17" borderId="4" xfId="0" applyNumberFormat="1" applyFont="1" applyFill="1" applyBorder="1" applyAlignment="1">
      <alignment horizontal="center" vertical="center" wrapText="1"/>
    </xf>
    <xf numFmtId="170" fontId="6" fillId="17" borderId="14" xfId="0" applyNumberFormat="1" applyFont="1" applyFill="1" applyBorder="1" applyAlignment="1">
      <alignment horizontal="center" vertical="center" wrapText="1"/>
    </xf>
    <xf numFmtId="170" fontId="6" fillId="17" borderId="7" xfId="0" applyNumberFormat="1" applyFont="1" applyFill="1" applyBorder="1" applyAlignment="1">
      <alignment horizontal="center" vertical="center" wrapText="1"/>
    </xf>
    <xf numFmtId="176" fontId="6" fillId="17" borderId="2" xfId="12" applyNumberFormat="1"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4" xfId="0" applyFont="1" applyFill="1" applyBorder="1" applyAlignment="1">
      <alignment horizontal="center" vertical="center" textRotation="90" wrapText="1"/>
    </xf>
    <xf numFmtId="0" fontId="7" fillId="8" borderId="15" xfId="0" applyFont="1" applyFill="1" applyBorder="1" applyAlignment="1">
      <alignment horizontal="center" vertical="center" textRotation="90" wrapText="1"/>
    </xf>
    <xf numFmtId="171" fontId="7" fillId="17" borderId="72" xfId="8" applyFont="1" applyFill="1" applyBorder="1" applyAlignment="1">
      <alignment horizontal="center" vertical="center"/>
    </xf>
    <xf numFmtId="171" fontId="7" fillId="17" borderId="54" xfId="8" applyFont="1" applyFill="1" applyBorder="1" applyAlignment="1">
      <alignment horizontal="center" vertical="center"/>
    </xf>
    <xf numFmtId="171" fontId="7" fillId="17" borderId="55" xfId="8" applyFont="1" applyFill="1" applyBorder="1" applyAlignment="1">
      <alignment horizontal="center" vertical="center"/>
    </xf>
    <xf numFmtId="169" fontId="6" fillId="17" borderId="4" xfId="0" applyNumberFormat="1" applyFont="1" applyFill="1" applyBorder="1" applyAlignment="1">
      <alignment horizontal="center" vertical="center" wrapText="1"/>
    </xf>
    <xf numFmtId="169" fontId="6" fillId="17" borderId="5" xfId="0" applyNumberFormat="1" applyFont="1" applyFill="1" applyBorder="1" applyAlignment="1">
      <alignment horizontal="center" vertical="center" wrapText="1"/>
    </xf>
    <xf numFmtId="169" fontId="6" fillId="17" borderId="10" xfId="0" applyNumberFormat="1" applyFont="1" applyFill="1" applyBorder="1" applyAlignment="1">
      <alignment horizontal="center" vertical="center" wrapText="1"/>
    </xf>
    <xf numFmtId="169" fontId="6" fillId="17" borderId="7" xfId="0" applyNumberFormat="1" applyFont="1" applyFill="1" applyBorder="1" applyAlignment="1">
      <alignment horizontal="center" vertical="center" wrapText="1"/>
    </xf>
    <xf numFmtId="169" fontId="6" fillId="17" borderId="3" xfId="0" applyNumberFormat="1" applyFont="1" applyFill="1" applyBorder="1" applyAlignment="1">
      <alignment horizontal="center" vertical="center" wrapText="1"/>
    </xf>
    <xf numFmtId="169" fontId="6" fillId="17" borderId="12" xfId="0" applyNumberFormat="1" applyFont="1" applyFill="1" applyBorder="1" applyAlignment="1">
      <alignment horizontal="center" vertical="center" wrapText="1"/>
    </xf>
    <xf numFmtId="167" fontId="6" fillId="17" borderId="4" xfId="0" applyNumberFormat="1" applyFont="1" applyFill="1" applyBorder="1" applyAlignment="1">
      <alignment horizontal="center" vertical="center" wrapText="1"/>
    </xf>
    <xf numFmtId="167" fontId="6" fillId="17" borderId="10" xfId="0" applyNumberFormat="1" applyFont="1" applyFill="1" applyBorder="1" applyAlignment="1">
      <alignment horizontal="center" vertical="center" wrapText="1"/>
    </xf>
    <xf numFmtId="167" fontId="6" fillId="17" borderId="7" xfId="0" applyNumberFormat="1" applyFont="1" applyFill="1" applyBorder="1" applyAlignment="1">
      <alignment horizontal="center" vertical="center" wrapText="1"/>
    </xf>
    <xf numFmtId="167" fontId="6" fillId="17" borderId="12" xfId="0" applyNumberFormat="1" applyFont="1" applyFill="1" applyBorder="1" applyAlignment="1">
      <alignment horizontal="center" vertical="center" wrapText="1"/>
    </xf>
    <xf numFmtId="167" fontId="6" fillId="17" borderId="2" xfId="0" applyNumberFormat="1" applyFont="1" applyFill="1" applyBorder="1" applyAlignment="1">
      <alignment horizontal="center" vertical="center" wrapText="1"/>
    </xf>
    <xf numFmtId="3" fontId="6" fillId="17" borderId="62" xfId="0" applyNumberFormat="1" applyFont="1" applyFill="1" applyBorder="1" applyAlignment="1">
      <alignment horizontal="center" vertical="center" wrapText="1"/>
    </xf>
    <xf numFmtId="3" fontId="6" fillId="17" borderId="66" xfId="0" applyNumberFormat="1" applyFont="1" applyFill="1" applyBorder="1" applyAlignment="1">
      <alignment horizontal="center" vertical="center" wrapText="1"/>
    </xf>
    <xf numFmtId="4" fontId="3" fillId="17" borderId="11" xfId="0" applyNumberFormat="1" applyFont="1" applyFill="1" applyBorder="1" applyAlignment="1">
      <alignment horizontal="center" vertical="center" wrapText="1"/>
    </xf>
    <xf numFmtId="4" fontId="3" fillId="17" borderId="6" xfId="0" applyNumberFormat="1" applyFont="1" applyFill="1" applyBorder="1" applyAlignment="1">
      <alignment horizontal="center" vertical="center" wrapText="1"/>
    </xf>
    <xf numFmtId="9" fontId="3" fillId="17" borderId="11" xfId="2" applyFont="1" applyFill="1" applyBorder="1" applyAlignment="1">
      <alignment horizontal="center" vertical="center" wrapText="1"/>
    </xf>
    <xf numFmtId="9" fontId="3" fillId="17" borderId="6" xfId="2" applyFont="1" applyFill="1" applyBorder="1" applyAlignment="1">
      <alignment horizontal="center" vertical="center" wrapText="1"/>
    </xf>
    <xf numFmtId="0" fontId="3" fillId="17" borderId="11" xfId="0" applyFont="1" applyFill="1" applyBorder="1" applyAlignment="1">
      <alignment horizontal="center" vertical="center" wrapText="1"/>
    </xf>
    <xf numFmtId="0" fontId="3" fillId="17" borderId="6"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Fill="1" applyBorder="1" applyAlignment="1">
      <alignment horizontal="center" vertical="center" wrapText="1"/>
    </xf>
    <xf numFmtId="0" fontId="6" fillId="17" borderId="7" xfId="0" applyFont="1" applyFill="1" applyBorder="1" applyAlignment="1">
      <alignment horizontal="center" vertical="center" textRotation="90" wrapText="1"/>
    </xf>
    <xf numFmtId="0" fontId="6" fillId="17" borderId="12" xfId="0" applyFont="1" applyFill="1" applyBorder="1" applyAlignment="1">
      <alignment horizontal="center" vertical="center" textRotation="90" wrapText="1"/>
    </xf>
    <xf numFmtId="1" fontId="9" fillId="7" borderId="10" xfId="0" applyNumberFormat="1" applyFont="1" applyFill="1" applyBorder="1" applyAlignment="1">
      <alignment horizontal="center" vertical="center" wrapText="1"/>
    </xf>
    <xf numFmtId="1" fontId="9" fillId="7" borderId="15" xfId="0" applyNumberFormat="1" applyFont="1" applyFill="1" applyBorder="1" applyAlignment="1">
      <alignment horizontal="center" vertical="center" wrapText="1"/>
    </xf>
    <xf numFmtId="1" fontId="9" fillId="7" borderId="12" xfId="0" applyNumberFormat="1" applyFont="1" applyFill="1" applyBorder="1" applyAlignment="1">
      <alignment horizontal="center" vertical="center" wrapText="1"/>
    </xf>
    <xf numFmtId="43" fontId="5" fillId="0" borderId="2" xfId="13" applyFont="1" applyFill="1" applyBorder="1" applyAlignment="1">
      <alignment horizontal="justify" vertical="center" wrapText="1"/>
    </xf>
    <xf numFmtId="0" fontId="5" fillId="0" borderId="11"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1" fillId="0" borderId="11" xfId="0" applyFont="1" applyFill="1" applyBorder="1" applyAlignment="1">
      <alignment horizontal="left" vertical="center" wrapText="1" readingOrder="2"/>
    </xf>
    <xf numFmtId="0" fontId="11" fillId="0" borderId="6" xfId="0" applyFont="1" applyFill="1" applyBorder="1" applyAlignment="1">
      <alignment horizontal="left" vertical="center" wrapText="1" readingOrder="2"/>
    </xf>
    <xf numFmtId="43" fontId="5" fillId="0" borderId="2" xfId="13" applyFont="1" applyFill="1" applyBorder="1" applyAlignment="1">
      <alignment horizontal="right" vertical="center" wrapText="1"/>
    </xf>
    <xf numFmtId="165" fontId="5" fillId="0" borderId="11" xfId="0" applyNumberFormat="1" applyFont="1" applyFill="1" applyBorder="1" applyAlignment="1" applyProtection="1">
      <alignment horizontal="center" vertical="center" wrapText="1"/>
      <protection locked="0"/>
    </xf>
    <xf numFmtId="165" fontId="5" fillId="0" borderId="13" xfId="0" applyNumberFormat="1" applyFont="1" applyFill="1" applyBorder="1" applyAlignment="1" applyProtection="1">
      <alignment horizontal="center" vertical="center" wrapText="1"/>
      <protection locked="0"/>
    </xf>
    <xf numFmtId="165" fontId="5" fillId="0" borderId="6" xfId="0" applyNumberFormat="1" applyFont="1" applyFill="1" applyBorder="1" applyAlignment="1" applyProtection="1">
      <alignment horizontal="center" vertical="center" wrapText="1"/>
      <protection locked="0"/>
    </xf>
    <xf numFmtId="3" fontId="5" fillId="0" borderId="34" xfId="0" applyNumberFormat="1" applyFont="1" applyFill="1" applyBorder="1" applyAlignment="1">
      <alignment horizontal="center" vertical="center" wrapText="1"/>
    </xf>
    <xf numFmtId="0" fontId="5" fillId="7" borderId="0" xfId="0" applyFont="1" applyFill="1" applyAlignment="1">
      <alignment horizontal="center" vertical="center" wrapText="1"/>
    </xf>
    <xf numFmtId="0" fontId="5" fillId="0" borderId="1" xfId="0" applyFont="1" applyBorder="1" applyAlignment="1">
      <alignment horizontal="justify" vertical="center" wrapText="1"/>
    </xf>
    <xf numFmtId="3" fontId="5" fillId="0" borderId="10"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4" fontId="5" fillId="0" borderId="15" xfId="0" applyNumberFormat="1" applyFont="1" applyFill="1" applyBorder="1" applyAlignment="1">
      <alignment horizontal="center" vertical="center"/>
    </xf>
    <xf numFmtId="4" fontId="5" fillId="0" borderId="13" xfId="0" applyNumberFormat="1" applyFont="1" applyFill="1" applyBorder="1" applyAlignment="1">
      <alignment horizontal="center" vertical="center"/>
    </xf>
    <xf numFmtId="4" fontId="5" fillId="0" borderId="6" xfId="0" applyNumberFormat="1" applyFont="1" applyFill="1" applyBorder="1" applyAlignment="1">
      <alignment horizontal="center" vertical="center"/>
    </xf>
    <xf numFmtId="9" fontId="5" fillId="0" borderId="10" xfId="2" applyFont="1" applyFill="1" applyBorder="1" applyAlignment="1">
      <alignment horizontal="center" vertical="center"/>
    </xf>
    <xf numFmtId="9" fontId="5" fillId="0" borderId="15" xfId="2" applyFont="1" applyFill="1" applyBorder="1" applyAlignment="1">
      <alignment horizontal="center" vertical="center"/>
    </xf>
    <xf numFmtId="3" fontId="5" fillId="0" borderId="10" xfId="0" applyNumberFormat="1" applyFont="1" applyFill="1" applyBorder="1" applyAlignment="1">
      <alignment horizontal="center" vertical="center" wrapText="1"/>
    </xf>
    <xf numFmtId="3" fontId="5" fillId="0" borderId="15"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3" fontId="5" fillId="0" borderId="11" xfId="0" applyNumberFormat="1" applyFont="1" applyBorder="1" applyAlignment="1">
      <alignment horizontal="center" vertical="center" wrapText="1"/>
    </xf>
    <xf numFmtId="3" fontId="5" fillId="0" borderId="13"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9" fontId="5" fillId="0" borderId="2" xfId="2" applyFont="1" applyFill="1" applyBorder="1" applyAlignment="1">
      <alignment horizontal="center" vertical="center" wrapText="1"/>
    </xf>
    <xf numFmtId="165" fontId="5" fillId="0" borderId="11" xfId="0" applyNumberFormat="1" applyFont="1" applyFill="1" applyBorder="1" applyAlignment="1">
      <alignment horizontal="center" vertical="center" wrapText="1"/>
    </xf>
    <xf numFmtId="165" fontId="5" fillId="0" borderId="13"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 fontId="9" fillId="7" borderId="20" xfId="0" applyNumberFormat="1" applyFont="1" applyFill="1" applyBorder="1" applyAlignment="1">
      <alignment horizontal="center" vertical="center" wrapText="1"/>
    </xf>
    <xf numFmtId="1" fontId="9" fillId="7" borderId="21" xfId="0" applyNumberFormat="1" applyFont="1" applyFill="1" applyBorder="1" applyAlignment="1">
      <alignment horizontal="center" vertical="center" wrapText="1"/>
    </xf>
    <xf numFmtId="1" fontId="9" fillId="7" borderId="74" xfId="0" applyNumberFormat="1" applyFont="1" applyFill="1" applyBorder="1" applyAlignment="1">
      <alignment horizontal="center" vertical="center" wrapText="1"/>
    </xf>
    <xf numFmtId="0" fontId="5" fillId="0" borderId="2" xfId="13"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0" fontId="6" fillId="0" borderId="0" xfId="0" applyFont="1" applyAlignment="1">
      <alignment horizontal="center" vertical="center"/>
    </xf>
    <xf numFmtId="169" fontId="6" fillId="0" borderId="0" xfId="0" applyNumberFormat="1" applyFont="1" applyAlignment="1">
      <alignment horizontal="justify" vertical="center"/>
    </xf>
    <xf numFmtId="0" fontId="6" fillId="0" borderId="0" xfId="0" applyFont="1" applyAlignment="1">
      <alignment horizontal="justify"/>
    </xf>
    <xf numFmtId="0" fontId="5" fillId="0" borderId="0" xfId="0" applyFont="1" applyAlignment="1">
      <alignment horizontal="justify"/>
    </xf>
    <xf numFmtId="3" fontId="5" fillId="0" borderId="35" xfId="0" applyNumberFormat="1" applyFont="1" applyBorder="1" applyAlignment="1">
      <alignment horizontal="center" vertical="center" wrapText="1"/>
    </xf>
    <xf numFmtId="3" fontId="5" fillId="0" borderId="36" xfId="0" applyNumberFormat="1" applyFont="1" applyBorder="1" applyAlignment="1">
      <alignment horizontal="center" vertical="center" wrapText="1"/>
    </xf>
    <xf numFmtId="0" fontId="5" fillId="0" borderId="26" xfId="0" applyFont="1" applyBorder="1" applyAlignment="1">
      <alignment horizontal="center" vertical="center" wrapText="1"/>
    </xf>
    <xf numFmtId="0" fontId="5" fillId="0" borderId="26" xfId="0" applyFont="1" applyBorder="1" applyAlignment="1">
      <alignment horizontal="left" vertical="center" wrapText="1"/>
    </xf>
    <xf numFmtId="0" fontId="5" fillId="0" borderId="26" xfId="0" applyFont="1" applyBorder="1" applyAlignment="1">
      <alignment horizontal="justify" vertical="center" wrapText="1"/>
    </xf>
    <xf numFmtId="9" fontId="5" fillId="0" borderId="26" xfId="2" applyFont="1" applyFill="1" applyBorder="1" applyAlignment="1">
      <alignment horizontal="center" vertical="center" wrapText="1"/>
    </xf>
    <xf numFmtId="0" fontId="14" fillId="0" borderId="11" xfId="0" applyFont="1" applyFill="1" applyBorder="1" applyAlignment="1">
      <alignment horizontal="justify" vertical="center" wrapText="1"/>
    </xf>
    <xf numFmtId="0" fontId="14" fillId="0" borderId="26" xfId="0" applyFont="1" applyFill="1" applyBorder="1" applyAlignment="1">
      <alignment horizontal="justify" vertical="center" wrapText="1"/>
    </xf>
    <xf numFmtId="9" fontId="9" fillId="0" borderId="10" xfId="2" applyFont="1" applyFill="1" applyBorder="1" applyAlignment="1">
      <alignment horizontal="center" vertical="center" wrapText="1"/>
    </xf>
    <xf numFmtId="9" fontId="9" fillId="0" borderId="15" xfId="2"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3" fontId="9" fillId="7" borderId="11" xfId="0" applyNumberFormat="1" applyFont="1" applyFill="1" applyBorder="1" applyAlignment="1">
      <alignment horizontal="center" vertical="center" wrapText="1"/>
    </xf>
    <xf numFmtId="3" fontId="9" fillId="7" borderId="13" xfId="0" applyNumberFormat="1" applyFont="1" applyFill="1" applyBorder="1" applyAlignment="1">
      <alignment horizontal="center" vertical="center" wrapText="1"/>
    </xf>
    <xf numFmtId="165" fontId="5" fillId="0" borderId="11" xfId="0" applyNumberFormat="1" applyFont="1" applyBorder="1" applyAlignment="1">
      <alignment horizontal="center" vertical="center" wrapText="1"/>
    </xf>
    <xf numFmtId="165" fontId="5" fillId="0" borderId="13" xfId="0" applyNumberFormat="1" applyFont="1" applyBorder="1" applyAlignment="1">
      <alignment horizontal="center" vertical="center" wrapText="1"/>
    </xf>
    <xf numFmtId="0" fontId="26" fillId="0" borderId="53"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0" xfId="0" applyFont="1" applyAlignment="1">
      <alignment horizontal="center" vertical="center" wrapText="1"/>
    </xf>
    <xf numFmtId="0" fontId="26" fillId="0" borderId="58" xfId="0" applyFont="1" applyBorder="1" applyAlignment="1">
      <alignment horizontal="center" vertical="center" wrapText="1"/>
    </xf>
    <xf numFmtId="0" fontId="26" fillId="0" borderId="3" xfId="0" applyFont="1" applyBorder="1" applyAlignment="1">
      <alignment horizontal="center"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1" fontId="4" fillId="3" borderId="10" xfId="0" applyNumberFormat="1" applyFont="1" applyFill="1" applyBorder="1" applyAlignment="1">
      <alignment horizontal="center" vertical="center" wrapText="1"/>
    </xf>
    <xf numFmtId="1" fontId="4" fillId="3" borderId="15"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170" fontId="4" fillId="3" borderId="4" xfId="0" applyNumberFormat="1" applyFont="1" applyFill="1" applyBorder="1" applyAlignment="1">
      <alignment horizontal="center" vertical="center" wrapText="1"/>
    </xf>
    <xf numFmtId="170" fontId="4" fillId="3" borderId="14" xfId="0" applyNumberFormat="1" applyFont="1" applyFill="1" applyBorder="1" applyAlignment="1">
      <alignment horizontal="center" vertical="center" wrapText="1"/>
    </xf>
    <xf numFmtId="43" fontId="4" fillId="3" borderId="4" xfId="1" applyFont="1" applyFill="1" applyBorder="1" applyAlignment="1">
      <alignment horizontal="center" vertical="center" wrapText="1"/>
    </xf>
    <xf numFmtId="43" fontId="4" fillId="3" borderId="14" xfId="1" applyFont="1" applyFill="1" applyBorder="1" applyAlignment="1">
      <alignment horizontal="center" vertical="center" wrapText="1"/>
    </xf>
    <xf numFmtId="0" fontId="4" fillId="3" borderId="4" xfId="0" applyFont="1" applyFill="1" applyBorder="1" applyAlignment="1">
      <alignment horizontal="justify" vertical="center" wrapText="1"/>
    </xf>
    <xf numFmtId="0" fontId="4" fillId="3" borderId="14" xfId="0" applyFont="1" applyFill="1" applyBorder="1" applyAlignment="1">
      <alignment horizontal="justify" vertical="center" wrapText="1"/>
    </xf>
    <xf numFmtId="0" fontId="4" fillId="3" borderId="7" xfId="0" applyFont="1" applyFill="1" applyBorder="1" applyAlignment="1">
      <alignment horizontal="center" vertical="center" wrapText="1"/>
    </xf>
    <xf numFmtId="0" fontId="4" fillId="3" borderId="12" xfId="0" applyFont="1" applyFill="1" applyBorder="1" applyAlignment="1">
      <alignment horizontal="center" vertical="center" wrapText="1"/>
    </xf>
    <xf numFmtId="44" fontId="4" fillId="3" borderId="4" xfId="5" applyFont="1" applyFill="1" applyBorder="1" applyAlignment="1">
      <alignment horizontal="center" vertical="center" wrapText="1"/>
    </xf>
    <xf numFmtId="44" fontId="4" fillId="3" borderId="5" xfId="5" applyFont="1" applyFill="1" applyBorder="1" applyAlignment="1">
      <alignment horizontal="center" vertical="center" wrapText="1"/>
    </xf>
    <xf numFmtId="44" fontId="4" fillId="3" borderId="10" xfId="5" applyFont="1" applyFill="1" applyBorder="1" applyAlignment="1">
      <alignment horizontal="center" vertical="center" wrapText="1"/>
    </xf>
    <xf numFmtId="44" fontId="4" fillId="3" borderId="7" xfId="5" applyFont="1" applyFill="1" applyBorder="1" applyAlignment="1">
      <alignment horizontal="center" vertical="center" wrapText="1"/>
    </xf>
    <xf numFmtId="44" fontId="4" fillId="3" borderId="3" xfId="5" applyFont="1" applyFill="1" applyBorder="1" applyAlignment="1">
      <alignment horizontal="center" vertical="center" wrapText="1"/>
    </xf>
    <xf numFmtId="44" fontId="4" fillId="3" borderId="12" xfId="5" applyFont="1" applyFill="1" applyBorder="1" applyAlignment="1">
      <alignment horizontal="center" vertical="center" wrapText="1"/>
    </xf>
    <xf numFmtId="1" fontId="4" fillId="3" borderId="11" xfId="0" applyNumberFormat="1" applyFont="1" applyFill="1" applyBorder="1" applyAlignment="1">
      <alignment horizontal="center" vertical="center" wrapText="1"/>
    </xf>
    <xf numFmtId="1" fontId="4" fillId="3" borderId="13" xfId="0" applyNumberFormat="1" applyFont="1" applyFill="1" applyBorder="1" applyAlignment="1">
      <alignment horizontal="center" vertical="center" wrapText="1"/>
    </xf>
    <xf numFmtId="1" fontId="4" fillId="3" borderId="6" xfId="0" applyNumberFormat="1" applyFont="1" applyFill="1" applyBorder="1" applyAlignment="1">
      <alignment horizontal="center" vertical="center" wrapText="1"/>
    </xf>
    <xf numFmtId="3" fontId="4" fillId="4" borderId="2" xfId="0" applyNumberFormat="1"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8" xfId="0" applyFont="1" applyFill="1" applyBorder="1" applyAlignment="1">
      <alignment horizontal="center" vertical="center" textRotation="90" wrapText="1"/>
    </xf>
    <xf numFmtId="0" fontId="4" fillId="4" borderId="1" xfId="0" applyFont="1" applyFill="1" applyBorder="1" applyAlignment="1">
      <alignment horizontal="center" vertical="center" textRotation="90" wrapText="1"/>
    </xf>
    <xf numFmtId="0" fontId="4" fillId="4" borderId="8" xfId="0" applyFont="1" applyFill="1" applyBorder="1" applyAlignment="1">
      <alignment horizontal="center" vertical="center" textRotation="90"/>
    </xf>
    <xf numFmtId="0" fontId="4" fillId="4" borderId="9" xfId="0" applyFont="1" applyFill="1" applyBorder="1" applyAlignment="1">
      <alignment horizontal="center" vertical="center" textRotation="90"/>
    </xf>
    <xf numFmtId="0" fontId="4" fillId="4" borderId="9" xfId="0" applyFont="1" applyFill="1" applyBorder="1" applyAlignment="1">
      <alignment horizontal="center" vertical="center" textRotation="90" wrapText="1"/>
    </xf>
    <xf numFmtId="171" fontId="7" fillId="5" borderId="42" xfId="10" applyFont="1" applyFill="1" applyBorder="1" applyAlignment="1">
      <alignment horizontal="center" vertical="center"/>
    </xf>
    <xf numFmtId="171" fontId="7" fillId="5" borderId="43" xfId="10" applyFont="1" applyFill="1" applyBorder="1" applyAlignment="1">
      <alignment horizontal="center" vertical="center"/>
    </xf>
    <xf numFmtId="171" fontId="7" fillId="5" borderId="44" xfId="10" applyFont="1" applyFill="1" applyBorder="1" applyAlignment="1">
      <alignment horizontal="center" vertical="center"/>
    </xf>
    <xf numFmtId="167" fontId="4" fillId="3" borderId="2" xfId="0" applyNumberFormat="1" applyFont="1" applyFill="1" applyBorder="1" applyAlignment="1">
      <alignment horizontal="center" vertical="center" wrapText="1"/>
    </xf>
    <xf numFmtId="3" fontId="4" fillId="3" borderId="11" xfId="0" applyNumberFormat="1" applyFont="1" applyFill="1" applyBorder="1" applyAlignment="1">
      <alignment horizontal="center" vertical="center" wrapText="1"/>
    </xf>
    <xf numFmtId="3" fontId="4" fillId="3" borderId="13" xfId="0" applyNumberFormat="1" applyFont="1" applyFill="1" applyBorder="1" applyAlignment="1">
      <alignment horizontal="center" vertical="center" wrapText="1"/>
    </xf>
    <xf numFmtId="3" fontId="4" fillId="3" borderId="6" xfId="0" applyNumberFormat="1" applyFont="1" applyFill="1" applyBorder="1" applyAlignment="1">
      <alignment horizontal="center" vertical="center" wrapText="1"/>
    </xf>
    <xf numFmtId="3" fontId="4" fillId="4" borderId="8" xfId="0" applyNumberFormat="1" applyFont="1" applyFill="1" applyBorder="1" applyAlignment="1">
      <alignment horizontal="center" vertical="center" textRotation="90" wrapText="1"/>
    </xf>
    <xf numFmtId="3" fontId="4" fillId="4" borderId="1" xfId="0" applyNumberFormat="1" applyFont="1" applyFill="1" applyBorder="1" applyAlignment="1">
      <alignment horizontal="center" vertical="center" textRotation="90" wrapText="1"/>
    </xf>
    <xf numFmtId="0" fontId="7" fillId="5" borderId="2" xfId="0" applyFont="1" applyFill="1" applyBorder="1" applyAlignment="1">
      <alignment horizontal="center" vertical="center" wrapText="1"/>
    </xf>
    <xf numFmtId="3" fontId="7" fillId="5"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9" fontId="7" fillId="5" borderId="2" xfId="6"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4" fillId="4" borderId="11" xfId="0" applyFont="1" applyFill="1" applyBorder="1" applyAlignment="1">
      <alignment horizontal="center" vertical="center" textRotation="90" wrapText="1"/>
    </xf>
    <xf numFmtId="0" fontId="4" fillId="4" borderId="6" xfId="0" applyFont="1" applyFill="1" applyBorder="1" applyAlignment="1">
      <alignment horizontal="center" vertical="center" textRotation="90" wrapText="1"/>
    </xf>
    <xf numFmtId="1" fontId="4" fillId="7" borderId="2" xfId="0" applyNumberFormat="1" applyFont="1" applyFill="1" applyBorder="1" applyAlignment="1">
      <alignment horizontal="center" vertical="center" wrapText="1"/>
    </xf>
    <xf numFmtId="0" fontId="4" fillId="8" borderId="8" xfId="0" applyFont="1" applyFill="1" applyBorder="1" applyAlignment="1">
      <alignment horizontal="center" vertical="center"/>
    </xf>
    <xf numFmtId="0" fontId="4" fillId="8" borderId="1" xfId="0" applyFont="1" applyFill="1" applyBorder="1" applyAlignment="1">
      <alignment horizontal="center" vertical="center"/>
    </xf>
    <xf numFmtId="0" fontId="4" fillId="7" borderId="2"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2" xfId="0" applyFont="1" applyFill="1" applyBorder="1" applyAlignment="1">
      <alignment horizontal="justify" vertical="center" wrapText="1"/>
    </xf>
    <xf numFmtId="1" fontId="9" fillId="7" borderId="2"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6" xfId="0" applyFont="1" applyFill="1" applyBorder="1" applyAlignment="1">
      <alignment horizontal="center" vertical="center" wrapText="1"/>
    </xf>
    <xf numFmtId="43" fontId="9" fillId="7" borderId="11" xfId="1" applyFont="1" applyFill="1" applyBorder="1" applyAlignment="1">
      <alignment horizontal="center" vertical="center" wrapText="1"/>
    </xf>
    <xf numFmtId="43" fontId="9" fillId="7" borderId="13" xfId="1" applyFont="1" applyFill="1" applyBorder="1" applyAlignment="1">
      <alignment horizontal="center" vertical="center" wrapText="1"/>
    </xf>
    <xf numFmtId="43" fontId="9" fillId="7" borderId="6" xfId="1" applyFont="1" applyFill="1" applyBorder="1" applyAlignment="1">
      <alignment horizontal="center" vertical="center" wrapText="1"/>
    </xf>
    <xf numFmtId="44" fontId="9" fillId="7" borderId="11" xfId="5" applyFont="1" applyFill="1" applyBorder="1" applyAlignment="1">
      <alignment horizontal="center" vertical="center" wrapText="1"/>
    </xf>
    <xf numFmtId="44" fontId="9" fillId="7" borderId="13" xfId="5" applyFont="1" applyFill="1" applyBorder="1" applyAlignment="1">
      <alignment horizontal="center" vertical="center" wrapText="1"/>
    </xf>
    <xf numFmtId="44" fontId="9" fillId="7" borderId="6" xfId="5" applyFont="1" applyFill="1" applyBorder="1" applyAlignment="1">
      <alignment horizontal="center" vertical="center" wrapText="1"/>
    </xf>
    <xf numFmtId="3" fontId="27" fillId="0" borderId="2" xfId="0" applyNumberFormat="1" applyFont="1" applyBorder="1" applyAlignment="1">
      <alignment horizontal="center" vertical="center"/>
    </xf>
    <xf numFmtId="9" fontId="9" fillId="7" borderId="2" xfId="2" applyFont="1" applyFill="1" applyBorder="1" applyAlignment="1">
      <alignment horizontal="center" vertical="center" wrapText="1"/>
    </xf>
    <xf numFmtId="43" fontId="9" fillId="7" borderId="2" xfId="1" applyFont="1" applyFill="1" applyBorder="1" applyAlignment="1">
      <alignment horizontal="center" vertical="center" wrapText="1"/>
    </xf>
    <xf numFmtId="3" fontId="9" fillId="7" borderId="11" xfId="0" applyNumberFormat="1" applyFont="1" applyFill="1" applyBorder="1" applyAlignment="1">
      <alignment horizontal="left" vertical="center" wrapText="1"/>
    </xf>
    <xf numFmtId="3" fontId="9" fillId="7" borderId="13" xfId="0" applyNumberFormat="1" applyFont="1" applyFill="1" applyBorder="1" applyAlignment="1">
      <alignment horizontal="left" vertical="center" wrapText="1"/>
    </xf>
    <xf numFmtId="3" fontId="9" fillId="7" borderId="6" xfId="0" applyNumberFormat="1" applyFont="1" applyFill="1" applyBorder="1" applyAlignment="1">
      <alignment horizontal="left" vertical="center" wrapText="1"/>
    </xf>
    <xf numFmtId="0" fontId="9" fillId="0" borderId="2" xfId="0" applyFont="1" applyBorder="1" applyAlignment="1">
      <alignment horizontal="justify" vertical="center" wrapText="1"/>
    </xf>
    <xf numFmtId="3" fontId="23" fillId="7" borderId="2" xfId="0" applyNumberFormat="1" applyFont="1" applyFill="1" applyBorder="1" applyAlignment="1">
      <alignment horizontal="center" vertical="center" wrapText="1"/>
    </xf>
    <xf numFmtId="43" fontId="9" fillId="0" borderId="11" xfId="1" applyFont="1" applyFill="1" applyBorder="1" applyAlignment="1">
      <alignment horizontal="center" vertical="center" wrapText="1"/>
    </xf>
    <xf numFmtId="43" fontId="9" fillId="0" borderId="6" xfId="1" applyFont="1" applyFill="1" applyBorder="1" applyAlignment="1">
      <alignment horizontal="center" vertical="center" wrapText="1"/>
    </xf>
    <xf numFmtId="44" fontId="9" fillId="0" borderId="11" xfId="5" applyFont="1" applyFill="1" applyBorder="1" applyAlignment="1">
      <alignment horizontal="center" vertical="center" wrapText="1"/>
    </xf>
    <xf numFmtId="44" fontId="9" fillId="0" borderId="6" xfId="5" applyFont="1" applyFill="1" applyBorder="1" applyAlignment="1">
      <alignment horizontal="center" vertical="center" wrapText="1"/>
    </xf>
    <xf numFmtId="3" fontId="27" fillId="0" borderId="11" xfId="0" applyNumberFormat="1" applyFont="1" applyBorder="1" applyAlignment="1">
      <alignment horizontal="center" vertical="center"/>
    </xf>
    <xf numFmtId="3" fontId="27" fillId="0" borderId="13" xfId="0" applyNumberFormat="1" applyFont="1" applyBorder="1" applyAlignment="1">
      <alignment horizontal="center" vertical="center"/>
    </xf>
    <xf numFmtId="3" fontId="27" fillId="0" borderId="6" xfId="0" applyNumberFormat="1" applyFont="1" applyBorder="1" applyAlignment="1">
      <alignment horizontal="center" vertical="center"/>
    </xf>
    <xf numFmtId="9" fontId="27" fillId="0" borderId="11" xfId="2" applyFont="1" applyBorder="1" applyAlignment="1">
      <alignment horizontal="center" vertical="center"/>
    </xf>
    <xf numFmtId="9" fontId="27" fillId="0" borderId="13" xfId="2" applyFont="1" applyBorder="1" applyAlignment="1">
      <alignment horizontal="center" vertical="center"/>
    </xf>
    <xf numFmtId="9" fontId="27" fillId="0" borderId="6" xfId="2" applyFont="1" applyBorder="1" applyAlignment="1">
      <alignment horizontal="center" vertical="center"/>
    </xf>
    <xf numFmtId="3" fontId="27" fillId="0" borderId="11" xfId="0" applyNumberFormat="1" applyFont="1" applyBorder="1" applyAlignment="1">
      <alignment horizontal="center" vertical="center" wrapText="1"/>
    </xf>
    <xf numFmtId="3" fontId="27" fillId="0" borderId="13" xfId="0" applyNumberFormat="1" applyFont="1" applyBorder="1" applyAlignment="1">
      <alignment horizontal="center" vertical="center" wrapText="1"/>
    </xf>
    <xf numFmtId="3" fontId="27" fillId="0" borderId="6" xfId="0" applyNumberFormat="1" applyFont="1" applyBorder="1" applyAlignment="1">
      <alignment horizontal="center" vertical="center" wrapText="1"/>
    </xf>
    <xf numFmtId="3" fontId="9" fillId="0" borderId="11" xfId="15" applyNumberFormat="1" applyFont="1" applyBorder="1" applyAlignment="1">
      <alignment horizontal="center" vertical="center" wrapText="1"/>
    </xf>
    <xf numFmtId="3" fontId="9" fillId="0" borderId="13" xfId="15" applyNumberFormat="1" applyFont="1" applyBorder="1" applyAlignment="1">
      <alignment horizontal="center" vertical="center" wrapText="1"/>
    </xf>
    <xf numFmtId="3" fontId="9" fillId="0" borderId="6" xfId="15" applyNumberFormat="1" applyFont="1" applyBorder="1" applyAlignment="1">
      <alignment horizontal="center" vertical="center" wrapText="1"/>
    </xf>
    <xf numFmtId="14" fontId="27" fillId="0" borderId="2" xfId="0" applyNumberFormat="1" applyFont="1" applyBorder="1" applyAlignment="1">
      <alignment horizontal="center" vertical="center"/>
    </xf>
    <xf numFmtId="49" fontId="27" fillId="0" borderId="11" xfId="0" applyNumberFormat="1" applyFont="1" applyBorder="1" applyAlignment="1">
      <alignment horizontal="center" vertical="center"/>
    </xf>
    <xf numFmtId="49" fontId="27" fillId="0" borderId="13" xfId="0" applyNumberFormat="1" applyFont="1" applyBorder="1" applyAlignment="1">
      <alignment horizontal="center" vertical="center"/>
    </xf>
    <xf numFmtId="49" fontId="27" fillId="0" borderId="6" xfId="0" applyNumberFormat="1" applyFont="1" applyBorder="1" applyAlignment="1">
      <alignment horizontal="center" vertical="center"/>
    </xf>
    <xf numFmtId="9" fontId="9" fillId="7" borderId="2" xfId="0" applyNumberFormat="1" applyFont="1" applyFill="1" applyBorder="1" applyAlignment="1">
      <alignment horizontal="center" vertical="center" wrapText="1"/>
    </xf>
    <xf numFmtId="14" fontId="27" fillId="0" borderId="11" xfId="0" applyNumberFormat="1" applyFont="1" applyBorder="1" applyAlignment="1">
      <alignment horizontal="center" vertical="center"/>
    </xf>
    <xf numFmtId="14" fontId="27" fillId="0" borderId="6" xfId="0" applyNumberFormat="1" applyFont="1" applyBorder="1" applyAlignment="1">
      <alignment horizontal="center" vertical="center"/>
    </xf>
    <xf numFmtId="9" fontId="9" fillId="7" borderId="11" xfId="2" applyFont="1" applyFill="1" applyBorder="1" applyAlignment="1">
      <alignment horizontal="center" vertical="center" wrapText="1"/>
    </xf>
    <xf numFmtId="9" fontId="9" fillId="7" borderId="6" xfId="2" applyFont="1" applyFill="1" applyBorder="1" applyAlignment="1">
      <alignment horizontal="center" vertical="center" wrapText="1"/>
    </xf>
    <xf numFmtId="0" fontId="0" fillId="0" borderId="6" xfId="0" applyBorder="1" applyAlignment="1">
      <alignment horizontal="center" vertical="center" wrapText="1"/>
    </xf>
    <xf numFmtId="9" fontId="27" fillId="0" borderId="11" xfId="2" applyFont="1" applyBorder="1" applyAlignment="1">
      <alignment horizontal="center" vertical="center" wrapText="1"/>
    </xf>
    <xf numFmtId="9" fontId="27" fillId="0" borderId="6" xfId="2" applyFont="1" applyBorder="1" applyAlignment="1">
      <alignment horizontal="center" vertical="center" wrapText="1"/>
    </xf>
    <xf numFmtId="0" fontId="7" fillId="8" borderId="9" xfId="0" applyFont="1" applyFill="1" applyBorder="1" applyAlignment="1">
      <alignment horizontal="left" vertical="center"/>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0" xfId="0" applyFont="1" applyFill="1" applyAlignment="1">
      <alignment horizontal="center" vertical="center" wrapText="1"/>
    </xf>
    <xf numFmtId="0" fontId="9" fillId="7" borderId="15" xfId="0" applyFont="1" applyFill="1" applyBorder="1" applyAlignment="1">
      <alignment horizontal="center" vertical="center" wrapText="1"/>
    </xf>
    <xf numFmtId="1" fontId="9" fillId="7" borderId="11" xfId="0" applyNumberFormat="1" applyFont="1" applyFill="1" applyBorder="1" applyAlignment="1">
      <alignment horizontal="center" vertical="center" wrapText="1"/>
    </xf>
    <xf numFmtId="1" fontId="9" fillId="7" borderId="13" xfId="0" applyNumberFormat="1" applyFont="1" applyFill="1" applyBorder="1" applyAlignment="1">
      <alignment horizontal="center" vertical="center" wrapText="1"/>
    </xf>
    <xf numFmtId="0" fontId="9" fillId="7" borderId="11" xfId="0" applyFont="1" applyFill="1" applyBorder="1" applyAlignment="1">
      <alignment horizontal="justify" vertical="center" wrapText="1"/>
    </xf>
    <xf numFmtId="0" fontId="9" fillId="7" borderId="13" xfId="0" applyFont="1" applyFill="1" applyBorder="1" applyAlignment="1">
      <alignment horizontal="justify" vertical="center" wrapText="1"/>
    </xf>
    <xf numFmtId="0" fontId="9" fillId="7" borderId="4" xfId="0" applyFont="1" applyFill="1" applyBorder="1" applyAlignment="1">
      <alignment horizontal="justify" vertical="center" wrapText="1"/>
    </xf>
    <xf numFmtId="0" fontId="9" fillId="7" borderId="14" xfId="0" applyFont="1" applyFill="1" applyBorder="1" applyAlignment="1">
      <alignment horizontal="justify" vertical="center" wrapText="1"/>
    </xf>
    <xf numFmtId="3" fontId="9" fillId="0" borderId="10" xfId="15" applyNumberFormat="1" applyFont="1" applyBorder="1" applyAlignment="1">
      <alignment horizontal="center" vertical="center"/>
    </xf>
    <xf numFmtId="3" fontId="9" fillId="0" borderId="15" xfId="15" applyNumberFormat="1" applyFont="1" applyBorder="1" applyAlignment="1">
      <alignment horizontal="center" vertical="center"/>
    </xf>
    <xf numFmtId="3" fontId="9" fillId="0" borderId="11" xfId="15" applyNumberFormat="1" applyFont="1" applyBorder="1" applyAlignment="1">
      <alignment horizontal="center" vertical="center"/>
    </xf>
    <xf numFmtId="3" fontId="9" fillId="0" borderId="13" xfId="15" applyNumberFormat="1" applyFont="1" applyBorder="1" applyAlignment="1">
      <alignment horizontal="center" vertical="center"/>
    </xf>
    <xf numFmtId="0" fontId="9" fillId="0" borderId="2" xfId="0" applyFont="1" applyBorder="1" applyAlignment="1">
      <alignment horizontal="left" vertical="center" wrapText="1"/>
    </xf>
    <xf numFmtId="9" fontId="9" fillId="7" borderId="13" xfId="2" applyFont="1" applyFill="1" applyBorder="1" applyAlignment="1">
      <alignment horizontal="center" vertical="center" wrapText="1"/>
    </xf>
    <xf numFmtId="180" fontId="9" fillId="0" borderId="11" xfId="0" applyNumberFormat="1" applyFont="1" applyBorder="1" applyAlignment="1">
      <alignment horizontal="center" vertical="center" wrapText="1"/>
    </xf>
    <xf numFmtId="180" fontId="9" fillId="0" borderId="13" xfId="0" applyNumberFormat="1" applyFont="1" applyBorder="1" applyAlignment="1">
      <alignment horizontal="center" vertical="center" wrapText="1"/>
    </xf>
    <xf numFmtId="0" fontId="9" fillId="0" borderId="2" xfId="0" applyFont="1" applyFill="1" applyBorder="1" applyAlignment="1">
      <alignment horizontal="center" vertical="center" wrapText="1"/>
    </xf>
    <xf numFmtId="9" fontId="9" fillId="0" borderId="2" xfId="2" applyFont="1" applyBorder="1" applyAlignment="1">
      <alignment horizontal="center" vertical="center"/>
    </xf>
    <xf numFmtId="0" fontId="9" fillId="0" borderId="2" xfId="15" applyNumberFormat="1" applyFont="1" applyBorder="1" applyAlignment="1">
      <alignment horizontal="center" vertical="center" wrapText="1"/>
    </xf>
    <xf numFmtId="0" fontId="9" fillId="0" borderId="2" xfId="15" applyNumberFormat="1" applyFont="1" applyBorder="1" applyAlignment="1">
      <alignment horizontal="center" vertical="center"/>
    </xf>
    <xf numFmtId="3" fontId="9" fillId="0" borderId="2" xfId="15" applyNumberFormat="1" applyFont="1" applyBorder="1" applyAlignment="1">
      <alignment horizontal="center" vertical="center" wrapText="1"/>
    </xf>
    <xf numFmtId="3" fontId="9" fillId="0" borderId="2" xfId="15" applyNumberFormat="1" applyFont="1" applyBorder="1" applyAlignment="1">
      <alignment horizontal="center" vertical="center"/>
    </xf>
    <xf numFmtId="180" fontId="9" fillId="0" borderId="2" xfId="0" applyNumberFormat="1" applyFont="1" applyBorder="1" applyAlignment="1">
      <alignment horizontal="center" vertical="center" wrapText="1"/>
    </xf>
    <xf numFmtId="0" fontId="9" fillId="7" borderId="8" xfId="0" applyFont="1" applyFill="1" applyBorder="1" applyAlignment="1">
      <alignment horizontal="center" vertical="center" wrapText="1"/>
    </xf>
    <xf numFmtId="0" fontId="9" fillId="0" borderId="13" xfId="0" applyFont="1" applyBorder="1" applyAlignment="1">
      <alignment horizontal="justify" vertical="center" wrapText="1"/>
    </xf>
    <xf numFmtId="0" fontId="9" fillId="7" borderId="6" xfId="0" applyFont="1" applyFill="1" applyBorder="1" applyAlignment="1">
      <alignment horizontal="justify" vertical="center" wrapText="1"/>
    </xf>
    <xf numFmtId="1" fontId="9" fillId="0" borderId="13"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3" fontId="9" fillId="0" borderId="11"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3" fontId="9" fillId="0" borderId="15" xfId="0" applyNumberFormat="1" applyFont="1" applyBorder="1" applyAlignment="1">
      <alignment horizontal="center" vertical="center" wrapText="1"/>
    </xf>
    <xf numFmtId="3" fontId="9" fillId="0" borderId="6" xfId="0" applyNumberFormat="1" applyFont="1" applyBorder="1" applyAlignment="1">
      <alignment horizontal="center" vertical="center" wrapText="1"/>
    </xf>
    <xf numFmtId="0" fontId="9" fillId="0" borderId="11"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6" xfId="0" applyFont="1" applyBorder="1" applyAlignment="1">
      <alignment horizontal="center" vertical="center" wrapText="1"/>
    </xf>
    <xf numFmtId="10" fontId="9" fillId="7" borderId="11" xfId="2" applyNumberFormat="1" applyFont="1" applyFill="1" applyBorder="1" applyAlignment="1">
      <alignment horizontal="center" vertical="center" wrapText="1"/>
    </xf>
    <xf numFmtId="10" fontId="9" fillId="7" borderId="13" xfId="2" applyNumberFormat="1" applyFont="1" applyFill="1" applyBorder="1" applyAlignment="1">
      <alignment horizontal="center" vertical="center" wrapText="1"/>
    </xf>
    <xf numFmtId="43" fontId="9" fillId="7" borderId="15" xfId="1" applyFont="1" applyFill="1" applyBorder="1" applyAlignment="1">
      <alignment horizontal="center" vertical="center" wrapText="1"/>
    </xf>
    <xf numFmtId="10" fontId="9" fillId="7" borderId="16" xfId="2" applyNumberFormat="1" applyFont="1" applyFill="1" applyBorder="1" applyAlignment="1">
      <alignment horizontal="center" vertical="center" wrapText="1"/>
    </xf>
    <xf numFmtId="10" fontId="9" fillId="7" borderId="6" xfId="2" applyNumberFormat="1" applyFont="1" applyFill="1" applyBorder="1" applyAlignment="1">
      <alignment horizontal="center" vertical="center" wrapText="1"/>
    </xf>
    <xf numFmtId="1" fontId="9" fillId="0" borderId="11" xfId="0" applyNumberFormat="1" applyFont="1" applyBorder="1" applyAlignment="1">
      <alignment horizontal="center" vertical="center" wrapText="1"/>
    </xf>
    <xf numFmtId="1" fontId="9" fillId="0" borderId="13" xfId="0" applyNumberFormat="1" applyFont="1" applyBorder="1" applyAlignment="1">
      <alignment horizontal="center" vertical="center" wrapText="1"/>
    </xf>
    <xf numFmtId="0" fontId="9" fillId="7" borderId="11" xfId="0" applyFont="1" applyFill="1" applyBorder="1" applyAlignment="1">
      <alignment horizontal="left" vertical="center" wrapText="1"/>
    </xf>
    <xf numFmtId="0" fontId="9" fillId="7" borderId="6" xfId="0" applyFont="1" applyFill="1" applyBorder="1" applyAlignment="1">
      <alignment horizontal="left" vertical="center" wrapText="1"/>
    </xf>
    <xf numFmtId="10" fontId="9" fillId="0" borderId="11" xfId="2" applyNumberFormat="1" applyFont="1" applyBorder="1" applyAlignment="1">
      <alignment horizontal="center" vertical="center" wrapText="1"/>
    </xf>
    <xf numFmtId="10" fontId="9" fillId="0" borderId="13" xfId="2" applyNumberFormat="1" applyFont="1" applyBorder="1" applyAlignment="1">
      <alignment horizontal="center" vertical="center" wrapText="1"/>
    </xf>
    <xf numFmtId="1" fontId="9" fillId="0" borderId="11" xfId="0" applyNumberFormat="1" applyFont="1" applyFill="1" applyBorder="1" applyAlignment="1">
      <alignment horizontal="center" vertical="center" wrapText="1"/>
    </xf>
    <xf numFmtId="9" fontId="9" fillId="0" borderId="11" xfId="2" applyFont="1" applyBorder="1" applyAlignment="1">
      <alignment horizontal="center" vertical="center" wrapText="1"/>
    </xf>
    <xf numFmtId="9" fontId="9" fillId="0" borderId="13" xfId="2" applyFont="1" applyBorder="1" applyAlignment="1">
      <alignment horizontal="center" vertical="center" wrapText="1"/>
    </xf>
    <xf numFmtId="9" fontId="9" fillId="0" borderId="6" xfId="2" applyFont="1" applyBorder="1" applyAlignment="1">
      <alignment horizontal="center" vertical="center" wrapText="1"/>
    </xf>
    <xf numFmtId="1" fontId="9" fillId="0" borderId="6" xfId="0" applyNumberFormat="1" applyFont="1" applyBorder="1" applyAlignment="1">
      <alignment horizontal="center" vertical="center" wrapText="1"/>
    </xf>
    <xf numFmtId="3" fontId="9" fillId="0" borderId="6" xfId="15" applyNumberFormat="1" applyFont="1" applyBorder="1" applyAlignment="1">
      <alignment horizontal="center" vertical="center"/>
    </xf>
    <xf numFmtId="167" fontId="23" fillId="0" borderId="11" xfId="0" applyNumberFormat="1" applyFont="1" applyFill="1" applyBorder="1" applyAlignment="1">
      <alignment horizontal="center" vertical="center"/>
    </xf>
    <xf numFmtId="167" fontId="23" fillId="0" borderId="13" xfId="0" applyNumberFormat="1" applyFont="1" applyFill="1" applyBorder="1" applyAlignment="1">
      <alignment horizontal="center" vertical="center"/>
    </xf>
    <xf numFmtId="167" fontId="23" fillId="0" borderId="6" xfId="0" applyNumberFormat="1" applyFont="1" applyFill="1" applyBorder="1" applyAlignment="1">
      <alignment horizontal="center" vertical="center"/>
    </xf>
    <xf numFmtId="14" fontId="23" fillId="0" borderId="11" xfId="0" applyNumberFormat="1" applyFont="1" applyBorder="1" applyAlignment="1">
      <alignment horizontal="center" vertical="center"/>
    </xf>
    <xf numFmtId="14" fontId="23" fillId="0" borderId="13" xfId="0" applyNumberFormat="1" applyFont="1" applyBorder="1" applyAlignment="1">
      <alignment horizontal="center" vertical="center"/>
    </xf>
    <xf numFmtId="14" fontId="23" fillId="0" borderId="6" xfId="0" applyNumberFormat="1" applyFont="1" applyBorder="1" applyAlignment="1">
      <alignment horizontal="center" vertical="center"/>
    </xf>
    <xf numFmtId="167" fontId="23" fillId="0" borderId="2" xfId="0" applyNumberFormat="1" applyFont="1" applyFill="1" applyBorder="1" applyAlignment="1">
      <alignment horizontal="center" vertical="center" wrapText="1"/>
    </xf>
    <xf numFmtId="0" fontId="25" fillId="0" borderId="2" xfId="0" applyFont="1" applyBorder="1" applyAlignment="1">
      <alignment horizontal="center" vertical="center"/>
    </xf>
    <xf numFmtId="0" fontId="23" fillId="0" borderId="2" xfId="0" applyFont="1" applyBorder="1" applyAlignment="1">
      <alignment horizontal="center" vertical="center"/>
    </xf>
    <xf numFmtId="43" fontId="23" fillId="0" borderId="11" xfId="1" applyFont="1" applyBorder="1" applyAlignment="1">
      <alignment horizontal="center" vertical="center"/>
    </xf>
    <xf numFmtId="43" fontId="23" fillId="0" borderId="13" xfId="1" applyFont="1" applyBorder="1" applyAlignment="1">
      <alignment horizontal="center" vertical="center"/>
    </xf>
    <xf numFmtId="43" fontId="23" fillId="0" borderId="6" xfId="1" applyFont="1" applyBorder="1" applyAlignment="1">
      <alignment horizontal="center" vertical="center"/>
    </xf>
    <xf numFmtId="9" fontId="23" fillId="0" borderId="11" xfId="0" applyNumberFormat="1" applyFont="1" applyBorder="1" applyAlignment="1">
      <alignment horizontal="center" vertical="center"/>
    </xf>
    <xf numFmtId="9" fontId="23" fillId="0" borderId="13" xfId="0" applyNumberFormat="1" applyFont="1" applyBorder="1" applyAlignment="1">
      <alignment horizontal="center" vertical="center"/>
    </xf>
    <xf numFmtId="9" fontId="23" fillId="0" borderId="6" xfId="0" applyNumberFormat="1" applyFont="1" applyBorder="1" applyAlignment="1">
      <alignment horizontal="center" vertical="center"/>
    </xf>
    <xf numFmtId="3" fontId="23" fillId="0" borderId="11" xfId="0" applyNumberFormat="1" applyFont="1" applyBorder="1" applyAlignment="1">
      <alignment horizontal="center" vertical="center"/>
    </xf>
    <xf numFmtId="3" fontId="23" fillId="0" borderId="13" xfId="0" applyNumberFormat="1" applyFont="1" applyBorder="1" applyAlignment="1">
      <alignment horizontal="center" vertical="center"/>
    </xf>
    <xf numFmtId="3" fontId="23" fillId="0" borderId="6" xfId="0" applyNumberFormat="1"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6" xfId="0" applyFont="1" applyBorder="1" applyAlignment="1">
      <alignment horizontal="center" vertical="center"/>
    </xf>
    <xf numFmtId="0" fontId="23" fillId="0" borderId="2" xfId="0" applyFont="1" applyFill="1" applyBorder="1" applyAlignment="1">
      <alignment horizontal="center" vertical="center"/>
    </xf>
    <xf numFmtId="0" fontId="25" fillId="0" borderId="2"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6" xfId="0" applyFont="1" applyFill="1" applyBorder="1" applyAlignment="1">
      <alignment horizontal="center" vertical="center"/>
    </xf>
    <xf numFmtId="9" fontId="23" fillId="7" borderId="13" xfId="2" applyFont="1" applyFill="1" applyBorder="1" applyAlignment="1">
      <alignment horizontal="center" vertical="center"/>
    </xf>
    <xf numFmtId="9" fontId="23" fillId="7" borderId="6" xfId="2" applyFont="1" applyFill="1" applyBorder="1" applyAlignment="1">
      <alignment horizontal="center" vertical="center"/>
    </xf>
    <xf numFmtId="43" fontId="23" fillId="7" borderId="13" xfId="1" applyFont="1" applyFill="1" applyBorder="1" applyAlignment="1">
      <alignment horizontal="center" vertical="center"/>
    </xf>
    <xf numFmtId="43" fontId="23" fillId="7" borderId="6" xfId="1" applyFont="1" applyFill="1" applyBorder="1" applyAlignment="1">
      <alignment horizontal="center" vertical="center"/>
    </xf>
    <xf numFmtId="171" fontId="23" fillId="7" borderId="13" xfId="10" applyFont="1" applyFill="1" applyBorder="1" applyAlignment="1">
      <alignment horizontal="justify" vertical="center" wrapText="1"/>
    </xf>
    <xf numFmtId="171" fontId="23" fillId="7" borderId="6" xfId="10" applyFont="1" applyFill="1" applyBorder="1" applyAlignment="1">
      <alignment horizontal="justify" vertical="center" wrapText="1"/>
    </xf>
    <xf numFmtId="171" fontId="23" fillId="7" borderId="14" xfId="10" applyFont="1" applyFill="1" applyBorder="1" applyAlignment="1">
      <alignment horizontal="justify" vertical="center" wrapText="1"/>
    </xf>
    <xf numFmtId="171" fontId="23" fillId="7" borderId="7" xfId="10" applyFont="1" applyFill="1" applyBorder="1" applyAlignment="1">
      <alignment horizontal="justify" vertical="center" wrapText="1"/>
    </xf>
    <xf numFmtId="0" fontId="23" fillId="0" borderId="1" xfId="0" applyFont="1" applyFill="1" applyBorder="1" applyAlignment="1">
      <alignment horizontal="center" vertical="center"/>
    </xf>
    <xf numFmtId="0" fontId="25" fillId="0" borderId="1" xfId="0" applyFont="1" applyFill="1" applyBorder="1" applyAlignment="1">
      <alignment horizontal="center" vertical="center"/>
    </xf>
    <xf numFmtId="3" fontId="23" fillId="0" borderId="13" xfId="10" applyNumberFormat="1" applyFont="1" applyBorder="1" applyAlignment="1">
      <alignment horizontal="center" vertical="center"/>
    </xf>
    <xf numFmtId="3" fontId="23" fillId="0" borderId="6" xfId="10" applyNumberFormat="1" applyFont="1" applyBorder="1" applyAlignment="1">
      <alignment horizontal="center" vertical="center"/>
    </xf>
    <xf numFmtId="3" fontId="23" fillId="7" borderId="13" xfId="10" applyNumberFormat="1" applyFont="1" applyFill="1" applyBorder="1" applyAlignment="1">
      <alignment horizontal="center" vertical="center"/>
    </xf>
    <xf numFmtId="3" fontId="23" fillId="7" borderId="6" xfId="10" applyNumberFormat="1" applyFont="1" applyFill="1" applyBorder="1" applyAlignment="1">
      <alignment horizontal="center" vertical="center"/>
    </xf>
    <xf numFmtId="4" fontId="23" fillId="7" borderId="11" xfId="10" applyNumberFormat="1" applyFont="1" applyFill="1" applyBorder="1" applyAlignment="1">
      <alignment horizontal="center" vertical="center"/>
    </xf>
    <xf numFmtId="4" fontId="23" fillId="7" borderId="13" xfId="10" applyNumberFormat="1" applyFont="1" applyFill="1" applyBorder="1" applyAlignment="1">
      <alignment horizontal="center" vertical="center"/>
    </xf>
    <xf numFmtId="4" fontId="23" fillId="7" borderId="6" xfId="10" applyNumberFormat="1" applyFont="1" applyFill="1" applyBorder="1" applyAlignment="1">
      <alignment horizontal="center" vertical="center"/>
    </xf>
    <xf numFmtId="171" fontId="23" fillId="7" borderId="13" xfId="10" applyFont="1" applyFill="1" applyBorder="1" applyAlignment="1">
      <alignment horizontal="center" vertical="center"/>
    </xf>
    <xf numFmtId="171" fontId="23" fillId="7" borderId="6" xfId="10" applyFont="1" applyFill="1" applyBorder="1" applyAlignment="1">
      <alignment horizontal="center" vertical="center"/>
    </xf>
    <xf numFmtId="49" fontId="23" fillId="0" borderId="13" xfId="10" applyNumberFormat="1" applyFont="1" applyFill="1" applyBorder="1" applyAlignment="1">
      <alignment horizontal="center" vertical="center" wrapText="1"/>
    </xf>
    <xf numFmtId="49" fontId="23" fillId="0" borderId="6" xfId="10" applyNumberFormat="1" applyFont="1" applyFill="1" applyBorder="1" applyAlignment="1">
      <alignment horizontal="center" vertical="center" wrapText="1"/>
    </xf>
    <xf numFmtId="3" fontId="23" fillId="0" borderId="2" xfId="0" applyNumberFormat="1" applyFont="1" applyBorder="1" applyAlignment="1">
      <alignment horizontal="center" vertical="center"/>
    </xf>
    <xf numFmtId="3" fontId="25" fillId="0" borderId="2" xfId="0" applyNumberFormat="1" applyFont="1" applyBorder="1" applyAlignment="1">
      <alignment horizontal="center" vertical="center"/>
    </xf>
    <xf numFmtId="171" fontId="23" fillId="7" borderId="2" xfId="10" applyFont="1" applyFill="1" applyBorder="1" applyAlignment="1">
      <alignment horizontal="justify" vertical="center" wrapText="1"/>
    </xf>
    <xf numFmtId="3" fontId="23" fillId="0" borderId="1" xfId="0" applyNumberFormat="1" applyFont="1" applyBorder="1" applyAlignment="1">
      <alignment horizontal="center" vertical="center"/>
    </xf>
    <xf numFmtId="3" fontId="25" fillId="0" borderId="1" xfId="0" applyNumberFormat="1" applyFont="1" applyBorder="1" applyAlignment="1">
      <alignment horizontal="center" vertical="center"/>
    </xf>
    <xf numFmtId="171" fontId="23" fillId="7" borderId="15" xfId="10" applyFont="1" applyFill="1" applyBorder="1" applyAlignment="1">
      <alignment horizontal="center" vertical="center"/>
    </xf>
    <xf numFmtId="9" fontId="23" fillId="7" borderId="2" xfId="2" applyFont="1" applyFill="1" applyBorder="1" applyAlignment="1">
      <alignment horizontal="center" vertical="center"/>
    </xf>
    <xf numFmtId="43" fontId="23" fillId="7" borderId="2" xfId="1" applyFont="1" applyFill="1" applyBorder="1" applyAlignment="1">
      <alignment horizontal="center" vertical="center"/>
    </xf>
    <xf numFmtId="0" fontId="23" fillId="0" borderId="2" xfId="0" applyFont="1" applyBorder="1" applyAlignment="1">
      <alignment horizontal="center"/>
    </xf>
    <xf numFmtId="3" fontId="23" fillId="7" borderId="2" xfId="10" applyNumberFormat="1" applyFont="1" applyFill="1" applyBorder="1" applyAlignment="1">
      <alignment horizontal="center" vertical="center"/>
    </xf>
    <xf numFmtId="3" fontId="23" fillId="7" borderId="11" xfId="10" applyNumberFormat="1" applyFont="1" applyFill="1" applyBorder="1" applyAlignment="1">
      <alignment horizontal="center" vertical="center"/>
    </xf>
    <xf numFmtId="171" fontId="23" fillId="7" borderId="11" xfId="10" applyFont="1" applyFill="1" applyBorder="1" applyAlignment="1">
      <alignment horizontal="justify" vertical="center" wrapText="1"/>
    </xf>
    <xf numFmtId="1" fontId="4" fillId="7" borderId="4" xfId="10" applyNumberFormat="1" applyFont="1" applyFill="1" applyBorder="1" applyAlignment="1">
      <alignment horizontal="center" vertical="center" wrapText="1"/>
    </xf>
    <xf numFmtId="1" fontId="4" fillId="7" borderId="5" xfId="10" applyNumberFormat="1" applyFont="1" applyFill="1" applyBorder="1" applyAlignment="1">
      <alignment horizontal="center" vertical="center" wrapText="1"/>
    </xf>
    <xf numFmtId="1" fontId="4" fillId="7" borderId="14" xfId="10" applyNumberFormat="1" applyFont="1" applyFill="1" applyBorder="1" applyAlignment="1">
      <alignment horizontal="center" vertical="center" wrapText="1"/>
    </xf>
    <xf numFmtId="1" fontId="4" fillId="7" borderId="0" xfId="10" applyNumberFormat="1" applyFont="1" applyFill="1" applyBorder="1" applyAlignment="1">
      <alignment horizontal="center" vertical="center" wrapText="1"/>
    </xf>
    <xf numFmtId="1" fontId="4" fillId="7" borderId="7" xfId="10" applyNumberFormat="1" applyFont="1" applyFill="1" applyBorder="1" applyAlignment="1">
      <alignment horizontal="center" vertical="center" wrapText="1"/>
    </xf>
    <xf numFmtId="1" fontId="4" fillId="7" borderId="3" xfId="10" applyNumberFormat="1" applyFont="1" applyFill="1" applyBorder="1" applyAlignment="1">
      <alignment horizontal="center" vertical="center" wrapText="1"/>
    </xf>
    <xf numFmtId="171" fontId="23" fillId="7" borderId="11" xfId="10" applyFont="1" applyFill="1" applyBorder="1" applyAlignment="1">
      <alignment horizontal="justify" vertical="center" wrapText="1" shrinkToFit="1"/>
    </xf>
    <xf numFmtId="171" fontId="23" fillId="7" borderId="13" xfId="10" applyFont="1" applyFill="1" applyBorder="1" applyAlignment="1">
      <alignment horizontal="justify" vertical="center" wrapText="1" shrinkToFit="1"/>
    </xf>
    <xf numFmtId="171" fontId="23" fillId="7" borderId="6" xfId="10" applyFont="1" applyFill="1" applyBorder="1" applyAlignment="1">
      <alignment horizontal="justify" vertical="center" wrapText="1" shrinkToFit="1"/>
    </xf>
    <xf numFmtId="195" fontId="23" fillId="7" borderId="11" xfId="10" applyNumberFormat="1" applyFont="1" applyFill="1" applyBorder="1" applyAlignment="1">
      <alignment horizontal="center" vertical="center"/>
    </xf>
    <xf numFmtId="195" fontId="23" fillId="7" borderId="13" xfId="10" applyNumberFormat="1" applyFont="1" applyFill="1" applyBorder="1" applyAlignment="1">
      <alignment horizontal="center" vertical="center"/>
    </xf>
    <xf numFmtId="195" fontId="23" fillId="7" borderId="6" xfId="10" applyNumberFormat="1" applyFont="1" applyFill="1" applyBorder="1" applyAlignment="1">
      <alignment horizontal="center" vertical="center"/>
    </xf>
    <xf numFmtId="4" fontId="23" fillId="7" borderId="2" xfId="10" applyNumberFormat="1" applyFont="1" applyFill="1" applyBorder="1" applyAlignment="1">
      <alignment horizontal="center" vertical="center"/>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23" fillId="7" borderId="14" xfId="0" applyFont="1" applyFill="1" applyBorder="1" applyAlignment="1">
      <alignment horizontal="center" vertical="center" wrapText="1"/>
    </xf>
    <xf numFmtId="3" fontId="23" fillId="0" borderId="11" xfId="0" applyNumberFormat="1" applyFont="1" applyBorder="1" applyAlignment="1">
      <alignment horizontal="center" vertical="center" wrapText="1"/>
    </xf>
    <xf numFmtId="14" fontId="25" fillId="0" borderId="11" xfId="0" applyNumberFormat="1" applyFont="1" applyBorder="1" applyAlignment="1">
      <alignment horizontal="center" vertical="center"/>
    </xf>
    <xf numFmtId="14" fontId="25" fillId="0" borderId="13" xfId="0" applyNumberFormat="1" applyFont="1" applyBorder="1" applyAlignment="1">
      <alignment horizontal="center" vertical="center"/>
    </xf>
    <xf numFmtId="3" fontId="23" fillId="0" borderId="2" xfId="0" applyNumberFormat="1" applyFont="1" applyBorder="1" applyAlignment="1">
      <alignment vertical="center"/>
    </xf>
    <xf numFmtId="3" fontId="25" fillId="0" borderId="2" xfId="0" applyNumberFormat="1" applyFont="1" applyBorder="1" applyAlignment="1">
      <alignment vertical="center"/>
    </xf>
    <xf numFmtId="3" fontId="25" fillId="0" borderId="11" xfId="0" applyNumberFormat="1" applyFont="1" applyBorder="1" applyAlignment="1">
      <alignment vertical="center"/>
    </xf>
    <xf numFmtId="171" fontId="23" fillId="7" borderId="8" xfId="10" applyFont="1" applyFill="1" applyBorder="1" applyAlignment="1">
      <alignment horizontal="justify" vertical="center" wrapText="1"/>
    </xf>
    <xf numFmtId="171" fontId="23" fillId="7" borderId="4" xfId="10" applyFont="1" applyFill="1" applyBorder="1" applyAlignment="1">
      <alignment horizontal="justify" vertical="center" wrapText="1"/>
    </xf>
    <xf numFmtId="3" fontId="23" fillId="0" borderId="1" xfId="0" applyNumberFormat="1" applyFont="1" applyBorder="1" applyAlignment="1">
      <alignment vertical="center"/>
    </xf>
    <xf numFmtId="3" fontId="25" fillId="0" borderId="1" xfId="0" applyNumberFormat="1" applyFont="1" applyBorder="1" applyAlignment="1">
      <alignment vertical="center"/>
    </xf>
    <xf numFmtId="3" fontId="25" fillId="0" borderId="10" xfId="0" applyNumberFormat="1" applyFont="1" applyBorder="1" applyAlignment="1">
      <alignment vertical="center"/>
    </xf>
    <xf numFmtId="171" fontId="23" fillId="7" borderId="15" xfId="10" applyFont="1" applyFill="1" applyBorder="1" applyAlignment="1">
      <alignment horizontal="center" vertical="center" wrapText="1"/>
    </xf>
    <xf numFmtId="9" fontId="23" fillId="7" borderId="11" xfId="2" applyFont="1" applyFill="1" applyBorder="1" applyAlignment="1">
      <alignment horizontal="center" vertical="center"/>
    </xf>
    <xf numFmtId="43" fontId="23" fillId="7" borderId="11" xfId="1" applyFont="1" applyFill="1" applyBorder="1" applyAlignment="1">
      <alignment horizontal="center" vertical="center"/>
    </xf>
    <xf numFmtId="3" fontId="23" fillId="0" borderId="11" xfId="10" applyNumberFormat="1" applyFont="1" applyBorder="1" applyAlignment="1">
      <alignment horizontal="center" vertical="center"/>
    </xf>
    <xf numFmtId="171" fontId="23" fillId="0" borderId="11" xfId="10" applyFont="1" applyBorder="1" applyAlignment="1">
      <alignment horizontal="justify" vertical="center" wrapText="1"/>
    </xf>
    <xf numFmtId="171" fontId="23" fillId="0" borderId="6" xfId="10" applyFont="1" applyBorder="1" applyAlignment="1">
      <alignment horizontal="justify" vertical="center" wrapText="1"/>
    </xf>
    <xf numFmtId="171" fontId="23" fillId="0" borderId="11" xfId="10" applyFont="1" applyFill="1" applyBorder="1" applyAlignment="1">
      <alignment horizontal="justify" vertical="center" wrapText="1"/>
    </xf>
    <xf numFmtId="171" fontId="23" fillId="0" borderId="6" xfId="10" applyFont="1" applyFill="1" applyBorder="1" applyAlignment="1">
      <alignment horizontal="justify" vertical="center" wrapText="1"/>
    </xf>
    <xf numFmtId="181" fontId="23" fillId="7" borderId="2" xfId="10" applyNumberFormat="1" applyFont="1" applyFill="1" applyBorder="1" applyAlignment="1">
      <alignment horizontal="center" vertical="center"/>
    </xf>
    <xf numFmtId="9" fontId="23" fillId="0" borderId="2" xfId="2" applyFont="1" applyFill="1" applyBorder="1" applyAlignment="1">
      <alignment horizontal="center" vertical="center"/>
    </xf>
    <xf numFmtId="3" fontId="23" fillId="0" borderId="13" xfId="0" applyNumberFormat="1" applyFont="1" applyBorder="1" applyAlignment="1">
      <alignment horizontal="center" vertical="center" wrapText="1"/>
    </xf>
    <xf numFmtId="3" fontId="23" fillId="0" borderId="6" xfId="0" applyNumberFormat="1" applyFont="1" applyBorder="1" applyAlignment="1">
      <alignment horizontal="center" vertical="center" wrapText="1"/>
    </xf>
    <xf numFmtId="14" fontId="25" fillId="0" borderId="6" xfId="0" applyNumberFormat="1" applyFont="1" applyBorder="1" applyAlignment="1">
      <alignment horizontal="center" vertical="center"/>
    </xf>
    <xf numFmtId="43" fontId="23" fillId="0" borderId="11" xfId="1" applyFont="1" applyFill="1" applyBorder="1" applyAlignment="1">
      <alignment horizontal="center" vertical="center"/>
    </xf>
    <xf numFmtId="43" fontId="23" fillId="0" borderId="13" xfId="1" applyFont="1" applyFill="1" applyBorder="1" applyAlignment="1">
      <alignment horizontal="center" vertical="center"/>
    </xf>
    <xf numFmtId="43" fontId="23" fillId="0" borderId="6" xfId="1" applyFont="1" applyFill="1" applyBorder="1" applyAlignment="1">
      <alignment horizontal="center" vertical="center"/>
    </xf>
    <xf numFmtId="3" fontId="23" fillId="0" borderId="2" xfId="10" applyNumberFormat="1" applyFont="1" applyBorder="1" applyAlignment="1">
      <alignment horizontal="center" vertical="center"/>
    </xf>
    <xf numFmtId="171" fontId="23" fillId="0" borderId="2" xfId="10" applyFont="1" applyBorder="1" applyAlignment="1">
      <alignment horizontal="justify" vertical="center" wrapText="1"/>
    </xf>
    <xf numFmtId="171" fontId="23" fillId="0" borderId="2" xfId="10" applyFont="1" applyFill="1" applyBorder="1" applyAlignment="1">
      <alignment horizontal="justify" vertical="center" wrapText="1"/>
    </xf>
    <xf numFmtId="9" fontId="23" fillId="0" borderId="2" xfId="10" applyNumberFormat="1" applyFont="1" applyFill="1" applyBorder="1" applyAlignment="1">
      <alignment horizontal="justify" vertical="center" wrapText="1"/>
    </xf>
    <xf numFmtId="3" fontId="23" fillId="0" borderId="8" xfId="10" applyNumberFormat="1" applyFont="1" applyBorder="1" applyAlignment="1">
      <alignment horizontal="center" vertical="center"/>
    </xf>
    <xf numFmtId="2" fontId="23" fillId="7" borderId="2" xfId="0" applyNumberFormat="1" applyFont="1" applyFill="1" applyBorder="1" applyAlignment="1">
      <alignment horizontal="center" vertical="center"/>
    </xf>
    <xf numFmtId="171" fontId="23" fillId="0" borderId="13" xfId="10" applyFont="1" applyBorder="1" applyAlignment="1">
      <alignment horizontal="justify" vertical="center" wrapText="1"/>
    </xf>
    <xf numFmtId="4" fontId="23" fillId="0" borderId="11" xfId="10" applyNumberFormat="1" applyFont="1" applyBorder="1" applyAlignment="1">
      <alignment horizontal="center" vertical="center"/>
    </xf>
    <xf numFmtId="4" fontId="23" fillId="0" borderId="13" xfId="10" applyNumberFormat="1" applyFont="1" applyBorder="1" applyAlignment="1">
      <alignment horizontal="center" vertical="center"/>
    </xf>
    <xf numFmtId="4" fontId="23" fillId="0" borderId="6" xfId="10" applyNumberFormat="1" applyFont="1" applyBorder="1" applyAlignment="1">
      <alignment horizontal="center" vertical="center"/>
    </xf>
    <xf numFmtId="171" fontId="23" fillId="0" borderId="13" xfId="10" applyFont="1" applyFill="1" applyBorder="1" applyAlignment="1">
      <alignment horizontal="justify" vertical="center" wrapText="1"/>
    </xf>
    <xf numFmtId="0" fontId="23" fillId="0" borderId="2" xfId="0" applyFont="1" applyBorder="1" applyAlignment="1">
      <alignment horizontal="center" vertical="center" wrapText="1"/>
    </xf>
    <xf numFmtId="3" fontId="23" fillId="7" borderId="11" xfId="0" applyNumberFormat="1" applyFont="1" applyFill="1" applyBorder="1" applyAlignment="1">
      <alignment horizontal="center" vertical="center"/>
    </xf>
    <xf numFmtId="3" fontId="23" fillId="7" borderId="13" xfId="0" applyNumberFormat="1" applyFont="1" applyFill="1" applyBorder="1" applyAlignment="1">
      <alignment horizontal="center" vertical="center"/>
    </xf>
    <xf numFmtId="3" fontId="23" fillId="7" borderId="6" xfId="0" applyNumberFormat="1" applyFont="1" applyFill="1" applyBorder="1" applyAlignment="1">
      <alignment horizontal="center" vertical="center"/>
    </xf>
    <xf numFmtId="3" fontId="23" fillId="0" borderId="11" xfId="0" applyNumberFormat="1" applyFont="1" applyBorder="1" applyAlignment="1">
      <alignment horizontal="justify" vertical="center"/>
    </xf>
    <xf numFmtId="3" fontId="23" fillId="0" borderId="13" xfId="0" applyNumberFormat="1" applyFont="1" applyBorder="1" applyAlignment="1">
      <alignment horizontal="justify" vertical="center"/>
    </xf>
    <xf numFmtId="3" fontId="23" fillId="0" borderId="6" xfId="0" applyNumberFormat="1" applyFont="1" applyBorder="1" applyAlignment="1">
      <alignment horizontal="justify" vertical="center"/>
    </xf>
    <xf numFmtId="3" fontId="23" fillId="0" borderId="10" xfId="0" applyNumberFormat="1" applyFont="1" applyBorder="1" applyAlignment="1">
      <alignment horizontal="center" vertical="center"/>
    </xf>
    <xf numFmtId="3" fontId="23" fillId="0" borderId="15" xfId="0" applyNumberFormat="1" applyFont="1" applyBorder="1" applyAlignment="1">
      <alignment horizontal="center" vertical="center"/>
    </xf>
    <xf numFmtId="3" fontId="23" fillId="0" borderId="12" xfId="0" applyNumberFormat="1" applyFont="1" applyBorder="1" applyAlignment="1">
      <alignment horizontal="center" vertical="center"/>
    </xf>
    <xf numFmtId="1" fontId="4" fillId="7" borderId="2" xfId="10" applyNumberFormat="1" applyFont="1" applyFill="1" applyBorder="1" applyAlignment="1">
      <alignment horizontal="center" vertical="center" wrapText="1"/>
    </xf>
    <xf numFmtId="3" fontId="23" fillId="0" borderId="11" xfId="10" applyNumberFormat="1" applyFont="1" applyFill="1" applyBorder="1" applyAlignment="1">
      <alignment horizontal="center" vertical="center"/>
    </xf>
    <xf numFmtId="3" fontId="23" fillId="0" borderId="6" xfId="10" applyNumberFormat="1" applyFont="1" applyFill="1" applyBorder="1" applyAlignment="1">
      <alignment horizontal="center" vertical="center"/>
    </xf>
    <xf numFmtId="0" fontId="23" fillId="7" borderId="11" xfId="10" applyNumberFormat="1" applyFont="1" applyFill="1" applyBorder="1" applyAlignment="1">
      <alignment horizontal="center" vertical="center" wrapText="1"/>
    </xf>
    <xf numFmtId="0" fontId="23" fillId="7" borderId="13" xfId="10" applyNumberFormat="1" applyFont="1" applyFill="1" applyBorder="1" applyAlignment="1">
      <alignment horizontal="center" vertical="center" wrapText="1"/>
    </xf>
    <xf numFmtId="0" fontId="23" fillId="7" borderId="6" xfId="10" applyNumberFormat="1" applyFont="1" applyFill="1" applyBorder="1" applyAlignment="1">
      <alignment horizontal="center" vertical="center" wrapText="1"/>
    </xf>
    <xf numFmtId="0" fontId="4" fillId="0" borderId="2" xfId="0" applyFont="1" applyFill="1" applyBorder="1" applyAlignment="1">
      <alignment horizontal="center" vertical="center"/>
    </xf>
    <xf numFmtId="3" fontId="23" fillId="0" borderId="2" xfId="10" applyNumberFormat="1" applyFont="1" applyFill="1" applyBorder="1" applyAlignment="1">
      <alignment horizontal="center" vertical="center"/>
    </xf>
    <xf numFmtId="3" fontId="23" fillId="0" borderId="1" xfId="10" applyNumberFormat="1" applyFont="1" applyBorder="1" applyAlignment="1">
      <alignment horizontal="center" vertical="center"/>
    </xf>
    <xf numFmtId="167" fontId="23" fillId="0" borderId="2" xfId="0" applyNumberFormat="1" applyFont="1" applyFill="1" applyBorder="1" applyAlignment="1">
      <alignment horizontal="center" vertical="center"/>
    </xf>
    <xf numFmtId="43" fontId="23" fillId="0" borderId="2" xfId="1" applyFont="1" applyBorder="1" applyAlignment="1">
      <alignment horizontal="center" vertical="center"/>
    </xf>
    <xf numFmtId="9" fontId="23" fillId="0" borderId="2" xfId="0" applyNumberFormat="1" applyFont="1" applyBorder="1" applyAlignment="1">
      <alignment horizontal="center" vertical="center"/>
    </xf>
    <xf numFmtId="167" fontId="4" fillId="0" borderId="2" xfId="0" applyNumberFormat="1" applyFont="1" applyFill="1" applyBorder="1" applyAlignment="1">
      <alignment horizontal="center" vertical="center"/>
    </xf>
    <xf numFmtId="171" fontId="23" fillId="7" borderId="13" xfId="10" applyFont="1" applyFill="1" applyBorder="1" applyAlignment="1">
      <alignment horizontal="center" vertical="center" wrapText="1"/>
    </xf>
    <xf numFmtId="171" fontId="23" fillId="7" borderId="6" xfId="10" applyFont="1" applyFill="1" applyBorder="1" applyAlignment="1">
      <alignment horizontal="center" vertical="center" wrapText="1"/>
    </xf>
    <xf numFmtId="171" fontId="23" fillId="7" borderId="15" xfId="10" applyFont="1" applyFill="1" applyBorder="1" applyAlignment="1">
      <alignment horizontal="justify" vertical="center" wrapText="1"/>
    </xf>
    <xf numFmtId="171" fontId="23" fillId="7" borderId="12" xfId="10" applyFont="1" applyFill="1" applyBorder="1" applyAlignment="1">
      <alignment horizontal="justify" vertical="center" wrapText="1"/>
    </xf>
    <xf numFmtId="49" fontId="23" fillId="0" borderId="15" xfId="10" applyNumberFormat="1" applyFont="1" applyFill="1" applyBorder="1" applyAlignment="1">
      <alignment horizontal="center" vertical="center" wrapText="1"/>
    </xf>
    <xf numFmtId="1" fontId="23" fillId="7" borderId="2" xfId="20" applyNumberFormat="1" applyFont="1" applyFill="1" applyBorder="1" applyAlignment="1">
      <alignment horizontal="center" vertical="center" wrapText="1"/>
    </xf>
    <xf numFmtId="9" fontId="23" fillId="7" borderId="11" xfId="2" applyNumberFormat="1" applyFont="1" applyFill="1" applyBorder="1" applyAlignment="1">
      <alignment horizontal="center" vertical="center"/>
    </xf>
    <xf numFmtId="9" fontId="23" fillId="7" borderId="13" xfId="2" applyNumberFormat="1" applyFont="1" applyFill="1" applyBorder="1" applyAlignment="1">
      <alignment horizontal="center" vertical="center"/>
    </xf>
    <xf numFmtId="9" fontId="23" fillId="7" borderId="6" xfId="2" applyNumberFormat="1" applyFont="1" applyFill="1" applyBorder="1" applyAlignment="1">
      <alignment horizontal="center" vertical="center"/>
    </xf>
    <xf numFmtId="9" fontId="23" fillId="7" borderId="2" xfId="2" applyNumberFormat="1" applyFont="1" applyFill="1" applyBorder="1" applyAlignment="1">
      <alignment horizontal="center" vertical="center"/>
    </xf>
    <xf numFmtId="3" fontId="23" fillId="0" borderId="4" xfId="0" applyNumberFormat="1" applyFont="1" applyBorder="1" applyAlignment="1">
      <alignment horizontal="center" vertical="center"/>
    </xf>
    <xf numFmtId="3" fontId="25" fillId="0" borderId="14" xfId="0" applyNumberFormat="1" applyFont="1" applyBorder="1" applyAlignment="1">
      <alignment horizontal="center" vertical="center"/>
    </xf>
    <xf numFmtId="3" fontId="25" fillId="0" borderId="11" xfId="0" applyNumberFormat="1" applyFont="1" applyBorder="1" applyAlignment="1">
      <alignment horizontal="center" vertical="center"/>
    </xf>
    <xf numFmtId="3" fontId="25" fillId="0" borderId="13" xfId="0" applyNumberFormat="1" applyFont="1" applyBorder="1" applyAlignment="1">
      <alignment horizontal="center" vertical="center"/>
    </xf>
    <xf numFmtId="3" fontId="25" fillId="0" borderId="6" xfId="0" applyNumberFormat="1" applyFont="1" applyBorder="1" applyAlignment="1">
      <alignment horizontal="center" vertical="center"/>
    </xf>
    <xf numFmtId="3" fontId="25" fillId="0" borderId="15" xfId="0" applyNumberFormat="1" applyFont="1" applyBorder="1" applyAlignment="1">
      <alignment horizontal="center" vertical="center"/>
    </xf>
    <xf numFmtId="3" fontId="25" fillId="0" borderId="12" xfId="0" applyNumberFormat="1" applyFont="1" applyBorder="1" applyAlignment="1">
      <alignment horizontal="center" vertical="center"/>
    </xf>
    <xf numFmtId="3" fontId="23" fillId="7" borderId="10" xfId="0" applyNumberFormat="1" applyFont="1" applyFill="1" applyBorder="1" applyAlignment="1">
      <alignment horizontal="center" vertical="center"/>
    </xf>
    <xf numFmtId="3" fontId="25" fillId="7" borderId="15" xfId="0" applyNumberFormat="1" applyFont="1" applyFill="1" applyBorder="1" applyAlignment="1">
      <alignment horizontal="center" vertical="center"/>
    </xf>
    <xf numFmtId="3" fontId="25" fillId="7" borderId="12" xfId="0" applyNumberFormat="1" applyFont="1" applyFill="1" applyBorder="1" applyAlignment="1">
      <alignment horizontal="center" vertical="center"/>
    </xf>
    <xf numFmtId="49" fontId="23" fillId="0" borderId="11" xfId="10" applyNumberFormat="1" applyFont="1" applyFill="1" applyBorder="1" applyAlignment="1">
      <alignment horizontal="center" vertical="center" wrapText="1"/>
    </xf>
    <xf numFmtId="3" fontId="23" fillId="7" borderId="1" xfId="10" applyNumberFormat="1" applyFont="1" applyFill="1" applyBorder="1" applyAlignment="1">
      <alignment horizontal="center" vertical="center" wrapText="1"/>
    </xf>
    <xf numFmtId="1" fontId="23" fillId="7" borderId="2" xfId="10" applyNumberFormat="1" applyFont="1" applyFill="1" applyBorder="1" applyAlignment="1">
      <alignment horizontal="center" vertical="center"/>
    </xf>
    <xf numFmtId="9" fontId="23" fillId="7" borderId="2" xfId="2" applyFont="1" applyFill="1" applyBorder="1" applyAlignment="1">
      <alignment horizontal="center" vertical="center" wrapText="1"/>
    </xf>
    <xf numFmtId="1" fontId="23" fillId="0" borderId="2" xfId="10" applyNumberFormat="1"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justify" vertical="center" wrapText="1"/>
    </xf>
    <xf numFmtId="9" fontId="23" fillId="7" borderId="2" xfId="2" applyNumberFormat="1" applyFont="1" applyFill="1" applyBorder="1" applyAlignment="1">
      <alignment horizontal="center" vertical="center" wrapText="1"/>
    </xf>
    <xf numFmtId="9" fontId="25" fillId="0" borderId="2" xfId="2" applyNumberFormat="1" applyFont="1" applyBorder="1" applyAlignment="1">
      <alignment horizontal="center" vertical="center" wrapText="1"/>
    </xf>
    <xf numFmtId="1" fontId="23" fillId="7" borderId="11" xfId="10" applyNumberFormat="1" applyFont="1" applyFill="1" applyBorder="1" applyAlignment="1">
      <alignment horizontal="center" vertical="center"/>
    </xf>
    <xf numFmtId="1" fontId="23" fillId="7" borderId="6" xfId="10" applyNumberFormat="1" applyFont="1" applyFill="1" applyBorder="1" applyAlignment="1">
      <alignment horizontal="center" vertical="center"/>
    </xf>
    <xf numFmtId="14" fontId="25" fillId="0" borderId="2" xfId="0" applyNumberFormat="1" applyFont="1" applyBorder="1" applyAlignment="1">
      <alignment horizontal="center" vertical="center"/>
    </xf>
    <xf numFmtId="1" fontId="23" fillId="7" borderId="2" xfId="1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169" fontId="4" fillId="0" borderId="2" xfId="0" applyNumberFormat="1" applyFont="1" applyFill="1" applyBorder="1" applyAlignment="1">
      <alignment horizontal="center" vertical="center"/>
    </xf>
    <xf numFmtId="3" fontId="25" fillId="0" borderId="2" xfId="0" applyNumberFormat="1" applyFont="1" applyBorder="1" applyAlignment="1">
      <alignment horizontal="center" vertical="center" wrapText="1"/>
    </xf>
    <xf numFmtId="43" fontId="23" fillId="7" borderId="2" xfId="1" applyFont="1" applyFill="1" applyBorder="1" applyAlignment="1">
      <alignment horizontal="center" vertical="center" wrapText="1"/>
    </xf>
    <xf numFmtId="171" fontId="23" fillId="7" borderId="2" xfId="10" applyFont="1" applyFill="1" applyBorder="1" applyAlignment="1">
      <alignment horizontal="center" vertical="center" wrapText="1"/>
    </xf>
    <xf numFmtId="49" fontId="23" fillId="0" borderId="2" xfId="10" applyNumberFormat="1" applyFont="1" applyFill="1" applyBorder="1" applyAlignment="1">
      <alignment horizontal="center" vertical="center" wrapText="1"/>
    </xf>
    <xf numFmtId="1" fontId="23" fillId="0" borderId="2" xfId="10" applyNumberFormat="1" applyFont="1" applyFill="1" applyBorder="1" applyAlignment="1">
      <alignment horizontal="center" vertical="center"/>
    </xf>
    <xf numFmtId="9" fontId="23" fillId="7" borderId="11" xfId="2" applyFont="1" applyFill="1" applyBorder="1" applyAlignment="1">
      <alignment horizontal="center" vertical="center" wrapText="1"/>
    </xf>
    <xf numFmtId="9" fontId="23" fillId="7" borderId="13" xfId="2" applyFont="1" applyFill="1" applyBorder="1" applyAlignment="1">
      <alignment horizontal="center" vertical="center" wrapText="1"/>
    </xf>
    <xf numFmtId="9" fontId="23" fillId="7" borderId="6" xfId="2" applyFont="1" applyFill="1" applyBorder="1" applyAlignment="1">
      <alignment horizontal="center" vertical="center" wrapText="1"/>
    </xf>
    <xf numFmtId="171" fontId="23" fillId="0" borderId="4" xfId="10" applyFont="1" applyFill="1" applyBorder="1" applyAlignment="1">
      <alignment horizontal="justify" vertical="center" wrapText="1"/>
    </xf>
    <xf numFmtId="171" fontId="23" fillId="0" borderId="7" xfId="10" applyFont="1" applyFill="1" applyBorder="1" applyAlignment="1">
      <alignment horizontal="justify" vertical="center" wrapText="1"/>
    </xf>
    <xf numFmtId="1" fontId="4" fillId="0" borderId="11"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center" vertical="center"/>
    </xf>
    <xf numFmtId="10" fontId="23" fillId="7" borderId="11" xfId="2" applyNumberFormat="1" applyFont="1" applyFill="1" applyBorder="1" applyAlignment="1">
      <alignment horizontal="center" vertical="center" wrapText="1"/>
    </xf>
    <xf numFmtId="10" fontId="23" fillId="7" borderId="13" xfId="2" applyNumberFormat="1" applyFont="1" applyFill="1" applyBorder="1" applyAlignment="1">
      <alignment horizontal="center" vertical="center" wrapText="1"/>
    </xf>
    <xf numFmtId="10" fontId="23" fillId="7" borderId="6" xfId="2" applyNumberFormat="1" applyFont="1" applyFill="1" applyBorder="1" applyAlignment="1">
      <alignment horizontal="center" vertical="center" wrapText="1"/>
    </xf>
    <xf numFmtId="43" fontId="23" fillId="7" borderId="11" xfId="1" applyFont="1" applyFill="1" applyBorder="1" applyAlignment="1">
      <alignment horizontal="center" vertical="center" wrapText="1"/>
    </xf>
    <xf numFmtId="43" fontId="23" fillId="7" borderId="13" xfId="1" applyFont="1" applyFill="1" applyBorder="1" applyAlignment="1">
      <alignment horizontal="center" vertical="center" wrapText="1"/>
    </xf>
    <xf numFmtId="43" fontId="23" fillId="7" borderId="6" xfId="1" applyFont="1" applyFill="1" applyBorder="1" applyAlignment="1">
      <alignment horizontal="center" vertical="center" wrapText="1"/>
    </xf>
    <xf numFmtId="1" fontId="23" fillId="7" borderId="11" xfId="20" applyNumberFormat="1" applyFont="1" applyFill="1" applyBorder="1" applyAlignment="1">
      <alignment horizontal="center" vertical="center" wrapText="1"/>
    </xf>
    <xf numFmtId="1" fontId="23" fillId="7" borderId="13" xfId="20" applyNumberFormat="1" applyFont="1" applyFill="1" applyBorder="1" applyAlignment="1">
      <alignment horizontal="center" vertical="center" wrapText="1"/>
    </xf>
    <xf numFmtId="1" fontId="23" fillId="7" borderId="6" xfId="20" applyNumberFormat="1" applyFont="1" applyFill="1" applyBorder="1" applyAlignment="1">
      <alignment horizontal="center" vertical="center" wrapText="1"/>
    </xf>
    <xf numFmtId="1" fontId="23" fillId="7" borderId="13" xfId="10" applyNumberFormat="1" applyFont="1" applyFill="1" applyBorder="1" applyAlignment="1">
      <alignment horizontal="center" vertical="center"/>
    </xf>
    <xf numFmtId="49" fontId="23" fillId="0" borderId="10" xfId="10" applyNumberFormat="1" applyFont="1" applyFill="1" applyBorder="1" applyAlignment="1">
      <alignment horizontal="center" vertical="center" wrapText="1"/>
    </xf>
    <xf numFmtId="167" fontId="23" fillId="0" borderId="11" xfId="0" applyNumberFormat="1" applyFont="1" applyFill="1" applyBorder="1" applyAlignment="1">
      <alignment horizontal="center" vertical="center" wrapText="1"/>
    </xf>
    <xf numFmtId="167" fontId="23" fillId="0" borderId="13" xfId="0" applyNumberFormat="1" applyFont="1" applyFill="1" applyBorder="1" applyAlignment="1">
      <alignment horizontal="center" vertical="center" wrapText="1"/>
    </xf>
    <xf numFmtId="0" fontId="25" fillId="0" borderId="13" xfId="0" applyFont="1" applyBorder="1" applyAlignment="1">
      <alignment horizontal="center" vertical="center"/>
    </xf>
    <xf numFmtId="0" fontId="25" fillId="0" borderId="6" xfId="0" applyFont="1" applyBorder="1" applyAlignment="1">
      <alignment horizontal="center" vertical="center"/>
    </xf>
    <xf numFmtId="43" fontId="23" fillId="0" borderId="11" xfId="1" applyFont="1" applyBorder="1" applyAlignment="1">
      <alignment horizontal="center" vertical="center" wrapText="1"/>
    </xf>
    <xf numFmtId="43" fontId="23" fillId="0" borderId="13" xfId="1" applyFont="1" applyBorder="1" applyAlignment="1">
      <alignment horizontal="center" vertical="center" wrapText="1"/>
    </xf>
    <xf numFmtId="43" fontId="23" fillId="0" borderId="6" xfId="1" applyFont="1" applyBorder="1" applyAlignment="1">
      <alignment horizontal="center" vertical="center" wrapText="1"/>
    </xf>
    <xf numFmtId="9" fontId="23" fillId="0" borderId="11" xfId="0" applyNumberFormat="1" applyFont="1" applyBorder="1" applyAlignment="1">
      <alignment horizontal="center" vertical="center" wrapText="1"/>
    </xf>
    <xf numFmtId="9" fontId="23" fillId="0" borderId="13" xfId="0" applyNumberFormat="1" applyFont="1" applyBorder="1" applyAlignment="1">
      <alignment horizontal="center" vertical="center" wrapText="1"/>
    </xf>
    <xf numFmtId="9" fontId="23" fillId="0" borderId="6" xfId="0" applyNumberFormat="1" applyFont="1" applyBorder="1" applyAlignment="1">
      <alignment horizontal="center" vertical="center" wrapText="1"/>
    </xf>
    <xf numFmtId="3" fontId="23" fillId="0" borderId="4" xfId="0" applyNumberFormat="1" applyFont="1" applyBorder="1" applyAlignment="1">
      <alignment horizontal="center" vertical="center" wrapText="1"/>
    </xf>
    <xf numFmtId="3" fontId="23" fillId="0" borderId="14" xfId="0" applyNumberFormat="1" applyFont="1" applyBorder="1" applyAlignment="1">
      <alignment horizontal="center" vertical="center" wrapText="1"/>
    </xf>
    <xf numFmtId="3" fontId="25" fillId="0" borderId="14" xfId="0" applyNumberFormat="1" applyFont="1" applyBorder="1" applyAlignment="1">
      <alignment horizontal="center" vertical="center" wrapText="1"/>
    </xf>
    <xf numFmtId="3" fontId="25" fillId="0" borderId="7" xfId="0" applyNumberFormat="1" applyFont="1" applyBorder="1" applyAlignment="1">
      <alignment horizontal="center" vertical="center" wrapText="1"/>
    </xf>
    <xf numFmtId="3" fontId="23" fillId="7" borderId="2" xfId="10" applyNumberFormat="1" applyFont="1" applyFill="1" applyBorder="1" applyAlignment="1">
      <alignment horizontal="center" vertical="center" wrapText="1"/>
    </xf>
    <xf numFmtId="10" fontId="23" fillId="7" borderId="2" xfId="2" applyNumberFormat="1" applyFont="1" applyFill="1" applyBorder="1" applyAlignment="1">
      <alignment horizontal="center" vertical="center" wrapText="1"/>
    </xf>
    <xf numFmtId="181" fontId="23" fillId="7" borderId="11" xfId="10" applyNumberFormat="1" applyFont="1" applyFill="1" applyBorder="1" applyAlignment="1">
      <alignment horizontal="center" vertical="center"/>
    </xf>
    <xf numFmtId="181" fontId="23" fillId="7" borderId="13" xfId="10" applyNumberFormat="1" applyFont="1" applyFill="1" applyBorder="1" applyAlignment="1">
      <alignment horizontal="center" vertical="center"/>
    </xf>
    <xf numFmtId="181" fontId="23" fillId="7" borderId="6" xfId="10" applyNumberFormat="1" applyFont="1" applyFill="1" applyBorder="1" applyAlignment="1">
      <alignment horizontal="center" vertical="center"/>
    </xf>
    <xf numFmtId="0" fontId="23" fillId="7" borderId="0" xfId="0" applyFont="1" applyFill="1" applyAlignment="1">
      <alignment horizontal="center" vertical="center" wrapText="1"/>
    </xf>
    <xf numFmtId="195" fontId="23" fillId="7" borderId="2" xfId="10" applyNumberFormat="1" applyFont="1" applyFill="1" applyBorder="1" applyAlignment="1">
      <alignment horizontal="center" vertical="center"/>
    </xf>
    <xf numFmtId="3" fontId="23" fillId="7" borderId="11" xfId="10" applyNumberFormat="1" applyFont="1" applyFill="1" applyBorder="1" applyAlignment="1">
      <alignment horizontal="center" vertical="center" wrapText="1"/>
    </xf>
    <xf numFmtId="3" fontId="23" fillId="7" borderId="13" xfId="10" applyNumberFormat="1" applyFont="1" applyFill="1" applyBorder="1" applyAlignment="1">
      <alignment horizontal="center" vertical="center" wrapText="1"/>
    </xf>
    <xf numFmtId="3" fontId="23" fillId="7" borderId="6" xfId="10" applyNumberFormat="1" applyFont="1" applyFill="1" applyBorder="1" applyAlignment="1">
      <alignment horizontal="center" vertical="center" wrapText="1"/>
    </xf>
    <xf numFmtId="3" fontId="25" fillId="7" borderId="11" xfId="0" applyNumberFormat="1" applyFont="1" applyFill="1" applyBorder="1" applyAlignment="1">
      <alignment horizontal="center" vertical="center"/>
    </xf>
    <xf numFmtId="3" fontId="25" fillId="7" borderId="13" xfId="0" applyNumberFormat="1" applyFont="1" applyFill="1" applyBorder="1" applyAlignment="1">
      <alignment horizontal="center" vertical="center"/>
    </xf>
    <xf numFmtId="3" fontId="25" fillId="7" borderId="6" xfId="0" applyNumberFormat="1" applyFont="1" applyFill="1" applyBorder="1" applyAlignment="1">
      <alignment horizontal="center" vertical="center"/>
    </xf>
    <xf numFmtId="3" fontId="25" fillId="7" borderId="11" xfId="0" applyNumberFormat="1" applyFont="1" applyFill="1" applyBorder="1" applyAlignment="1">
      <alignment horizontal="center" vertical="center" wrapText="1"/>
    </xf>
    <xf numFmtId="3" fontId="25" fillId="7" borderId="13" xfId="0" applyNumberFormat="1" applyFont="1" applyFill="1" applyBorder="1" applyAlignment="1">
      <alignment horizontal="center" vertical="center" wrapText="1"/>
    </xf>
    <xf numFmtId="3" fontId="25" fillId="7" borderId="6" xfId="0" applyNumberFormat="1" applyFont="1" applyFill="1" applyBorder="1" applyAlignment="1">
      <alignment horizontal="center" vertical="center" wrapText="1"/>
    </xf>
    <xf numFmtId="171" fontId="23" fillId="7" borderId="5" xfId="10" applyFont="1" applyFill="1" applyBorder="1" applyAlignment="1">
      <alignment horizontal="center" vertical="center" wrapText="1"/>
    </xf>
    <xf numFmtId="171" fontId="23" fillId="7" borderId="0" xfId="10" applyFont="1" applyFill="1" applyBorder="1" applyAlignment="1">
      <alignment horizontal="center" vertical="center" wrapText="1"/>
    </xf>
    <xf numFmtId="167" fontId="7" fillId="3" borderId="8" xfId="0" applyNumberFormat="1" applyFont="1" applyFill="1" applyBorder="1" applyAlignment="1">
      <alignment horizontal="center" vertical="center" wrapText="1"/>
    </xf>
    <xf numFmtId="167" fontId="7" fillId="3" borderId="1" xfId="0" applyNumberFormat="1" applyFont="1" applyFill="1" applyBorder="1" applyAlignment="1">
      <alignment horizontal="center" vertical="center" wrapText="1"/>
    </xf>
    <xf numFmtId="167" fontId="7" fillId="3" borderId="2" xfId="0" applyNumberFormat="1" applyFont="1" applyFill="1" applyBorder="1" applyAlignment="1">
      <alignment horizontal="center" vertical="center" wrapText="1"/>
    </xf>
    <xf numFmtId="3" fontId="7" fillId="3" borderId="34" xfId="0" applyNumberFormat="1" applyFont="1" applyFill="1" applyBorder="1" applyAlignment="1">
      <alignment horizontal="center" vertical="center" wrapText="1"/>
    </xf>
    <xf numFmtId="1" fontId="7" fillId="7" borderId="10" xfId="0" applyNumberFormat="1" applyFont="1" applyFill="1" applyBorder="1" applyAlignment="1">
      <alignment horizontal="center" vertical="center" wrapText="1"/>
    </xf>
    <xf numFmtId="1" fontId="7" fillId="7" borderId="15" xfId="0" applyNumberFormat="1" applyFont="1" applyFill="1" applyBorder="1" applyAlignment="1">
      <alignment horizontal="center" vertical="center" wrapText="1"/>
    </xf>
    <xf numFmtId="1" fontId="7" fillId="7" borderId="12" xfId="0" applyNumberFormat="1"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8" fillId="3" borderId="8" xfId="0" applyFont="1" applyFill="1" applyBorder="1" applyAlignment="1">
      <alignment horizontal="center" vertical="center" textRotation="90" wrapText="1"/>
    </xf>
    <xf numFmtId="0" fontId="48" fillId="3" borderId="1" xfId="0" applyFont="1" applyFill="1" applyBorder="1" applyAlignment="1">
      <alignment horizontal="center" vertical="center" textRotation="90" wrapText="1"/>
    </xf>
    <xf numFmtId="169" fontId="7" fillId="3" borderId="2" xfId="0" applyNumberFormat="1" applyFont="1" applyFill="1" applyBorder="1" applyAlignment="1">
      <alignment horizontal="center" vertical="center" wrapText="1"/>
    </xf>
    <xf numFmtId="169" fontId="7" fillId="3" borderId="4" xfId="0" applyNumberFormat="1" applyFont="1" applyFill="1" applyBorder="1" applyAlignment="1">
      <alignment horizontal="center" vertical="center" wrapText="1"/>
    </xf>
    <xf numFmtId="169" fontId="7" fillId="3" borderId="7" xfId="0" applyNumberFormat="1" applyFont="1" applyFill="1" applyBorder="1" applyAlignment="1">
      <alignment horizontal="center" vertical="center" wrapText="1"/>
    </xf>
    <xf numFmtId="170" fontId="7" fillId="3" borderId="2" xfId="0" applyNumberFormat="1" applyFont="1" applyFill="1" applyBorder="1" applyAlignment="1">
      <alignment horizontal="center" vertical="center" wrapText="1"/>
    </xf>
    <xf numFmtId="0" fontId="38" fillId="5" borderId="8" xfId="0" applyFont="1" applyFill="1" applyBorder="1" applyAlignment="1">
      <alignment horizontal="center" vertical="center" wrapText="1"/>
    </xf>
    <xf numFmtId="0" fontId="38" fillId="5" borderId="9"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26" fillId="0" borderId="0" xfId="0" applyFont="1" applyBorder="1" applyAlignment="1">
      <alignment horizontal="center" vertical="center" wrapText="1"/>
    </xf>
    <xf numFmtId="0" fontId="7" fillId="0" borderId="59" xfId="0" applyFont="1" applyBorder="1" applyAlignment="1">
      <alignment horizontal="center" vertical="center"/>
    </xf>
    <xf numFmtId="0" fontId="7" fillId="0" borderId="5" xfId="0" applyFont="1" applyBorder="1" applyAlignment="1">
      <alignment horizontal="center" vertical="center"/>
    </xf>
    <xf numFmtId="0" fontId="7" fillId="0" borderId="58"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34"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3" fontId="38" fillId="4" borderId="8" xfId="0" applyNumberFormat="1" applyFont="1" applyFill="1" applyBorder="1" applyAlignment="1">
      <alignment horizontal="center" vertical="center" wrapText="1"/>
    </xf>
    <xf numFmtId="3" fontId="38" fillId="4" borderId="9" xfId="0" applyNumberFormat="1" applyFont="1" applyFill="1" applyBorder="1" applyAlignment="1">
      <alignment horizontal="center" vertical="center" wrapText="1"/>
    </xf>
    <xf numFmtId="3" fontId="38" fillId="4" borderId="1" xfId="0" applyNumberFormat="1" applyFont="1" applyFill="1" applyBorder="1" applyAlignment="1">
      <alignment horizontal="center" vertical="center" wrapText="1"/>
    </xf>
    <xf numFmtId="0" fontId="38" fillId="4" borderId="8" xfId="0" applyFont="1" applyFill="1" applyBorder="1" applyAlignment="1">
      <alignment horizontal="center" vertical="center" wrapText="1"/>
    </xf>
    <xf numFmtId="0" fontId="38" fillId="4" borderId="9"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xf>
    <xf numFmtId="0" fontId="38" fillId="4" borderId="9" xfId="0" applyFont="1" applyFill="1" applyBorder="1" applyAlignment="1">
      <alignment horizontal="center" vertical="center"/>
    </xf>
    <xf numFmtId="0" fontId="38" fillId="4" borderId="1" xfId="0" applyFont="1" applyFill="1" applyBorder="1" applyAlignment="1">
      <alignment horizontal="center" vertical="center"/>
    </xf>
    <xf numFmtId="0" fontId="38" fillId="4" borderId="4" xfId="0" applyFont="1" applyFill="1" applyBorder="1" applyAlignment="1">
      <alignment horizontal="center" vertical="center" textRotation="90" wrapText="1"/>
    </xf>
    <xf numFmtId="0" fontId="38" fillId="4" borderId="5" xfId="0" applyFont="1" applyFill="1" applyBorder="1" applyAlignment="1">
      <alignment horizontal="center" vertical="center" textRotation="90" wrapText="1"/>
    </xf>
    <xf numFmtId="0" fontId="38" fillId="4" borderId="7" xfId="0" applyFont="1" applyFill="1" applyBorder="1" applyAlignment="1">
      <alignment horizontal="center" vertical="center" textRotation="90" wrapText="1"/>
    </xf>
    <xf numFmtId="0" fontId="38" fillId="4" borderId="3" xfId="0" applyFont="1" applyFill="1" applyBorder="1" applyAlignment="1">
      <alignment horizontal="center" vertical="center" textRotation="90" wrapText="1"/>
    </xf>
    <xf numFmtId="0" fontId="7" fillId="5" borderId="9" xfId="0" applyFont="1" applyFill="1" applyBorder="1" applyAlignment="1">
      <alignment horizontal="center" vertical="center"/>
    </xf>
    <xf numFmtId="0" fontId="7" fillId="5" borderId="60" xfId="0" applyFont="1" applyFill="1" applyBorder="1" applyAlignment="1">
      <alignment horizontal="center" vertical="center"/>
    </xf>
    <xf numFmtId="0" fontId="7" fillId="3" borderId="2" xfId="0" applyFont="1" applyFill="1" applyBorder="1" applyAlignment="1">
      <alignment horizontal="justify" vertical="center" wrapText="1"/>
    </xf>
    <xf numFmtId="0" fontId="7" fillId="3" borderId="4" xfId="0" applyFont="1" applyFill="1" applyBorder="1" applyAlignment="1">
      <alignment horizontal="center" vertical="center" wrapText="1"/>
    </xf>
    <xf numFmtId="0" fontId="7" fillId="3" borderId="10" xfId="0" applyFont="1" applyFill="1" applyBorder="1" applyAlignment="1">
      <alignment horizontal="center" vertical="center" wrapText="1"/>
    </xf>
    <xf numFmtId="1" fontId="7" fillId="3" borderId="71" xfId="0" applyNumberFormat="1" applyFont="1" applyFill="1" applyBorder="1" applyAlignment="1">
      <alignment horizontal="center" vertical="center" wrapText="1"/>
    </xf>
    <xf numFmtId="169" fontId="7" fillId="3" borderId="11" xfId="0" applyNumberFormat="1" applyFont="1" applyFill="1" applyBorder="1" applyAlignment="1">
      <alignment horizontal="center" vertical="center" wrapText="1"/>
    </xf>
    <xf numFmtId="169" fontId="7" fillId="3" borderId="6" xfId="0" applyNumberFormat="1"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22" fillId="7" borderId="0" xfId="0" applyFont="1" applyFill="1" applyAlignment="1">
      <alignment horizontal="center" vertical="center"/>
    </xf>
    <xf numFmtId="165" fontId="23" fillId="7" borderId="11" xfId="0" applyNumberFormat="1" applyFont="1" applyFill="1" applyBorder="1" applyAlignment="1">
      <alignment horizontal="center" vertical="center" wrapText="1"/>
    </xf>
    <xf numFmtId="165" fontId="23" fillId="7" borderId="13" xfId="0" applyNumberFormat="1" applyFont="1" applyFill="1" applyBorder="1" applyAlignment="1">
      <alignment horizontal="center" vertical="center" wrapText="1"/>
    </xf>
    <xf numFmtId="3" fontId="23" fillId="7" borderId="35" xfId="0" applyNumberFormat="1" applyFont="1" applyFill="1" applyBorder="1" applyAlignment="1">
      <alignment horizontal="left" vertical="center" wrapText="1"/>
    </xf>
    <xf numFmtId="3" fontId="23" fillId="7" borderId="36" xfId="0" applyNumberFormat="1" applyFont="1" applyFill="1" applyBorder="1" applyAlignment="1">
      <alignment horizontal="left" vertical="center" wrapText="1"/>
    </xf>
    <xf numFmtId="0" fontId="23" fillId="7" borderId="11" xfId="0" applyFont="1" applyFill="1" applyBorder="1" applyAlignment="1">
      <alignment horizontal="left" vertical="center" wrapText="1"/>
    </xf>
    <xf numFmtId="0" fontId="23" fillId="7" borderId="7" xfId="0" applyFont="1" applyFill="1" applyBorder="1" applyAlignment="1">
      <alignment horizontal="left" vertical="center" wrapText="1"/>
    </xf>
    <xf numFmtId="173" fontId="23" fillId="7" borderId="11" xfId="0" applyNumberFormat="1" applyFont="1" applyFill="1" applyBorder="1" applyAlignment="1">
      <alignment horizontal="center" vertical="center" wrapText="1"/>
    </xf>
    <xf numFmtId="173" fontId="23" fillId="7" borderId="13" xfId="0" applyNumberFormat="1" applyFont="1" applyFill="1" applyBorder="1" applyAlignment="1">
      <alignment horizontal="center" vertical="center" wrapText="1"/>
    </xf>
    <xf numFmtId="0" fontId="23" fillId="0" borderId="11" xfId="0" applyFont="1" applyBorder="1" applyAlignment="1">
      <alignment horizontal="justify" vertical="center" wrapText="1"/>
    </xf>
    <xf numFmtId="0" fontId="23" fillId="0" borderId="13" xfId="0" applyFont="1" applyBorder="1" applyAlignment="1">
      <alignment horizontal="justify" vertical="center" wrapText="1"/>
    </xf>
    <xf numFmtId="10" fontId="23" fillId="7" borderId="2" xfId="0" applyNumberFormat="1" applyFont="1" applyFill="1" applyBorder="1" applyAlignment="1">
      <alignment horizontal="center" vertical="center" wrapText="1"/>
    </xf>
    <xf numFmtId="10" fontId="23" fillId="7" borderId="11" xfId="0" applyNumberFormat="1" applyFont="1" applyFill="1" applyBorder="1" applyAlignment="1">
      <alignment horizontal="center" vertical="center" wrapText="1"/>
    </xf>
    <xf numFmtId="1" fontId="23" fillId="7" borderId="10" xfId="0" applyNumberFormat="1" applyFont="1" applyFill="1" applyBorder="1" applyAlignment="1">
      <alignment horizontal="center" vertical="center" wrapText="1"/>
    </xf>
    <xf numFmtId="1" fontId="23" fillId="7" borderId="15" xfId="0" applyNumberFormat="1" applyFont="1" applyFill="1" applyBorder="1" applyAlignment="1">
      <alignment horizontal="center" vertical="center" wrapText="1"/>
    </xf>
    <xf numFmtId="3" fontId="23" fillId="7" borderId="4" xfId="0" applyNumberFormat="1" applyFont="1" applyFill="1" applyBorder="1" applyAlignment="1">
      <alignment horizontal="left" vertical="center" wrapText="1"/>
    </xf>
    <xf numFmtId="3" fontId="23" fillId="7" borderId="14" xfId="0" applyNumberFormat="1" applyFont="1" applyFill="1" applyBorder="1" applyAlignment="1">
      <alignment horizontal="left" vertical="center" wrapText="1"/>
    </xf>
    <xf numFmtId="3" fontId="23" fillId="7" borderId="11" xfId="0" applyNumberFormat="1" applyFont="1" applyFill="1" applyBorder="1" applyAlignment="1">
      <alignment horizontal="center" vertical="center" wrapText="1"/>
    </xf>
    <xf numFmtId="3" fontId="23" fillId="7" borderId="13" xfId="0" applyNumberFormat="1" applyFont="1" applyFill="1" applyBorder="1" applyAlignment="1">
      <alignment horizontal="center" vertical="center" wrapText="1"/>
    </xf>
    <xf numFmtId="1" fontId="23" fillId="7" borderId="11" xfId="0" applyNumberFormat="1" applyFont="1" applyFill="1" applyBorder="1" applyAlignment="1">
      <alignment horizontal="center" vertical="center" wrapText="1"/>
    </xf>
    <xf numFmtId="1" fontId="23" fillId="7" borderId="13" xfId="0" applyNumberFormat="1" applyFont="1" applyFill="1" applyBorder="1" applyAlignment="1">
      <alignment horizontal="center" vertical="center" wrapText="1"/>
    </xf>
    <xf numFmtId="4" fontId="23" fillId="7" borderId="11" xfId="0" applyNumberFormat="1" applyFont="1" applyFill="1" applyBorder="1" applyAlignment="1">
      <alignment horizontal="right" vertical="center" wrapText="1"/>
    </xf>
    <xf numFmtId="4" fontId="23" fillId="7" borderId="13" xfId="0" applyNumberFormat="1" applyFont="1" applyFill="1" applyBorder="1" applyAlignment="1">
      <alignment horizontal="right" vertical="center" wrapText="1"/>
    </xf>
    <xf numFmtId="0" fontId="23" fillId="7" borderId="11" xfId="0" applyFont="1" applyFill="1" applyBorder="1" applyAlignment="1">
      <alignment horizontal="justify" vertical="center" wrapText="1"/>
    </xf>
    <xf numFmtId="0" fontId="23" fillId="7" borderId="13" xfId="0" applyFont="1" applyFill="1" applyBorder="1" applyAlignment="1">
      <alignment horizontal="justify" vertical="center" wrapText="1"/>
    </xf>
    <xf numFmtId="0" fontId="23" fillId="0" borderId="2" xfId="0" applyFont="1" applyBorder="1" applyAlignment="1">
      <alignment horizontal="justify" vertical="center" wrapText="1"/>
    </xf>
    <xf numFmtId="0" fontId="23" fillId="7" borderId="11" xfId="0" applyFont="1" applyFill="1" applyBorder="1" applyAlignment="1">
      <alignment horizontal="center" vertical="center" wrapText="1"/>
    </xf>
    <xf numFmtId="0" fontId="23" fillId="7" borderId="13" xfId="0" applyFont="1" applyFill="1" applyBorder="1" applyAlignment="1">
      <alignment horizontal="center" vertical="center" wrapText="1"/>
    </xf>
    <xf numFmtId="0" fontId="23" fillId="7" borderId="15" xfId="0" applyFont="1" applyFill="1" applyBorder="1" applyAlignment="1">
      <alignment horizontal="center" vertical="center" wrapText="1"/>
    </xf>
    <xf numFmtId="173" fontId="23" fillId="7" borderId="6" xfId="0" applyNumberFormat="1" applyFont="1" applyFill="1" applyBorder="1" applyAlignment="1">
      <alignment horizontal="center" vertical="center" wrapText="1"/>
    </xf>
    <xf numFmtId="14" fontId="23" fillId="7" borderId="11" xfId="0" applyNumberFormat="1" applyFont="1" applyFill="1" applyBorder="1" applyAlignment="1">
      <alignment horizontal="center" vertical="center"/>
    </xf>
    <xf numFmtId="14" fontId="23" fillId="7" borderId="13" xfId="0" applyNumberFormat="1" applyFont="1" applyFill="1" applyBorder="1" applyAlignment="1">
      <alignment horizontal="center" vertical="center"/>
    </xf>
    <xf numFmtId="14" fontId="23" fillId="7" borderId="6" xfId="0" applyNumberFormat="1" applyFont="1" applyFill="1" applyBorder="1" applyAlignment="1">
      <alignment horizontal="center" vertical="center"/>
    </xf>
    <xf numFmtId="0" fontId="23" fillId="7" borderId="13" xfId="0" applyFont="1" applyFill="1" applyBorder="1" applyAlignment="1">
      <alignment horizontal="center" vertical="center"/>
    </xf>
    <xf numFmtId="0" fontId="23" fillId="7" borderId="6" xfId="0" applyFont="1" applyFill="1" applyBorder="1" applyAlignment="1">
      <alignment horizontal="center" vertical="center"/>
    </xf>
    <xf numFmtId="0" fontId="23" fillId="7" borderId="35" xfId="0" applyFont="1" applyFill="1" applyBorder="1" applyAlignment="1">
      <alignment horizontal="center" vertical="center" wrapText="1"/>
    </xf>
    <xf numFmtId="0" fontId="23" fillId="7" borderId="36" xfId="0" applyFont="1" applyFill="1" applyBorder="1" applyAlignment="1">
      <alignment horizontal="center" vertical="center" wrapText="1"/>
    </xf>
    <xf numFmtId="0" fontId="23" fillId="7" borderId="67" xfId="0" applyFont="1" applyFill="1" applyBorder="1" applyAlignment="1">
      <alignment horizontal="center" vertical="center" wrapText="1"/>
    </xf>
    <xf numFmtId="0" fontId="23" fillId="7" borderId="6" xfId="0" applyFont="1" applyFill="1" applyBorder="1" applyAlignment="1">
      <alignment horizontal="justify" vertical="center" wrapText="1"/>
    </xf>
    <xf numFmtId="3" fontId="23" fillId="7" borderId="6" xfId="0" applyNumberFormat="1" applyFont="1" applyFill="1" applyBorder="1" applyAlignment="1">
      <alignment horizontal="center" vertical="center" wrapText="1"/>
    </xf>
    <xf numFmtId="0" fontId="23" fillId="7" borderId="7" xfId="0" applyFont="1" applyFill="1" applyBorder="1" applyAlignment="1">
      <alignment horizontal="justify" vertical="center" wrapText="1"/>
    </xf>
    <xf numFmtId="0" fontId="23" fillId="7" borderId="6" xfId="0" applyFont="1" applyFill="1" applyBorder="1" applyAlignment="1">
      <alignment horizontal="center" vertical="center" wrapText="1"/>
    </xf>
    <xf numFmtId="4" fontId="23" fillId="7" borderId="6" xfId="0" applyNumberFormat="1" applyFont="1" applyFill="1" applyBorder="1" applyAlignment="1">
      <alignment horizontal="right" vertical="center" wrapText="1"/>
    </xf>
    <xf numFmtId="9" fontId="23" fillId="7" borderId="11" xfId="0" applyNumberFormat="1" applyFont="1" applyFill="1" applyBorder="1" applyAlignment="1">
      <alignment horizontal="center" vertical="center"/>
    </xf>
    <xf numFmtId="9" fontId="23" fillId="7" borderId="13" xfId="0" applyNumberFormat="1" applyFont="1" applyFill="1" applyBorder="1" applyAlignment="1">
      <alignment horizontal="center" vertical="center"/>
    </xf>
    <xf numFmtId="9" fontId="23" fillId="7" borderId="6" xfId="0" applyNumberFormat="1" applyFont="1" applyFill="1" applyBorder="1" applyAlignment="1">
      <alignment horizontal="center" vertical="center"/>
    </xf>
    <xf numFmtId="1" fontId="23" fillId="7" borderId="6" xfId="0" applyNumberFormat="1" applyFont="1" applyFill="1" applyBorder="1" applyAlignment="1">
      <alignment horizontal="center" vertical="center" wrapText="1"/>
    </xf>
    <xf numFmtId="0" fontId="23" fillId="7" borderId="14" xfId="0" applyFont="1" applyFill="1" applyBorder="1" applyAlignment="1">
      <alignment horizontal="center" vertical="center" textRotation="90" wrapText="1"/>
    </xf>
    <xf numFmtId="0" fontId="23" fillId="7" borderId="15" xfId="0" applyFont="1" applyFill="1" applyBorder="1" applyAlignment="1">
      <alignment horizontal="center" vertical="center" textRotation="90" wrapText="1"/>
    </xf>
    <xf numFmtId="0" fontId="23" fillId="7" borderId="4" xfId="0" applyFont="1" applyFill="1" applyBorder="1" applyAlignment="1">
      <alignment horizontal="center" vertical="center" textRotation="90" wrapText="1"/>
    </xf>
    <xf numFmtId="0" fontId="23" fillId="7" borderId="10" xfId="0" applyFont="1" applyFill="1" applyBorder="1" applyAlignment="1">
      <alignment horizontal="center" vertical="center" textRotation="90" wrapText="1"/>
    </xf>
    <xf numFmtId="0" fontId="23" fillId="7" borderId="7" xfId="0" applyFont="1" applyFill="1" applyBorder="1" applyAlignment="1">
      <alignment horizontal="center" vertical="center" textRotation="90" wrapText="1"/>
    </xf>
    <xf numFmtId="0" fontId="23" fillId="7" borderId="12" xfId="0" applyFont="1" applyFill="1" applyBorder="1" applyAlignment="1">
      <alignment horizontal="center" vertical="center" textRotation="90" wrapText="1"/>
    </xf>
    <xf numFmtId="0" fontId="23" fillId="9" borderId="8" xfId="0" applyFont="1" applyFill="1" applyBorder="1" applyAlignment="1">
      <alignment horizontal="left" vertical="center" wrapText="1"/>
    </xf>
    <xf numFmtId="0" fontId="23" fillId="9" borderId="9" xfId="0" applyFont="1" applyFill="1" applyBorder="1" applyAlignment="1">
      <alignment horizontal="left" vertical="center" wrapText="1"/>
    </xf>
    <xf numFmtId="0" fontId="23" fillId="0" borderId="6" xfId="0" applyFont="1" applyBorder="1" applyAlignment="1">
      <alignment horizontal="justify" vertical="center" wrapText="1"/>
    </xf>
    <xf numFmtId="0" fontId="23" fillId="7" borderId="6" xfId="0" applyFont="1" applyFill="1" applyBorder="1" applyAlignment="1">
      <alignment horizontal="left" vertical="center" wrapText="1"/>
    </xf>
    <xf numFmtId="0" fontId="23" fillId="16" borderId="8" xfId="0" applyFont="1" applyFill="1" applyBorder="1" applyAlignment="1">
      <alignment horizontal="left" vertical="center" wrapText="1"/>
    </xf>
    <xf numFmtId="0" fontId="23" fillId="16" borderId="9" xfId="0" applyFont="1" applyFill="1" applyBorder="1" applyAlignment="1">
      <alignment horizontal="left" vertical="center" wrapText="1"/>
    </xf>
    <xf numFmtId="165" fontId="23" fillId="7" borderId="6" xfId="0" applyNumberFormat="1" applyFont="1" applyFill="1" applyBorder="1" applyAlignment="1">
      <alignment horizontal="center" vertical="center" wrapText="1"/>
    </xf>
    <xf numFmtId="3" fontId="23" fillId="7" borderId="67" xfId="0" applyNumberFormat="1" applyFont="1" applyFill="1" applyBorder="1" applyAlignment="1">
      <alignment horizontal="left" vertical="center" wrapText="1"/>
    </xf>
    <xf numFmtId="3" fontId="23" fillId="7" borderId="7" xfId="0" applyNumberFormat="1" applyFont="1" applyFill="1" applyBorder="1" applyAlignment="1">
      <alignment horizontal="left" vertical="center" wrapText="1"/>
    </xf>
    <xf numFmtId="10" fontId="23" fillId="7" borderId="13" xfId="0" applyNumberFormat="1" applyFont="1" applyFill="1" applyBorder="1" applyAlignment="1">
      <alignment horizontal="center" vertical="center" wrapText="1"/>
    </xf>
    <xf numFmtId="10" fontId="23" fillId="7" borderId="6" xfId="0" applyNumberFormat="1" applyFont="1" applyFill="1" applyBorder="1" applyAlignment="1">
      <alignment horizontal="center" vertical="center" wrapText="1"/>
    </xf>
    <xf numFmtId="0" fontId="23" fillId="7" borderId="11" xfId="0" applyNumberFormat="1" applyFont="1" applyFill="1" applyBorder="1" applyAlignment="1">
      <alignment horizontal="center" vertical="center" wrapText="1"/>
    </xf>
    <xf numFmtId="0" fontId="23" fillId="7" borderId="13" xfId="0" applyNumberFormat="1" applyFont="1" applyFill="1" applyBorder="1" applyAlignment="1">
      <alignment horizontal="center" vertical="center" wrapText="1"/>
    </xf>
    <xf numFmtId="0" fontId="23" fillId="7" borderId="6" xfId="0" applyNumberFormat="1" applyFont="1" applyFill="1" applyBorder="1" applyAlignment="1">
      <alignment horizontal="center" vertical="center" wrapText="1"/>
    </xf>
    <xf numFmtId="1" fontId="23" fillId="7" borderId="2" xfId="0" applyNumberFormat="1" applyFont="1" applyFill="1" applyBorder="1" applyAlignment="1">
      <alignment horizontal="center" vertical="center" wrapText="1"/>
    </xf>
    <xf numFmtId="0" fontId="23" fillId="7" borderId="2" xfId="0" applyFont="1" applyFill="1" applyBorder="1" applyAlignment="1">
      <alignment horizontal="justify" vertical="center" wrapText="1"/>
    </xf>
    <xf numFmtId="43" fontId="23" fillId="7" borderId="2" xfId="1" applyFont="1" applyFill="1" applyBorder="1" applyAlignment="1">
      <alignment horizontal="right" vertical="center" wrapText="1"/>
    </xf>
    <xf numFmtId="43" fontId="23" fillId="7" borderId="11" xfId="1" applyFont="1" applyFill="1" applyBorder="1" applyAlignment="1">
      <alignment horizontal="right" vertical="center" wrapText="1"/>
    </xf>
    <xf numFmtId="43" fontId="23" fillId="7" borderId="6" xfId="1" applyFont="1" applyFill="1" applyBorder="1" applyAlignment="1">
      <alignment horizontal="right" vertical="center" wrapText="1"/>
    </xf>
    <xf numFmtId="0" fontId="23" fillId="7" borderId="13" xfId="0" applyFont="1" applyFill="1" applyBorder="1" applyAlignment="1">
      <alignment horizontal="left" vertical="center" wrapText="1"/>
    </xf>
    <xf numFmtId="10" fontId="23" fillId="7" borderId="11" xfId="0" applyNumberFormat="1" applyFont="1" applyFill="1" applyBorder="1" applyAlignment="1">
      <alignment horizontal="center" vertical="center"/>
    </xf>
    <xf numFmtId="10" fontId="23" fillId="7" borderId="13" xfId="0" applyNumberFormat="1" applyFont="1" applyFill="1" applyBorder="1" applyAlignment="1">
      <alignment horizontal="center" vertical="center"/>
    </xf>
    <xf numFmtId="10" fontId="23" fillId="7" borderId="6" xfId="0" applyNumberFormat="1" applyFont="1" applyFill="1" applyBorder="1" applyAlignment="1">
      <alignment horizontal="center" vertical="center"/>
    </xf>
    <xf numFmtId="0" fontId="23" fillId="7" borderId="4" xfId="0" applyFont="1" applyFill="1" applyBorder="1" applyAlignment="1">
      <alignment horizontal="left" vertical="center" wrapText="1"/>
    </xf>
    <xf numFmtId="9" fontId="23" fillId="7" borderId="11" xfId="0" applyNumberFormat="1" applyFont="1" applyFill="1" applyBorder="1" applyAlignment="1">
      <alignment horizontal="center" vertical="center" wrapText="1"/>
    </xf>
    <xf numFmtId="9" fontId="23" fillId="7" borderId="13" xfId="0" applyNumberFormat="1" applyFont="1" applyFill="1" applyBorder="1" applyAlignment="1">
      <alignment horizontal="center" vertical="center" wrapText="1"/>
    </xf>
    <xf numFmtId="9" fontId="23" fillId="7" borderId="6" xfId="0" applyNumberFormat="1" applyFont="1" applyFill="1" applyBorder="1" applyAlignment="1">
      <alignment horizontal="center" vertical="center" wrapText="1"/>
    </xf>
    <xf numFmtId="0" fontId="23" fillId="0" borderId="4" xfId="0" applyFont="1" applyBorder="1" applyAlignment="1">
      <alignment horizontal="justify" vertical="center" wrapText="1"/>
    </xf>
    <xf numFmtId="165" fontId="7" fillId="5" borderId="4" xfId="0" applyNumberFormat="1" applyFont="1" applyFill="1" applyBorder="1" applyAlignment="1">
      <alignment horizontal="center" vertical="center" wrapText="1"/>
    </xf>
    <xf numFmtId="165" fontId="7" fillId="5" borderId="10" xfId="0" applyNumberFormat="1" applyFont="1" applyFill="1" applyBorder="1" applyAlignment="1">
      <alignment horizontal="center" vertical="center" wrapText="1"/>
    </xf>
    <xf numFmtId="165" fontId="7" fillId="5" borderId="7" xfId="0" applyNumberFormat="1" applyFont="1" applyFill="1" applyBorder="1" applyAlignment="1">
      <alignment horizontal="center" vertical="center" wrapText="1"/>
    </xf>
    <xf numFmtId="165" fontId="7" fillId="5" borderId="12" xfId="0" applyNumberFormat="1" applyFont="1" applyFill="1" applyBorder="1" applyAlignment="1">
      <alignment horizontal="center" vertical="center" wrapText="1"/>
    </xf>
    <xf numFmtId="0" fontId="7" fillId="5" borderId="8" xfId="0" applyFont="1" applyFill="1" applyBorder="1" applyAlignment="1">
      <alignment horizontal="center" vertical="center" textRotation="90"/>
    </xf>
    <xf numFmtId="0" fontId="7" fillId="5" borderId="1" xfId="0" applyFont="1" applyFill="1" applyBorder="1" applyAlignment="1">
      <alignment horizontal="center" vertical="center" textRotation="90"/>
    </xf>
    <xf numFmtId="0" fontId="7" fillId="5" borderId="7" xfId="0" applyFont="1" applyFill="1" applyBorder="1" applyAlignment="1">
      <alignment horizontal="center" vertical="center" textRotation="90" wrapText="1"/>
    </xf>
    <xf numFmtId="0" fontId="7" fillId="5" borderId="12" xfId="0" applyFont="1" applyFill="1" applyBorder="1" applyAlignment="1">
      <alignment horizontal="center" vertical="center" textRotation="90" wrapText="1"/>
    </xf>
    <xf numFmtId="4" fontId="23" fillId="7" borderId="11" xfId="0" applyNumberFormat="1" applyFont="1" applyFill="1" applyBorder="1" applyAlignment="1">
      <alignment horizontal="center" vertical="center" wrapText="1"/>
    </xf>
    <xf numFmtId="4" fontId="23" fillId="7" borderId="13" xfId="0" applyNumberFormat="1" applyFont="1" applyFill="1" applyBorder="1" applyAlignment="1">
      <alignment horizontal="center" vertical="center" wrapText="1"/>
    </xf>
    <xf numFmtId="4" fontId="23" fillId="7" borderId="6" xfId="0" applyNumberFormat="1" applyFont="1" applyFill="1" applyBorder="1" applyAlignment="1">
      <alignment horizontal="center" vertical="center" wrapText="1"/>
    </xf>
    <xf numFmtId="0" fontId="6" fillId="9" borderId="8" xfId="0" applyFont="1" applyFill="1" applyBorder="1" applyAlignment="1">
      <alignment horizontal="left" vertical="center" wrapText="1"/>
    </xf>
    <xf numFmtId="0" fontId="6" fillId="9" borderId="9" xfId="0" applyFont="1" applyFill="1" applyBorder="1" applyAlignment="1">
      <alignment horizontal="left" vertical="center" wrapText="1"/>
    </xf>
    <xf numFmtId="0" fontId="5" fillId="9" borderId="9" xfId="0" applyFont="1" applyFill="1" applyBorder="1" applyAlignment="1">
      <alignment horizontal="center" vertical="center" wrapText="1"/>
    </xf>
    <xf numFmtId="0" fontId="5" fillId="9" borderId="60" xfId="0" applyFont="1" applyFill="1" applyBorder="1" applyAlignment="1">
      <alignment horizontal="center" vertical="center" wrapText="1"/>
    </xf>
    <xf numFmtId="172" fontId="7" fillId="5" borderId="2" xfId="0" applyNumberFormat="1" applyFont="1" applyFill="1" applyBorder="1" applyAlignment="1">
      <alignment horizontal="center" vertical="center" wrapText="1"/>
    </xf>
    <xf numFmtId="3" fontId="7" fillId="5" borderId="11" xfId="0" applyNumberFormat="1" applyFont="1" applyFill="1" applyBorder="1" applyAlignment="1">
      <alignment horizontal="center" vertical="center" wrapText="1"/>
    </xf>
    <xf numFmtId="3" fontId="7" fillId="5" borderId="13" xfId="0" applyNumberFormat="1" applyFont="1" applyFill="1" applyBorder="1" applyAlignment="1">
      <alignment horizontal="center" vertical="center" wrapText="1"/>
    </xf>
    <xf numFmtId="3" fontId="7" fillId="5" borderId="62" xfId="0" applyNumberFormat="1" applyFont="1" applyFill="1" applyBorder="1" applyAlignment="1">
      <alignment horizontal="center" vertical="center" wrapText="1"/>
    </xf>
    <xf numFmtId="3" fontId="7" fillId="5" borderId="64" xfId="0" applyNumberFormat="1" applyFont="1" applyFill="1" applyBorder="1" applyAlignment="1">
      <alignment horizontal="center" vertical="center" wrapText="1"/>
    </xf>
    <xf numFmtId="3" fontId="7" fillId="5" borderId="66" xfId="0" applyNumberFormat="1" applyFont="1" applyFill="1" applyBorder="1" applyAlignment="1">
      <alignment horizontal="center" vertical="center" wrapText="1"/>
    </xf>
    <xf numFmtId="3" fontId="7" fillId="5" borderId="2" xfId="0" applyNumberFormat="1" applyFont="1" applyFill="1" applyBorder="1" applyAlignment="1">
      <alignment horizontal="center" vertical="center" textRotation="90" wrapText="1"/>
    </xf>
    <xf numFmtId="0" fontId="7" fillId="5" borderId="8" xfId="0" applyFont="1" applyFill="1" applyBorder="1" applyAlignment="1">
      <alignment horizontal="center" vertical="center" textRotation="90" wrapText="1"/>
    </xf>
    <xf numFmtId="0" fontId="7" fillId="5" borderId="1" xfId="0" applyFont="1" applyFill="1" applyBorder="1" applyAlignment="1">
      <alignment horizontal="center" vertical="center" textRotation="90" wrapText="1"/>
    </xf>
    <xf numFmtId="170" fontId="7" fillId="5" borderId="2" xfId="0" applyNumberFormat="1" applyFont="1" applyFill="1" applyBorder="1" applyAlignment="1">
      <alignment horizontal="center" vertical="center" wrapText="1"/>
    </xf>
    <xf numFmtId="2" fontId="7" fillId="5" borderId="2" xfId="0" applyNumberFormat="1"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4" borderId="4" xfId="0" applyFont="1" applyFill="1" applyBorder="1" applyAlignment="1">
      <alignment horizontal="center" vertical="center" textRotation="90" wrapText="1"/>
    </xf>
    <xf numFmtId="0" fontId="7" fillId="4" borderId="10" xfId="0" applyFont="1" applyFill="1" applyBorder="1" applyAlignment="1">
      <alignment horizontal="center" vertical="center" textRotation="90" wrapText="1"/>
    </xf>
    <xf numFmtId="0" fontId="7" fillId="4" borderId="7" xfId="0" applyFont="1" applyFill="1" applyBorder="1" applyAlignment="1">
      <alignment horizontal="center" vertical="center" textRotation="90" wrapText="1"/>
    </xf>
    <xf numFmtId="0" fontId="7" fillId="4" borderId="12" xfId="0" applyFont="1" applyFill="1" applyBorder="1" applyAlignment="1">
      <alignment horizontal="center" vertical="center" textRotation="90" wrapText="1"/>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60" xfId="0" applyFont="1" applyBorder="1" applyAlignment="1">
      <alignment horizontal="center" vertical="center"/>
    </xf>
    <xf numFmtId="1" fontId="6" fillId="3" borderId="61" xfId="0" applyNumberFormat="1" applyFont="1" applyFill="1" applyBorder="1" applyAlignment="1">
      <alignment horizontal="center" vertical="center" wrapText="1"/>
    </xf>
    <xf numFmtId="1" fontId="6" fillId="3" borderId="63" xfId="0" applyNumberFormat="1" applyFont="1" applyFill="1" applyBorder="1" applyAlignment="1">
      <alignment horizontal="center" vertical="center" wrapText="1"/>
    </xf>
    <xf numFmtId="1" fontId="6" fillId="3" borderId="65" xfId="0" applyNumberFormat="1" applyFont="1" applyFill="1" applyBorder="1" applyAlignment="1">
      <alignment horizontal="center" vertical="center" wrapText="1"/>
    </xf>
    <xf numFmtId="41" fontId="7" fillId="5" borderId="4" xfId="9" applyFont="1" applyFill="1" applyBorder="1" applyAlignment="1">
      <alignment horizontal="center" vertical="center" wrapText="1"/>
    </xf>
    <xf numFmtId="41" fontId="7" fillId="5" borderId="5" xfId="9" applyFont="1" applyFill="1" applyBorder="1" applyAlignment="1">
      <alignment horizontal="center" vertical="center" wrapText="1"/>
    </xf>
    <xf numFmtId="41" fontId="7" fillId="5" borderId="10" xfId="9" applyFont="1" applyFill="1" applyBorder="1" applyAlignment="1">
      <alignment horizontal="center" vertical="center" wrapText="1"/>
    </xf>
    <xf numFmtId="41" fontId="7" fillId="5" borderId="7" xfId="9" applyFont="1" applyFill="1" applyBorder="1" applyAlignment="1">
      <alignment horizontal="center" vertical="center" wrapText="1"/>
    </xf>
    <xf numFmtId="41" fontId="7" fillId="5" borderId="3" xfId="9" applyFont="1" applyFill="1" applyBorder="1" applyAlignment="1">
      <alignment horizontal="center" vertical="center" wrapText="1"/>
    </xf>
    <xf numFmtId="41" fontId="7" fillId="5" borderId="12" xfId="9" applyFont="1" applyFill="1" applyBorder="1" applyAlignment="1">
      <alignment horizontal="center" vertical="center" wrapText="1"/>
    </xf>
    <xf numFmtId="1" fontId="7" fillId="5" borderId="11" xfId="0" applyNumberFormat="1" applyFont="1" applyFill="1" applyBorder="1" applyAlignment="1">
      <alignment horizontal="center" vertical="center" wrapText="1"/>
    </xf>
    <xf numFmtId="1" fontId="7" fillId="5" borderId="13" xfId="0" applyNumberFormat="1" applyFont="1" applyFill="1" applyBorder="1" applyAlignment="1">
      <alignment horizontal="center" vertical="center" wrapText="1"/>
    </xf>
    <xf numFmtId="1" fontId="7" fillId="5" borderId="6" xfId="0" applyNumberFormat="1"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6" fillId="16" borderId="8" xfId="0" applyFont="1" applyFill="1" applyBorder="1" applyAlignment="1">
      <alignment horizontal="left" vertical="center" wrapText="1"/>
    </xf>
    <xf numFmtId="0" fontId="6" fillId="16" borderId="9" xfId="0" applyFont="1" applyFill="1" applyBorder="1" applyAlignment="1">
      <alignment horizontal="left" vertical="center" wrapText="1"/>
    </xf>
    <xf numFmtId="0" fontId="6" fillId="16" borderId="9" xfId="0" applyFont="1" applyFill="1" applyBorder="1" applyAlignment="1">
      <alignment horizontal="center" vertical="center" wrapText="1"/>
    </xf>
    <xf numFmtId="0" fontId="6" fillId="16" borderId="60" xfId="0" applyFont="1" applyFill="1" applyBorder="1" applyAlignment="1">
      <alignment horizontal="center" vertical="center" wrapText="1"/>
    </xf>
    <xf numFmtId="0" fontId="7" fillId="0" borderId="0" xfId="0" applyFont="1" applyAlignment="1">
      <alignment horizontal="justify" vertical="top" wrapText="1"/>
    </xf>
    <xf numFmtId="0" fontId="7" fillId="0" borderId="5" xfId="0" applyFont="1" applyBorder="1" applyAlignment="1">
      <alignment horizontal="center"/>
    </xf>
    <xf numFmtId="14" fontId="9" fillId="0" borderId="11" xfId="0" applyNumberFormat="1" applyFont="1" applyFill="1" applyBorder="1" applyAlignment="1">
      <alignment horizontal="center" vertical="center" wrapText="1"/>
    </xf>
    <xf numFmtId="14" fontId="9" fillId="0" borderId="13" xfId="0" applyNumberFormat="1" applyFont="1" applyFill="1" applyBorder="1" applyAlignment="1">
      <alignment horizontal="center" vertical="center" wrapText="1"/>
    </xf>
    <xf numFmtId="14" fontId="9" fillId="0" borderId="26" xfId="0" applyNumberFormat="1" applyFont="1" applyFill="1" applyBorder="1" applyAlignment="1">
      <alignment horizontal="center" vertical="center" wrapText="1"/>
    </xf>
    <xf numFmtId="3" fontId="9" fillId="0" borderId="35" xfId="0" applyNumberFormat="1" applyFont="1" applyFill="1" applyBorder="1" applyAlignment="1">
      <alignment horizontal="justify" vertical="center" wrapText="1"/>
    </xf>
    <xf numFmtId="3" fontId="9" fillId="0" borderId="36" xfId="0" applyNumberFormat="1" applyFont="1" applyFill="1" applyBorder="1" applyAlignment="1">
      <alignment horizontal="justify" vertical="center" wrapText="1"/>
    </xf>
    <xf numFmtId="0" fontId="9" fillId="0" borderId="14" xfId="0" applyFont="1" applyFill="1" applyBorder="1" applyAlignment="1">
      <alignment horizontal="justify" vertical="center" wrapText="1"/>
    </xf>
    <xf numFmtId="43" fontId="9" fillId="0" borderId="7" xfId="1" applyFont="1" applyFill="1" applyBorder="1" applyAlignment="1">
      <alignment horizontal="center" vertical="center" wrapText="1"/>
    </xf>
    <xf numFmtId="43" fontId="9" fillId="0" borderId="4" xfId="1" applyFont="1" applyFill="1" applyBorder="1" applyAlignment="1">
      <alignment horizontal="center" vertical="center" wrapText="1"/>
    </xf>
    <xf numFmtId="1" fontId="9" fillId="0" borderId="52" xfId="0" applyNumberFormat="1" applyFont="1" applyFill="1" applyBorder="1" applyAlignment="1">
      <alignment horizontal="center" vertical="center" wrapText="1"/>
    </xf>
    <xf numFmtId="1" fontId="9" fillId="0" borderId="16" xfId="0" applyNumberFormat="1"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16" xfId="0" applyFont="1" applyFill="1" applyBorder="1" applyAlignment="1">
      <alignment horizontal="center" vertical="center" wrapText="1"/>
    </xf>
    <xf numFmtId="166" fontId="9" fillId="0" borderId="11" xfId="1" applyNumberFormat="1" applyFont="1" applyFill="1" applyBorder="1" applyAlignment="1">
      <alignment horizontal="center" vertical="center" wrapText="1"/>
    </xf>
    <xf numFmtId="166" fontId="9" fillId="0" borderId="13" xfId="1" applyNumberFormat="1" applyFont="1" applyFill="1" applyBorder="1" applyAlignment="1">
      <alignment horizontal="center" vertical="center" wrapText="1"/>
    </xf>
    <xf numFmtId="166" fontId="9" fillId="0" borderId="26" xfId="1" applyNumberFormat="1" applyFont="1" applyFill="1" applyBorder="1" applyAlignment="1">
      <alignment horizontal="center" vertical="center" wrapText="1"/>
    </xf>
    <xf numFmtId="9" fontId="9" fillId="0" borderId="11" xfId="2" applyFont="1" applyFill="1" applyBorder="1" applyAlignment="1">
      <alignment horizontal="center" vertical="center" wrapText="1"/>
    </xf>
    <xf numFmtId="9" fontId="9" fillId="0" borderId="13" xfId="2" applyFont="1" applyFill="1" applyBorder="1" applyAlignment="1">
      <alignment horizontal="center" vertical="center" wrapText="1"/>
    </xf>
    <xf numFmtId="9" fontId="9" fillId="0" borderId="26" xfId="2" applyFont="1" applyFill="1" applyBorder="1" applyAlignment="1">
      <alignment horizontal="center" vertical="center" wrapText="1"/>
    </xf>
    <xf numFmtId="0" fontId="9" fillId="0" borderId="11" xfId="1" applyNumberFormat="1" applyFont="1" applyFill="1" applyBorder="1" applyAlignment="1">
      <alignment horizontal="center" vertical="center" wrapText="1"/>
    </xf>
    <xf numFmtId="0" fontId="9" fillId="0" borderId="13" xfId="1" applyNumberFormat="1" applyFont="1" applyFill="1" applyBorder="1" applyAlignment="1">
      <alignment horizontal="center" vertical="center" wrapText="1"/>
    </xf>
    <xf numFmtId="1" fontId="9" fillId="0" borderId="26" xfId="0" applyNumberFormat="1" applyFont="1" applyFill="1" applyBorder="1" applyAlignment="1">
      <alignment horizontal="center" vertical="center" wrapText="1"/>
    </xf>
    <xf numFmtId="166" fontId="9" fillId="0" borderId="10" xfId="1" applyNumberFormat="1" applyFont="1" applyFill="1" applyBorder="1" applyAlignment="1">
      <alignment horizontal="center" vertical="center" wrapText="1"/>
    </xf>
    <xf numFmtId="166" fontId="9" fillId="0" borderId="15" xfId="1" applyNumberFormat="1" applyFont="1" applyFill="1" applyBorder="1" applyAlignment="1">
      <alignment horizontal="center" vertical="center" wrapText="1"/>
    </xf>
    <xf numFmtId="0" fontId="9" fillId="0" borderId="16"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13" xfId="0" applyFont="1" applyFill="1" applyBorder="1" applyAlignment="1">
      <alignment horizontal="justify" vertical="center" wrapText="1"/>
    </xf>
    <xf numFmtId="9" fontId="9" fillId="0" borderId="11" xfId="0" applyNumberFormat="1" applyFont="1" applyFill="1" applyBorder="1" applyAlignment="1">
      <alignment horizontal="center" vertical="center" wrapText="1"/>
    </xf>
    <xf numFmtId="9" fontId="9" fillId="0" borderId="13" xfId="0" applyNumberFormat="1" applyFont="1" applyFill="1" applyBorder="1" applyAlignment="1">
      <alignment horizontal="center" vertical="center" wrapText="1"/>
    </xf>
    <xf numFmtId="43" fontId="9" fillId="0" borderId="13" xfId="1" applyFont="1" applyFill="1" applyBorder="1" applyAlignment="1">
      <alignment horizontal="center" vertical="center" wrapText="1"/>
    </xf>
    <xf numFmtId="0" fontId="9" fillId="0" borderId="4" xfId="0" applyFont="1" applyFill="1" applyBorder="1" applyAlignment="1">
      <alignment horizontal="justify" vertical="center" wrapText="1"/>
    </xf>
    <xf numFmtId="0" fontId="9" fillId="0" borderId="7" xfId="0" applyFont="1" applyFill="1" applyBorder="1" applyAlignment="1">
      <alignment horizontal="justify" vertical="center" wrapText="1"/>
    </xf>
    <xf numFmtId="43" fontId="9" fillId="0" borderId="2" xfId="1" applyFont="1" applyFill="1" applyBorder="1" applyAlignment="1">
      <alignment horizontal="center" vertical="center" wrapText="1"/>
    </xf>
    <xf numFmtId="43" fontId="9" fillId="7" borderId="10" xfId="1" applyFont="1" applyFill="1" applyBorder="1" applyAlignment="1">
      <alignment horizontal="center" vertical="center" wrapText="1"/>
    </xf>
    <xf numFmtId="43" fontId="9" fillId="7" borderId="12" xfId="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0" fontId="9" fillId="0" borderId="4" xfId="0" applyFont="1" applyBorder="1" applyAlignment="1">
      <alignment horizontal="center"/>
    </xf>
    <xf numFmtId="0" fontId="9" fillId="0" borderId="5" xfId="0" applyFont="1" applyBorder="1" applyAlignment="1">
      <alignment horizontal="center"/>
    </xf>
    <xf numFmtId="0" fontId="9" fillId="0" borderId="10" xfId="0" applyFont="1" applyBorder="1" applyAlignment="1">
      <alignment horizontal="center"/>
    </xf>
    <xf numFmtId="0" fontId="9" fillId="0" borderId="14" xfId="0" applyFont="1" applyBorder="1" applyAlignment="1">
      <alignment horizontal="center"/>
    </xf>
    <xf numFmtId="0" fontId="9" fillId="0" borderId="0" xfId="0" applyFont="1" applyAlignment="1">
      <alignment horizontal="center"/>
    </xf>
    <xf numFmtId="0" fontId="9" fillId="0" borderId="15" xfId="0" applyFont="1" applyBorder="1" applyAlignment="1">
      <alignment horizontal="center"/>
    </xf>
    <xf numFmtId="0" fontId="9" fillId="0" borderId="6" xfId="0" applyFont="1" applyFill="1" applyBorder="1" applyAlignment="1">
      <alignment horizontal="justify" vertical="center" wrapText="1"/>
    </xf>
    <xf numFmtId="9" fontId="9" fillId="0" borderId="6" xfId="0" applyNumberFormat="1" applyFont="1" applyFill="1" applyBorder="1" applyAlignment="1">
      <alignment horizontal="center" vertical="center" wrapText="1"/>
    </xf>
    <xf numFmtId="3" fontId="9" fillId="0" borderId="11" xfId="0" applyNumberFormat="1" applyFont="1" applyFill="1" applyBorder="1" applyAlignment="1">
      <alignment horizontal="justify" vertical="center" wrapText="1"/>
    </xf>
    <xf numFmtId="3" fontId="9" fillId="0" borderId="13" xfId="0" applyNumberFormat="1" applyFont="1" applyFill="1" applyBorder="1" applyAlignment="1">
      <alignment horizontal="justify" vertical="center" wrapText="1"/>
    </xf>
    <xf numFmtId="3" fontId="9" fillId="0" borderId="6" xfId="0" applyNumberFormat="1" applyFont="1" applyFill="1" applyBorder="1" applyAlignment="1">
      <alignment horizontal="justify" vertical="center" wrapText="1"/>
    </xf>
    <xf numFmtId="3" fontId="9" fillId="0" borderId="4" xfId="0" applyNumberFormat="1" applyFont="1" applyFill="1" applyBorder="1" applyAlignment="1">
      <alignment horizontal="justify" vertical="center" wrapText="1"/>
    </xf>
    <xf numFmtId="3" fontId="9" fillId="0" borderId="14" xfId="0" applyNumberFormat="1" applyFont="1" applyFill="1" applyBorder="1" applyAlignment="1">
      <alignment horizontal="justify" vertical="center" wrapText="1"/>
    </xf>
    <xf numFmtId="166" fontId="9" fillId="0" borderId="6" xfId="1" applyNumberFormat="1"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3" fontId="9" fillId="0" borderId="67" xfId="0" applyNumberFormat="1" applyFont="1" applyFill="1" applyBorder="1" applyAlignment="1">
      <alignment horizontal="justify" vertical="center" wrapText="1"/>
    </xf>
    <xf numFmtId="0" fontId="9" fillId="0" borderId="6" xfId="1" applyNumberFormat="1" applyFont="1" applyFill="1" applyBorder="1" applyAlignment="1">
      <alignment horizontal="center" vertical="center" wrapText="1"/>
    </xf>
    <xf numFmtId="9" fontId="9" fillId="0" borderId="6" xfId="2"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 fontId="7" fillId="0" borderId="6" xfId="0" applyNumberFormat="1" applyFont="1" applyFill="1" applyBorder="1" applyAlignment="1">
      <alignment horizontal="center" vertical="center" wrapText="1"/>
    </xf>
    <xf numFmtId="0" fontId="9" fillId="0" borderId="3" xfId="0" applyFont="1" applyBorder="1" applyAlignment="1">
      <alignment horizontal="center"/>
    </xf>
    <xf numFmtId="0" fontId="9" fillId="0" borderId="12" xfId="0" applyFont="1" applyBorder="1" applyAlignment="1">
      <alignment horizontal="center"/>
    </xf>
    <xf numFmtId="0" fontId="9" fillId="0" borderId="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wrapText="1"/>
    </xf>
    <xf numFmtId="43" fontId="9" fillId="0" borderId="16" xfId="1" applyFont="1" applyFill="1" applyBorder="1" applyAlignment="1">
      <alignment horizontal="center" vertical="center" wrapText="1"/>
    </xf>
    <xf numFmtId="43" fontId="9" fillId="0" borderId="18" xfId="1" applyFont="1" applyFill="1" applyBorder="1" applyAlignment="1">
      <alignment horizontal="center" vertical="center" wrapText="1"/>
    </xf>
    <xf numFmtId="43" fontId="9" fillId="0" borderId="52" xfId="1" applyFont="1" applyFill="1" applyBorder="1" applyAlignment="1">
      <alignment horizontal="center" vertical="center" wrapText="1"/>
    </xf>
    <xf numFmtId="43" fontId="9" fillId="0" borderId="73" xfId="1" applyFont="1" applyFill="1" applyBorder="1" applyAlignment="1">
      <alignment horizontal="center" vertical="center" wrapText="1"/>
    </xf>
    <xf numFmtId="169" fontId="9" fillId="0" borderId="11" xfId="1" applyNumberFormat="1" applyFont="1" applyFill="1" applyBorder="1" applyAlignment="1">
      <alignment horizontal="center" vertical="center" wrapText="1"/>
    </xf>
    <xf numFmtId="169" fontId="9" fillId="0" borderId="13" xfId="1" applyNumberFormat="1" applyFont="1" applyFill="1" applyBorder="1" applyAlignment="1">
      <alignment horizontal="center" vertical="center" wrapText="1"/>
    </xf>
    <xf numFmtId="169" fontId="9" fillId="0" borderId="6" xfId="1" applyNumberFormat="1" applyFont="1" applyFill="1" applyBorder="1" applyAlignment="1">
      <alignment horizontal="center" vertical="center" wrapText="1"/>
    </xf>
    <xf numFmtId="9" fontId="9" fillId="0" borderId="11" xfId="1" applyNumberFormat="1" applyFont="1" applyFill="1" applyBorder="1" applyAlignment="1">
      <alignment horizontal="center" vertical="center" wrapText="1"/>
    </xf>
    <xf numFmtId="9" fontId="9" fillId="0" borderId="13" xfId="1" applyNumberFormat="1" applyFont="1" applyFill="1" applyBorder="1" applyAlignment="1">
      <alignment horizontal="center" vertical="center" wrapText="1"/>
    </xf>
    <xf numFmtId="9" fontId="9" fillId="0" borderId="6" xfId="1" applyNumberFormat="1" applyFont="1" applyFill="1" applyBorder="1" applyAlignment="1">
      <alignment horizontal="center" vertical="center" wrapText="1"/>
    </xf>
    <xf numFmtId="0" fontId="9" fillId="7" borderId="4" xfId="0" applyFont="1" applyFill="1" applyBorder="1" applyAlignment="1">
      <alignment horizontal="center"/>
    </xf>
    <xf numFmtId="0" fontId="9" fillId="7" borderId="5" xfId="0" applyFont="1" applyFill="1" applyBorder="1" applyAlignment="1">
      <alignment horizontal="center"/>
    </xf>
    <xf numFmtId="0" fontId="9" fillId="7" borderId="10" xfId="0" applyFont="1" applyFill="1" applyBorder="1" applyAlignment="1">
      <alignment horizontal="center"/>
    </xf>
    <xf numFmtId="0" fontId="9" fillId="7" borderId="14" xfId="0" applyFont="1" applyFill="1" applyBorder="1" applyAlignment="1">
      <alignment horizontal="center"/>
    </xf>
    <xf numFmtId="0" fontId="9" fillId="7" borderId="0" xfId="0" applyFont="1" applyFill="1" applyAlignment="1">
      <alignment horizontal="center"/>
    </xf>
    <xf numFmtId="0" fontId="9" fillId="7" borderId="15" xfId="0" applyFont="1" applyFill="1" applyBorder="1" applyAlignment="1">
      <alignment horizontal="center"/>
    </xf>
    <xf numFmtId="1" fontId="9" fillId="0" borderId="15" xfId="0" applyNumberFormat="1" applyFont="1" applyFill="1" applyBorder="1" applyAlignment="1">
      <alignment horizontal="center" vertical="center" wrapText="1"/>
    </xf>
    <xf numFmtId="10" fontId="9" fillId="0" borderId="16" xfId="0" applyNumberFormat="1" applyFont="1" applyFill="1" applyBorder="1" applyAlignment="1">
      <alignment horizontal="center" vertical="center" wrapText="1"/>
    </xf>
    <xf numFmtId="0" fontId="9" fillId="0" borderId="2" xfId="0" applyFont="1" applyFill="1" applyBorder="1" applyAlignment="1">
      <alignment horizontal="justify" vertical="center" wrapText="1"/>
    </xf>
    <xf numFmtId="3" fontId="9" fillId="0" borderId="7" xfId="0" applyNumberFormat="1" applyFont="1" applyFill="1" applyBorder="1" applyAlignment="1">
      <alignment horizontal="justify" vertical="center" wrapText="1"/>
    </xf>
    <xf numFmtId="3" fontId="9" fillId="0" borderId="8" xfId="0" applyNumberFormat="1" applyFont="1" applyFill="1" applyBorder="1" applyAlignment="1">
      <alignment horizontal="justify" vertical="center" wrapText="1"/>
    </xf>
    <xf numFmtId="1" fontId="9" fillId="0" borderId="50" xfId="0" applyNumberFormat="1" applyFont="1" applyFill="1" applyBorder="1" applyAlignment="1">
      <alignment horizontal="center" vertical="center" wrapText="1"/>
    </xf>
    <xf numFmtId="1" fontId="9" fillId="0" borderId="51"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43" fontId="9" fillId="0" borderId="70" xfId="1" applyFont="1" applyFill="1" applyBorder="1" applyAlignment="1">
      <alignment horizontal="center" vertical="center" wrapText="1"/>
    </xf>
    <xf numFmtId="166" fontId="9" fillId="0" borderId="12" xfId="1" applyNumberFormat="1" applyFont="1" applyFill="1" applyBorder="1" applyAlignment="1">
      <alignment horizontal="center" vertical="center" wrapText="1"/>
    </xf>
    <xf numFmtId="43" fontId="9" fillId="0" borderId="15" xfId="1" applyFont="1" applyFill="1" applyBorder="1" applyAlignment="1">
      <alignment horizontal="center" vertical="center" wrapText="1"/>
    </xf>
    <xf numFmtId="0" fontId="9" fillId="0" borderId="17" xfId="0" applyFont="1" applyFill="1" applyBorder="1" applyAlignment="1">
      <alignment horizontal="justify" vertical="center" wrapText="1"/>
    </xf>
    <xf numFmtId="3" fontId="9" fillId="0" borderId="2" xfId="0" applyNumberFormat="1" applyFont="1" applyFill="1" applyBorder="1" applyAlignment="1">
      <alignment horizontal="justify" vertical="center" wrapText="1"/>
    </xf>
    <xf numFmtId="0" fontId="7" fillId="7" borderId="5" xfId="0" applyFont="1" applyFill="1" applyBorder="1" applyAlignment="1">
      <alignment horizontal="center" vertical="center" wrapText="1"/>
    </xf>
    <xf numFmtId="0" fontId="7" fillId="7" borderId="0" xfId="0" applyFont="1" applyFill="1" applyAlignment="1">
      <alignment horizontal="center" vertical="center" wrapText="1"/>
    </xf>
    <xf numFmtId="0" fontId="7" fillId="7" borderId="3"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8" xfId="0" applyFont="1" applyFill="1" applyBorder="1" applyAlignment="1">
      <alignment horizontal="justify" vertical="center" wrapText="1"/>
    </xf>
    <xf numFmtId="2" fontId="9" fillId="0" borderId="11" xfId="0" applyNumberFormat="1"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170" fontId="9" fillId="0" borderId="11" xfId="0" applyNumberFormat="1" applyFont="1" applyFill="1" applyBorder="1" applyAlignment="1">
      <alignment horizontal="center" vertical="center" wrapText="1"/>
    </xf>
    <xf numFmtId="170" fontId="9" fillId="0" borderId="13" xfId="0"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0" fontId="9" fillId="0" borderId="15" xfId="0" applyFont="1" applyFill="1" applyBorder="1" applyAlignment="1">
      <alignment horizontal="justify" vertical="center" wrapText="1"/>
    </xf>
    <xf numFmtId="43" fontId="9" fillId="0" borderId="11" xfId="1" applyFont="1" applyFill="1" applyBorder="1" applyAlignment="1">
      <alignment horizontal="center" vertical="center"/>
    </xf>
    <xf numFmtId="43" fontId="9" fillId="0" borderId="13" xfId="1" applyFont="1" applyFill="1" applyBorder="1" applyAlignment="1">
      <alignment horizontal="center" vertical="center"/>
    </xf>
    <xf numFmtId="0" fontId="7" fillId="3" borderId="8" xfId="0" applyFont="1" applyFill="1" applyBorder="1" applyAlignment="1">
      <alignment horizontal="center" vertical="center" textRotation="90" wrapText="1"/>
    </xf>
    <xf numFmtId="0" fontId="7" fillId="3" borderId="1" xfId="0" applyFont="1" applyFill="1" applyBorder="1" applyAlignment="1">
      <alignment horizontal="center" vertical="center" textRotation="90" wrapText="1"/>
    </xf>
    <xf numFmtId="0" fontId="7" fillId="3" borderId="2" xfId="0" applyFont="1" applyFill="1" applyBorder="1" applyAlignment="1">
      <alignment horizontal="center" vertical="center" textRotation="90" wrapText="1"/>
    </xf>
    <xf numFmtId="1" fontId="7" fillId="7" borderId="59" xfId="0" applyNumberFormat="1" applyFont="1" applyFill="1" applyBorder="1" applyAlignment="1">
      <alignment horizontal="center" vertical="center" wrapText="1"/>
    </xf>
    <xf numFmtId="1" fontId="7" fillId="7" borderId="5" xfId="0" applyNumberFormat="1" applyFont="1" applyFill="1" applyBorder="1" applyAlignment="1">
      <alignment horizontal="center" vertical="center" wrapText="1"/>
    </xf>
    <xf numFmtId="1" fontId="7" fillId="7" borderId="45" xfId="0" applyNumberFormat="1" applyFont="1" applyFill="1" applyBorder="1" applyAlignment="1">
      <alignment horizontal="center" vertical="center" wrapText="1"/>
    </xf>
    <xf numFmtId="1" fontId="7" fillId="7" borderId="0" xfId="0" applyNumberFormat="1" applyFont="1" applyFill="1" applyAlignment="1">
      <alignment horizontal="center" vertical="center" wrapText="1"/>
    </xf>
    <xf numFmtId="0" fontId="9" fillId="7" borderId="3"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170" fontId="7" fillId="3" borderId="4" xfId="0" applyNumberFormat="1" applyFont="1" applyFill="1" applyBorder="1" applyAlignment="1">
      <alignment horizontal="center" vertical="center" wrapText="1"/>
    </xf>
    <xf numFmtId="170" fontId="7" fillId="3" borderId="14" xfId="0" applyNumberFormat="1" applyFont="1" applyFill="1" applyBorder="1" applyAlignment="1">
      <alignment horizontal="center" vertical="center" wrapText="1"/>
    </xf>
    <xf numFmtId="43" fontId="7" fillId="3" borderId="4" xfId="1" applyFont="1" applyFill="1" applyBorder="1" applyAlignment="1">
      <alignment horizontal="center" vertical="center" wrapText="1"/>
    </xf>
    <xf numFmtId="43" fontId="7" fillId="3" borderId="14" xfId="1"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26" fillId="0" borderId="55"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2" xfId="0" applyFont="1" applyBorder="1" applyAlignment="1">
      <alignment horizontal="center" vertical="center" wrapText="1"/>
    </xf>
    <xf numFmtId="0" fontId="7" fillId="0" borderId="7" xfId="0" applyFont="1" applyBorder="1" applyAlignment="1">
      <alignment horizontal="center" vertical="center"/>
    </xf>
    <xf numFmtId="1" fontId="7" fillId="3" borderId="61" xfId="0" applyNumberFormat="1" applyFont="1" applyFill="1" applyBorder="1" applyAlignment="1">
      <alignment horizontal="center" vertical="center" wrapText="1"/>
    </xf>
    <xf numFmtId="1" fontId="7" fillId="3" borderId="63" xfId="0" applyNumberFormat="1" applyFont="1" applyFill="1" applyBorder="1" applyAlignment="1">
      <alignment horizontal="center" vertical="center" wrapText="1"/>
    </xf>
    <xf numFmtId="171" fontId="7" fillId="3" borderId="72" xfId="8" applyFont="1" applyFill="1" applyBorder="1" applyAlignment="1">
      <alignment horizontal="center" vertical="center"/>
    </xf>
    <xf numFmtId="171" fontId="7" fillId="3" borderId="54" xfId="8" applyFont="1" applyFill="1" applyBorder="1" applyAlignment="1">
      <alignment horizontal="center" vertical="center"/>
    </xf>
    <xf numFmtId="171" fontId="7" fillId="3" borderId="55" xfId="8" applyFont="1" applyFill="1" applyBorder="1" applyAlignment="1">
      <alignment horizontal="center" vertical="center"/>
    </xf>
    <xf numFmtId="171" fontId="7" fillId="3" borderId="7" xfId="8" applyFont="1" applyFill="1" applyBorder="1" applyAlignment="1">
      <alignment horizontal="center" vertical="center"/>
    </xf>
    <xf numFmtId="171" fontId="7" fillId="3" borderId="3" xfId="8" applyFont="1" applyFill="1" applyBorder="1" applyAlignment="1">
      <alignment horizontal="center" vertical="center"/>
    </xf>
    <xf numFmtId="171" fontId="7" fillId="3" borderId="12" xfId="8" applyFont="1" applyFill="1" applyBorder="1" applyAlignment="1">
      <alignment horizontal="center" vertical="center"/>
    </xf>
    <xf numFmtId="167" fontId="7" fillId="3" borderId="4" xfId="0" applyNumberFormat="1" applyFont="1" applyFill="1" applyBorder="1" applyAlignment="1">
      <alignment horizontal="center" vertical="center" wrapText="1"/>
    </xf>
    <xf numFmtId="167" fontId="7" fillId="3" borderId="10" xfId="0" applyNumberFormat="1" applyFont="1" applyFill="1" applyBorder="1" applyAlignment="1">
      <alignment horizontal="center" vertical="center" wrapText="1"/>
    </xf>
    <xf numFmtId="167" fontId="7" fillId="3" borderId="7" xfId="0" applyNumberFormat="1" applyFont="1" applyFill="1" applyBorder="1" applyAlignment="1">
      <alignment horizontal="center" vertical="center" wrapText="1"/>
    </xf>
    <xf numFmtId="167" fontId="7" fillId="3" borderId="12" xfId="0" applyNumberFormat="1" applyFont="1" applyFill="1" applyBorder="1" applyAlignment="1">
      <alignment horizontal="center" vertical="center" wrapText="1"/>
    </xf>
    <xf numFmtId="167" fontId="7" fillId="3" borderId="14" xfId="0" applyNumberFormat="1" applyFont="1" applyFill="1" applyBorder="1" applyAlignment="1">
      <alignment horizontal="center" vertical="center" wrapText="1"/>
    </xf>
    <xf numFmtId="167" fontId="7" fillId="3" borderId="15" xfId="0" applyNumberFormat="1" applyFont="1" applyFill="1" applyBorder="1" applyAlignment="1">
      <alignment horizontal="center" vertical="center" wrapText="1"/>
    </xf>
    <xf numFmtId="3" fontId="7" fillId="3" borderId="35" xfId="0" applyNumberFormat="1" applyFont="1" applyFill="1" applyBorder="1" applyAlignment="1">
      <alignment horizontal="center" vertical="center" wrapText="1"/>
    </xf>
    <xf numFmtId="3" fontId="7" fillId="3" borderId="36" xfId="0" applyNumberFormat="1" applyFont="1" applyFill="1" applyBorder="1" applyAlignment="1">
      <alignment horizontal="center" vertical="center" wrapText="1"/>
    </xf>
    <xf numFmtId="169" fontId="7" fillId="3" borderId="5" xfId="0" applyNumberFormat="1" applyFont="1" applyFill="1" applyBorder="1" applyAlignment="1">
      <alignment horizontal="center" vertical="center" wrapText="1"/>
    </xf>
    <xf numFmtId="169" fontId="7" fillId="3" borderId="10" xfId="0" applyNumberFormat="1" applyFont="1" applyFill="1" applyBorder="1" applyAlignment="1">
      <alignment horizontal="center" vertical="center" wrapText="1"/>
    </xf>
    <xf numFmtId="169" fontId="7" fillId="3" borderId="14" xfId="0" applyNumberFormat="1" applyFont="1" applyFill="1" applyBorder="1" applyAlignment="1">
      <alignment horizontal="center" vertical="center" wrapText="1"/>
    </xf>
    <xf numFmtId="169" fontId="7" fillId="3" borderId="0" xfId="0" applyNumberFormat="1" applyFont="1" applyFill="1" applyBorder="1" applyAlignment="1">
      <alignment horizontal="center" vertical="center" wrapText="1"/>
    </xf>
    <xf numFmtId="169" fontId="7" fillId="3" borderId="15" xfId="0" applyNumberFormat="1"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1" fontId="7" fillId="3" borderId="13" xfId="0" applyNumberFormat="1" applyFont="1" applyFill="1" applyBorder="1" applyAlignment="1">
      <alignment horizontal="center" vertical="center" wrapText="1"/>
    </xf>
    <xf numFmtId="1" fontId="7" fillId="3" borderId="6" xfId="0" applyNumberFormat="1" applyFont="1" applyFill="1" applyBorder="1" applyAlignment="1">
      <alignment horizontal="center" vertical="center" wrapText="1"/>
    </xf>
    <xf numFmtId="167" fontId="23" fillId="0" borderId="11" xfId="0" applyNumberFormat="1" applyFont="1" applyBorder="1" applyAlignment="1">
      <alignment horizontal="center" vertical="center"/>
    </xf>
    <xf numFmtId="167" fontId="23" fillId="0" borderId="13" xfId="0" applyNumberFormat="1" applyFont="1" applyBorder="1" applyAlignment="1">
      <alignment horizontal="center" vertical="center"/>
    </xf>
    <xf numFmtId="167" fontId="23" fillId="0" borderId="6" xfId="0" applyNumberFormat="1" applyFont="1" applyBorder="1" applyAlignment="1">
      <alignment horizontal="center" vertical="center"/>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6" xfId="0" applyFont="1" applyBorder="1" applyAlignment="1">
      <alignment horizontal="center" vertical="center" wrapText="1"/>
    </xf>
    <xf numFmtId="0" fontId="4" fillId="7" borderId="0" xfId="0" applyFont="1" applyFill="1" applyAlignment="1">
      <alignment horizontal="center" vertical="center"/>
    </xf>
    <xf numFmtId="10" fontId="23" fillId="0" borderId="11" xfId="0" applyNumberFormat="1" applyFont="1" applyBorder="1" applyAlignment="1">
      <alignment horizontal="center" vertical="center"/>
    </xf>
    <xf numFmtId="10" fontId="23" fillId="0" borderId="13" xfId="0" applyNumberFormat="1" applyFont="1" applyBorder="1" applyAlignment="1">
      <alignment horizontal="center" vertical="center"/>
    </xf>
    <xf numFmtId="10" fontId="23" fillId="0" borderId="6" xfId="0" applyNumberFormat="1" applyFont="1" applyBorder="1" applyAlignment="1">
      <alignment horizontal="center" vertical="center"/>
    </xf>
    <xf numFmtId="1" fontId="23" fillId="0" borderId="2" xfId="0" applyNumberFormat="1" applyFont="1" applyBorder="1" applyAlignment="1">
      <alignment horizontal="center" vertical="center"/>
    </xf>
    <xf numFmtId="0" fontId="23" fillId="7" borderId="11" xfId="0" applyFont="1" applyFill="1" applyBorder="1" applyAlignment="1">
      <alignment horizontal="center" vertical="center"/>
    </xf>
    <xf numFmtId="0" fontId="23" fillId="0" borderId="11" xfId="0" applyFont="1" applyFill="1" applyBorder="1" applyAlignment="1">
      <alignment horizontal="center" vertical="center" textRotation="92"/>
    </xf>
    <xf numFmtId="0" fontId="23" fillId="0" borderId="6" xfId="0" applyFont="1" applyFill="1" applyBorder="1" applyAlignment="1">
      <alignment horizontal="center" vertical="center" textRotation="92"/>
    </xf>
    <xf numFmtId="10" fontId="23" fillId="0" borderId="11" xfId="0" applyNumberFormat="1" applyFont="1" applyFill="1" applyBorder="1" applyAlignment="1">
      <alignment horizontal="center" vertical="center"/>
    </xf>
    <xf numFmtId="10" fontId="23" fillId="0" borderId="6" xfId="0" applyNumberFormat="1" applyFont="1" applyFill="1" applyBorder="1" applyAlignment="1">
      <alignment horizontal="center" vertical="center"/>
    </xf>
    <xf numFmtId="0" fontId="23" fillId="0" borderId="4"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12" xfId="0" applyFont="1" applyFill="1" applyBorder="1" applyAlignment="1">
      <alignment horizontal="center" vertical="center"/>
    </xf>
    <xf numFmtId="10" fontId="23" fillId="0" borderId="13" xfId="0" applyNumberFormat="1" applyFont="1" applyFill="1" applyBorder="1" applyAlignment="1">
      <alignment horizontal="center" vertical="center"/>
    </xf>
    <xf numFmtId="0" fontId="23" fillId="0" borderId="11" xfId="0" applyFont="1" applyFill="1" applyBorder="1" applyAlignment="1">
      <alignment horizontal="center" vertical="center" textRotation="4"/>
    </xf>
    <xf numFmtId="0" fontId="23" fillId="0" borderId="6" xfId="0" applyFont="1" applyFill="1" applyBorder="1" applyAlignment="1">
      <alignment horizontal="center" vertical="center" textRotation="4"/>
    </xf>
    <xf numFmtId="169" fontId="23" fillId="0" borderId="11" xfId="0" applyNumberFormat="1" applyFont="1" applyFill="1" applyBorder="1" applyAlignment="1">
      <alignment horizontal="right" vertical="center"/>
    </xf>
    <xf numFmtId="169" fontId="23" fillId="0" borderId="6" xfId="0" applyNumberFormat="1" applyFont="1" applyFill="1" applyBorder="1" applyAlignment="1">
      <alignment horizontal="right" vertical="center"/>
    </xf>
    <xf numFmtId="0" fontId="23" fillId="0" borderId="13" xfId="0" applyFont="1" applyFill="1" applyBorder="1" applyAlignment="1">
      <alignment horizontal="center" vertical="center" textRotation="4"/>
    </xf>
    <xf numFmtId="43" fontId="23" fillId="0" borderId="11" xfId="1" applyFont="1" applyFill="1" applyBorder="1" applyAlignment="1">
      <alignment horizontal="right" vertical="center"/>
    </xf>
    <xf numFmtId="43" fontId="23" fillId="0" borderId="13" xfId="1" applyFont="1" applyFill="1" applyBorder="1" applyAlignment="1">
      <alignment horizontal="right" vertical="center"/>
    </xf>
    <xf numFmtId="0" fontId="23" fillId="0" borderId="11" xfId="0" applyFont="1" applyFill="1" applyBorder="1" applyAlignment="1">
      <alignment horizontal="center" vertical="center" textRotation="3"/>
    </xf>
    <xf numFmtId="0" fontId="23" fillId="0" borderId="13" xfId="0" applyFont="1" applyFill="1" applyBorder="1" applyAlignment="1">
      <alignment horizontal="center" vertical="center" textRotation="3"/>
    </xf>
    <xf numFmtId="0" fontId="23" fillId="0" borderId="6" xfId="0" applyFont="1" applyFill="1" applyBorder="1" applyAlignment="1">
      <alignment horizontal="center" vertical="center" textRotation="3"/>
    </xf>
    <xf numFmtId="0" fontId="31" fillId="0" borderId="11"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3" fillId="0" borderId="13" xfId="0" applyFont="1" applyFill="1" applyBorder="1" applyAlignment="1">
      <alignment horizontal="left" vertical="center" wrapText="1"/>
    </xf>
    <xf numFmtId="10" fontId="23" fillId="7" borderId="2" xfId="0" applyNumberFormat="1" applyFont="1" applyFill="1" applyBorder="1" applyAlignment="1">
      <alignment horizontal="center" vertical="center"/>
    </xf>
    <xf numFmtId="0" fontId="23" fillId="0" borderId="11" xfId="0" applyFont="1" applyBorder="1" applyAlignment="1">
      <alignment horizontal="left" vertical="center" wrapText="1"/>
    </xf>
    <xf numFmtId="0" fontId="23" fillId="0" borderId="13" xfId="0" applyFont="1" applyBorder="1" applyAlignment="1">
      <alignment horizontal="left" vertical="center" wrapText="1"/>
    </xf>
    <xf numFmtId="0" fontId="23" fillId="0" borderId="6" xfId="0" applyFont="1" applyBorder="1" applyAlignment="1">
      <alignment horizontal="left" vertical="center" wrapText="1"/>
    </xf>
    <xf numFmtId="10" fontId="23" fillId="0" borderId="2" xfId="0" applyNumberFormat="1" applyFont="1" applyBorder="1" applyAlignment="1">
      <alignment horizontal="center" vertical="center"/>
    </xf>
    <xf numFmtId="3" fontId="23" fillId="0" borderId="11" xfId="0" applyNumberFormat="1" applyFont="1" applyFill="1" applyBorder="1" applyAlignment="1">
      <alignment horizontal="center" vertical="center" wrapText="1"/>
    </xf>
    <xf numFmtId="3" fontId="23" fillId="0" borderId="13" xfId="0" applyNumberFormat="1" applyFont="1" applyFill="1" applyBorder="1" applyAlignment="1">
      <alignment horizontal="center" vertical="center" wrapText="1"/>
    </xf>
    <xf numFmtId="1" fontId="23" fillId="0" borderId="5" xfId="0" applyNumberFormat="1" applyFont="1" applyBorder="1" applyAlignment="1">
      <alignment horizontal="center" vertical="center"/>
    </xf>
    <xf numFmtId="1" fontId="23" fillId="0" borderId="10" xfId="0" applyNumberFormat="1" applyFont="1" applyBorder="1" applyAlignment="1">
      <alignment horizontal="center" vertical="center"/>
    </xf>
    <xf numFmtId="1" fontId="23" fillId="0" borderId="0" xfId="0" applyNumberFormat="1" applyFont="1" applyAlignment="1">
      <alignment horizontal="center" vertical="center"/>
    </xf>
    <xf numFmtId="1" fontId="23" fillId="0" borderId="15" xfId="0" applyNumberFormat="1" applyFont="1" applyBorder="1" applyAlignment="1">
      <alignment horizontal="center" vertical="center"/>
    </xf>
    <xf numFmtId="1" fontId="23" fillId="0" borderId="3" xfId="0" applyNumberFormat="1" applyFont="1" applyBorder="1" applyAlignment="1">
      <alignment horizontal="center" vertical="center"/>
    </xf>
    <xf numFmtId="1" fontId="23" fillId="0" borderId="12" xfId="0" applyNumberFormat="1" applyFont="1" applyBorder="1" applyAlignment="1">
      <alignment horizontal="center" vertical="center"/>
    </xf>
    <xf numFmtId="167" fontId="23" fillId="0" borderId="6" xfId="0" applyNumberFormat="1" applyFont="1" applyFill="1" applyBorder="1" applyAlignment="1">
      <alignment horizontal="center" vertical="center" wrapText="1"/>
    </xf>
    <xf numFmtId="43" fontId="23" fillId="0" borderId="11" xfId="1" applyFont="1" applyFill="1" applyBorder="1" applyAlignment="1">
      <alignment horizontal="center" vertical="center" wrapText="1"/>
    </xf>
    <xf numFmtId="43" fontId="23" fillId="0" borderId="13" xfId="1" applyFont="1" applyFill="1" applyBorder="1" applyAlignment="1">
      <alignment horizontal="center" vertical="center" wrapText="1"/>
    </xf>
    <xf numFmtId="43" fontId="23" fillId="0" borderId="6" xfId="1" applyFont="1" applyFill="1" applyBorder="1" applyAlignment="1">
      <alignment horizontal="center" vertical="center" wrapText="1"/>
    </xf>
    <xf numFmtId="3" fontId="23" fillId="0" borderId="6" xfId="0" applyNumberFormat="1" applyFont="1" applyFill="1" applyBorder="1" applyAlignment="1">
      <alignment horizontal="center" vertical="center" wrapText="1"/>
    </xf>
    <xf numFmtId="10" fontId="23" fillId="0" borderId="13" xfId="0" applyNumberFormat="1" applyFont="1" applyFill="1" applyBorder="1" applyAlignment="1">
      <alignment horizontal="center" vertical="center" wrapText="1"/>
    </xf>
    <xf numFmtId="10" fontId="23" fillId="0" borderId="6" xfId="0" applyNumberFormat="1" applyFont="1" applyFill="1" applyBorder="1" applyAlignment="1">
      <alignment horizontal="center" vertical="center" wrapText="1"/>
    </xf>
    <xf numFmtId="10" fontId="23" fillId="0" borderId="2" xfId="0" applyNumberFormat="1" applyFont="1" applyFill="1" applyBorder="1" applyAlignment="1">
      <alignment horizontal="center" vertical="center"/>
    </xf>
    <xf numFmtId="43" fontId="23" fillId="0" borderId="2" xfId="1" applyFont="1" applyFill="1" applyBorder="1" applyAlignment="1">
      <alignment horizontal="center" vertical="center"/>
    </xf>
    <xf numFmtId="0" fontId="4" fillId="0" borderId="4" xfId="0" applyFont="1" applyFill="1" applyBorder="1" applyAlignment="1">
      <alignment horizontal="center" vertical="center"/>
    </xf>
    <xf numFmtId="0" fontId="4" fillId="0" borderId="14" xfId="0" applyFont="1" applyFill="1" applyBorder="1" applyAlignment="1">
      <alignment horizontal="center" vertical="center"/>
    </xf>
    <xf numFmtId="0" fontId="23" fillId="0" borderId="2" xfId="0" applyFont="1" applyFill="1" applyBorder="1" applyAlignment="1">
      <alignment horizontal="justify" vertical="center" wrapText="1"/>
    </xf>
    <xf numFmtId="3" fontId="23" fillId="0" borderId="2" xfId="0" applyNumberFormat="1" applyFont="1" applyFill="1" applyBorder="1" applyAlignment="1">
      <alignment horizontal="center" vertical="center" wrapText="1"/>
    </xf>
    <xf numFmtId="1" fontId="23" fillId="0" borderId="13" xfId="0" applyNumberFormat="1" applyFont="1" applyFill="1" applyBorder="1" applyAlignment="1">
      <alignment horizontal="center" vertical="center" wrapText="1"/>
    </xf>
    <xf numFmtId="1" fontId="23" fillId="0" borderId="11" xfId="0" applyNumberFormat="1" applyFont="1" applyFill="1" applyBorder="1" applyAlignment="1">
      <alignment horizontal="center" vertical="center" wrapText="1"/>
    </xf>
    <xf numFmtId="1" fontId="23" fillId="0" borderId="6" xfId="0" applyNumberFormat="1" applyFont="1" applyFill="1" applyBorder="1" applyAlignment="1">
      <alignment horizontal="center" vertical="center" wrapText="1"/>
    </xf>
    <xf numFmtId="0" fontId="25" fillId="0" borderId="11" xfId="0" applyFont="1" applyFill="1" applyBorder="1" applyAlignment="1">
      <alignment horizontal="justify" vertical="center" wrapText="1"/>
    </xf>
    <xf numFmtId="0" fontId="25" fillId="0" borderId="6" xfId="0" applyFont="1" applyFill="1" applyBorder="1" applyAlignment="1">
      <alignment horizontal="justify" vertical="center" wrapText="1"/>
    </xf>
    <xf numFmtId="1" fontId="23" fillId="0" borderId="11" xfId="0" applyNumberFormat="1" applyFont="1" applyFill="1" applyBorder="1" applyAlignment="1">
      <alignment horizontal="center" vertical="center" wrapText="1" readingOrder="2"/>
    </xf>
    <xf numFmtId="1" fontId="23" fillId="0" borderId="6" xfId="0" applyNumberFormat="1" applyFont="1" applyFill="1" applyBorder="1" applyAlignment="1">
      <alignment horizontal="center" vertical="center" wrapText="1" readingOrder="2"/>
    </xf>
    <xf numFmtId="14" fontId="23" fillId="0" borderId="11" xfId="0" applyNumberFormat="1" applyFont="1" applyFill="1" applyBorder="1" applyAlignment="1">
      <alignment horizontal="center" vertical="center"/>
    </xf>
    <xf numFmtId="1" fontId="23" fillId="0" borderId="2" xfId="0" applyNumberFormat="1" applyFont="1" applyFill="1" applyBorder="1" applyAlignment="1">
      <alignment horizontal="center" vertical="center" wrapText="1"/>
    </xf>
    <xf numFmtId="0" fontId="4" fillId="9" borderId="8" xfId="0" applyFont="1" applyFill="1" applyBorder="1" applyAlignment="1">
      <alignment horizontal="left" vertical="center" wrapText="1"/>
    </xf>
    <xf numFmtId="0" fontId="4" fillId="9" borderId="9" xfId="0" applyFont="1" applyFill="1" applyBorder="1" applyAlignment="1">
      <alignment horizontal="left" vertical="center" wrapText="1"/>
    </xf>
    <xf numFmtId="0" fontId="4" fillId="9" borderId="1" xfId="0" applyFont="1" applyFill="1" applyBorder="1" applyAlignment="1">
      <alignment horizontal="left" vertical="center" wrapText="1"/>
    </xf>
    <xf numFmtId="10" fontId="23" fillId="0" borderId="13" xfId="0" applyNumberFormat="1" applyFont="1" applyFill="1" applyBorder="1" applyAlignment="1">
      <alignment horizontal="center" vertical="center" wrapText="1" readingOrder="2"/>
    </xf>
    <xf numFmtId="1" fontId="23" fillId="0" borderId="2" xfId="0" applyNumberFormat="1" applyFont="1" applyFill="1" applyBorder="1" applyAlignment="1">
      <alignment horizontal="center" vertical="center" wrapText="1" readingOrder="2"/>
    </xf>
    <xf numFmtId="1" fontId="23" fillId="0" borderId="13" xfId="0" applyNumberFormat="1" applyFont="1" applyFill="1" applyBorder="1" applyAlignment="1">
      <alignment horizontal="center" vertical="center" wrapText="1" readingOrder="2"/>
    </xf>
    <xf numFmtId="10" fontId="23" fillId="0" borderId="11" xfId="0" applyNumberFormat="1" applyFont="1" applyFill="1" applyBorder="1" applyAlignment="1">
      <alignment horizontal="center" vertical="center" wrapText="1"/>
    </xf>
    <xf numFmtId="43" fontId="23" fillId="0" borderId="2" xfId="1" applyFont="1" applyFill="1" applyBorder="1" applyAlignment="1">
      <alignment horizontal="center" vertical="center" wrapText="1"/>
    </xf>
    <xf numFmtId="1" fontId="4" fillId="6" borderId="9" xfId="0" applyNumberFormat="1" applyFont="1" applyFill="1" applyBorder="1" applyAlignment="1">
      <alignment horizontal="left" vertical="center" wrapText="1"/>
    </xf>
    <xf numFmtId="1" fontId="4" fillId="6" borderId="5" xfId="0" applyNumberFormat="1" applyFont="1" applyFill="1" applyBorder="1" applyAlignment="1">
      <alignment horizontal="left" vertical="center" wrapText="1"/>
    </xf>
    <xf numFmtId="1" fontId="4" fillId="7" borderId="5" xfId="0" applyNumberFormat="1" applyFont="1" applyFill="1" applyBorder="1" applyAlignment="1">
      <alignment horizontal="center" vertical="center" wrapText="1"/>
    </xf>
    <xf numFmtId="1" fontId="4" fillId="7" borderId="10" xfId="0" applyNumberFormat="1" applyFont="1" applyFill="1" applyBorder="1" applyAlignment="1">
      <alignment horizontal="center" vertical="center" wrapText="1"/>
    </xf>
    <xf numFmtId="1" fontId="4" fillId="7" borderId="0" xfId="0" applyNumberFormat="1" applyFont="1" applyFill="1" applyBorder="1" applyAlignment="1">
      <alignment horizontal="center" vertical="center" wrapText="1"/>
    </xf>
    <xf numFmtId="1" fontId="4" fillId="7" borderId="15" xfId="0" applyNumberFormat="1" applyFont="1" applyFill="1" applyBorder="1" applyAlignment="1">
      <alignment horizontal="center" vertical="center" wrapText="1"/>
    </xf>
    <xf numFmtId="1" fontId="4" fillId="7" borderId="3" xfId="0" applyNumberFormat="1" applyFont="1" applyFill="1" applyBorder="1" applyAlignment="1">
      <alignment horizontal="center" vertical="center" wrapText="1"/>
    </xf>
    <xf numFmtId="1" fontId="4" fillId="7" borderId="12" xfId="0" applyNumberFormat="1"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0" xfId="0" applyFont="1" applyFill="1" applyAlignment="1">
      <alignment horizontal="center" vertical="center" wrapText="1"/>
    </xf>
    <xf numFmtId="0" fontId="4" fillId="7" borderId="15"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2" xfId="0" applyFont="1" applyFill="1" applyBorder="1" applyAlignment="1">
      <alignment horizontal="center" vertical="center" wrapText="1"/>
    </xf>
    <xf numFmtId="4" fontId="23" fillId="0" borderId="11" xfId="1" applyNumberFormat="1" applyFont="1" applyFill="1" applyBorder="1" applyAlignment="1" applyProtection="1">
      <alignment horizontal="center" vertical="center" wrapText="1"/>
      <protection locked="0"/>
    </xf>
    <xf numFmtId="4" fontId="23" fillId="0" borderId="6" xfId="1" applyNumberFormat="1" applyFont="1" applyFill="1" applyBorder="1" applyAlignment="1" applyProtection="1">
      <alignment horizontal="center" vertical="center" wrapText="1"/>
      <protection locked="0"/>
    </xf>
    <xf numFmtId="0" fontId="3" fillId="19" borderId="4" xfId="0" applyFont="1" applyFill="1" applyBorder="1" applyAlignment="1">
      <alignment horizontal="center" vertical="center" textRotation="90" wrapText="1"/>
    </xf>
    <xf numFmtId="0" fontId="3" fillId="19" borderId="10" xfId="0" applyFont="1" applyFill="1" applyBorder="1" applyAlignment="1">
      <alignment horizontal="center" vertical="center" textRotation="90" wrapText="1"/>
    </xf>
    <xf numFmtId="3" fontId="3" fillId="5" borderId="6" xfId="0" applyNumberFormat="1" applyFont="1" applyFill="1" applyBorder="1" applyAlignment="1">
      <alignment horizontal="center" vertical="center" wrapText="1"/>
    </xf>
    <xf numFmtId="0" fontId="3" fillId="19" borderId="8" xfId="0" applyFont="1" applyFill="1" applyBorder="1" applyAlignment="1">
      <alignment horizontal="center" vertical="center" textRotation="90" wrapText="1"/>
    </xf>
    <xf numFmtId="0" fontId="3" fillId="19" borderId="1" xfId="0" applyFont="1" applyFill="1" applyBorder="1" applyAlignment="1">
      <alignment horizontal="center" vertical="center" textRotation="90" wrapText="1"/>
    </xf>
    <xf numFmtId="0" fontId="17" fillId="4" borderId="8" xfId="0" applyFont="1" applyFill="1" applyBorder="1" applyAlignment="1">
      <alignment horizontal="center" vertical="center" wrapText="1"/>
    </xf>
    <xf numFmtId="0" fontId="17" fillId="4" borderId="1" xfId="0" applyFont="1" applyFill="1" applyBorder="1" applyAlignment="1">
      <alignment horizontal="center" vertical="center" wrapText="1"/>
    </xf>
    <xf numFmtId="171" fontId="30" fillId="3" borderId="7" xfId="8" applyFont="1" applyFill="1" applyBorder="1" applyAlignment="1">
      <alignment horizontal="center" vertical="center"/>
    </xf>
    <xf numFmtId="171" fontId="30" fillId="3" borderId="3" xfId="8" applyFont="1" applyFill="1" applyBorder="1" applyAlignment="1">
      <alignment horizontal="center" vertical="center"/>
    </xf>
    <xf numFmtId="171" fontId="30" fillId="3" borderId="12" xfId="8" applyFont="1" applyFill="1" applyBorder="1" applyAlignment="1">
      <alignment horizontal="center" vertical="center"/>
    </xf>
    <xf numFmtId="167" fontId="4" fillId="3" borderId="4" xfId="0" applyNumberFormat="1" applyFont="1" applyFill="1" applyBorder="1" applyAlignment="1">
      <alignment horizontal="center" vertical="center" wrapText="1"/>
    </xf>
    <xf numFmtId="167" fontId="4" fillId="3" borderId="10" xfId="0" applyNumberFormat="1" applyFont="1" applyFill="1" applyBorder="1" applyAlignment="1">
      <alignment horizontal="center" vertical="center" wrapText="1"/>
    </xf>
    <xf numFmtId="167" fontId="4" fillId="3" borderId="7" xfId="0" applyNumberFormat="1" applyFont="1" applyFill="1" applyBorder="1" applyAlignment="1">
      <alignment horizontal="center" vertical="center" wrapText="1"/>
    </xf>
    <xf numFmtId="167" fontId="4" fillId="3" borderId="12" xfId="0" applyNumberFormat="1" applyFont="1" applyFill="1" applyBorder="1" applyAlignment="1">
      <alignment horizontal="center" vertical="center" wrapText="1"/>
    </xf>
    <xf numFmtId="0" fontId="17" fillId="4" borderId="8"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9" xfId="0" applyFont="1" applyFill="1" applyBorder="1" applyAlignment="1">
      <alignment horizontal="center" vertical="center" wrapText="1"/>
    </xf>
    <xf numFmtId="169" fontId="4" fillId="3" borderId="4" xfId="0" applyNumberFormat="1" applyFont="1" applyFill="1" applyBorder="1" applyAlignment="1">
      <alignment horizontal="center" vertical="center" wrapText="1"/>
    </xf>
    <xf numFmtId="169" fontId="4" fillId="3" borderId="5" xfId="0" applyNumberFormat="1" applyFont="1" applyFill="1" applyBorder="1" applyAlignment="1">
      <alignment horizontal="center" vertical="center" wrapText="1"/>
    </xf>
    <xf numFmtId="169" fontId="4" fillId="3" borderId="10" xfId="0" applyNumberFormat="1" applyFont="1" applyFill="1" applyBorder="1" applyAlignment="1">
      <alignment horizontal="center" vertical="center" wrapText="1"/>
    </xf>
    <xf numFmtId="169" fontId="4" fillId="3" borderId="7" xfId="0" applyNumberFormat="1" applyFont="1" applyFill="1" applyBorder="1" applyAlignment="1">
      <alignment horizontal="center" vertical="center" wrapText="1"/>
    </xf>
    <xf numFmtId="169" fontId="4" fillId="3" borderId="3" xfId="0" applyNumberFormat="1" applyFont="1" applyFill="1" applyBorder="1" applyAlignment="1">
      <alignment horizontal="center" vertical="center" wrapText="1"/>
    </xf>
    <xf numFmtId="169" fontId="4" fillId="3" borderId="12" xfId="0" applyNumberFormat="1" applyFont="1" applyFill="1" applyBorder="1" applyAlignment="1">
      <alignment horizontal="center" vertical="center" wrapText="1"/>
    </xf>
    <xf numFmtId="3" fontId="17" fillId="4" borderId="8" xfId="0" applyNumberFormat="1" applyFont="1" applyFill="1" applyBorder="1" applyAlignment="1">
      <alignment horizontal="center" vertical="center" wrapText="1"/>
    </xf>
    <xf numFmtId="3" fontId="17" fillId="4" borderId="9" xfId="0" applyNumberFormat="1"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6" fillId="0" borderId="0" xfId="0" applyFont="1" applyAlignment="1">
      <alignment horizontal="center" vertical="center"/>
    </xf>
    <xf numFmtId="0" fontId="26" fillId="0" borderId="0" xfId="0" applyFont="1" applyBorder="1" applyAlignment="1">
      <alignment horizontal="center" vertical="center"/>
    </xf>
    <xf numFmtId="0" fontId="26" fillId="0" borderId="3" xfId="0" applyFont="1" applyBorder="1" applyAlignment="1">
      <alignment horizontal="center" vertical="center"/>
    </xf>
    <xf numFmtId="0" fontId="4" fillId="3" borderId="2" xfId="0" applyFont="1" applyFill="1" applyBorder="1" applyAlignment="1">
      <alignment horizontal="center" vertical="center" wrapText="1"/>
    </xf>
    <xf numFmtId="10" fontId="4" fillId="3" borderId="4" xfId="0" applyNumberFormat="1" applyFont="1" applyFill="1" applyBorder="1" applyAlignment="1">
      <alignment horizontal="center" vertical="center" wrapText="1"/>
    </xf>
    <xf numFmtId="10" fontId="4" fillId="3" borderId="14" xfId="0" applyNumberFormat="1" applyFont="1" applyFill="1" applyBorder="1" applyAlignment="1">
      <alignment horizontal="center" vertical="center" wrapText="1"/>
    </xf>
    <xf numFmtId="169" fontId="4" fillId="3" borderId="14" xfId="0" applyNumberFormat="1" applyFont="1" applyFill="1" applyBorder="1" applyAlignment="1">
      <alignment horizontal="center" vertical="center" wrapText="1"/>
    </xf>
    <xf numFmtId="49" fontId="3" fillId="19" borderId="8" xfId="0" applyNumberFormat="1" applyFont="1" applyFill="1" applyBorder="1" applyAlignment="1">
      <alignment horizontal="center" vertical="center" textRotation="90" wrapText="1"/>
    </xf>
    <xf numFmtId="49" fontId="3" fillId="19" borderId="1" xfId="0" applyNumberFormat="1" applyFont="1" applyFill="1" applyBorder="1" applyAlignment="1">
      <alignment horizontal="center" vertical="center" textRotation="90" wrapText="1"/>
    </xf>
    <xf numFmtId="0" fontId="6" fillId="3" borderId="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0" borderId="4" xfId="0" applyFont="1" applyBorder="1" applyAlignment="1">
      <alignment horizontal="center" vertical="center"/>
    </xf>
    <xf numFmtId="3" fontId="6" fillId="3" borderId="2" xfId="0" applyNumberFormat="1" applyFont="1" applyFill="1" applyBorder="1" applyAlignment="1">
      <alignment horizontal="center" vertical="center" wrapText="1"/>
    </xf>
    <xf numFmtId="0" fontId="7" fillId="4" borderId="14" xfId="0" applyFont="1" applyFill="1" applyBorder="1" applyAlignment="1">
      <alignment horizontal="center" vertical="center" textRotation="90" wrapText="1"/>
    </xf>
    <xf numFmtId="0" fontId="7" fillId="4" borderId="15" xfId="0" applyFont="1" applyFill="1" applyBorder="1" applyAlignment="1">
      <alignment horizontal="center" vertical="center" textRotation="90" wrapText="1"/>
    </xf>
    <xf numFmtId="165" fontId="6" fillId="3" borderId="4" xfId="0" applyNumberFormat="1" applyFont="1" applyFill="1" applyBorder="1" applyAlignment="1">
      <alignment horizontal="center" vertical="center" wrapText="1"/>
    </xf>
    <xf numFmtId="165" fontId="6" fillId="3" borderId="10" xfId="0" applyNumberFormat="1" applyFont="1" applyFill="1" applyBorder="1" applyAlignment="1">
      <alignment horizontal="center" vertical="center" wrapText="1"/>
    </xf>
    <xf numFmtId="165" fontId="6" fillId="3" borderId="14" xfId="0" applyNumberFormat="1" applyFont="1" applyFill="1" applyBorder="1" applyAlignment="1">
      <alignment horizontal="center" vertical="center" wrapText="1"/>
    </xf>
    <xf numFmtId="165" fontId="6" fillId="3" borderId="15" xfId="0" applyNumberFormat="1" applyFont="1" applyFill="1" applyBorder="1" applyAlignment="1">
      <alignment horizontal="center" vertical="center" wrapText="1"/>
    </xf>
    <xf numFmtId="165" fontId="6" fillId="3" borderId="7" xfId="0" applyNumberFormat="1" applyFont="1" applyFill="1" applyBorder="1" applyAlignment="1">
      <alignment horizontal="center" vertical="center" wrapText="1"/>
    </xf>
    <xf numFmtId="165" fontId="6" fillId="3" borderId="12" xfId="0" applyNumberFormat="1" applyFont="1" applyFill="1" applyBorder="1" applyAlignment="1">
      <alignment horizontal="center" vertical="center" wrapText="1"/>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7"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2" xfId="0" applyFont="1" applyFill="1" applyBorder="1" applyAlignment="1">
      <alignment horizontal="justify" vertical="center" wrapText="1"/>
    </xf>
    <xf numFmtId="9" fontId="5" fillId="7" borderId="2" xfId="3"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7" borderId="24" xfId="0" applyFont="1" applyFill="1" applyBorder="1" applyAlignment="1">
      <alignment horizontal="center" vertical="center" wrapText="1"/>
    </xf>
    <xf numFmtId="1" fontId="6" fillId="7" borderId="4" xfId="0" applyNumberFormat="1" applyFont="1" applyFill="1" applyBorder="1" applyAlignment="1">
      <alignment horizontal="center" vertical="top"/>
    </xf>
    <xf numFmtId="1" fontId="6" fillId="7" borderId="14" xfId="0" applyNumberFormat="1" applyFont="1" applyFill="1" applyBorder="1" applyAlignment="1">
      <alignment horizontal="center" vertical="top"/>
    </xf>
    <xf numFmtId="1" fontId="6" fillId="7" borderId="7" xfId="0" applyNumberFormat="1" applyFont="1" applyFill="1" applyBorder="1" applyAlignment="1">
      <alignment horizontal="center" vertical="top"/>
    </xf>
    <xf numFmtId="0" fontId="5" fillId="7" borderId="15" xfId="0" applyFont="1" applyFill="1" applyBorder="1" applyAlignment="1">
      <alignment horizontal="center" vertical="center" wrapText="1"/>
    </xf>
    <xf numFmtId="0" fontId="5" fillId="7" borderId="12" xfId="0" applyFont="1" applyFill="1" applyBorder="1" applyAlignment="1">
      <alignment horizontal="center" vertical="center" wrapText="1"/>
    </xf>
    <xf numFmtId="1" fontId="6" fillId="7" borderId="8" xfId="0" applyNumberFormat="1" applyFont="1" applyFill="1" applyBorder="1" applyAlignment="1">
      <alignment horizontal="center" vertical="center" wrapText="1"/>
    </xf>
    <xf numFmtId="1" fontId="6" fillId="7" borderId="1" xfId="0" applyNumberFormat="1"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5" xfId="0" applyFont="1" applyFill="1" applyBorder="1" applyAlignment="1">
      <alignment horizontal="center" vertical="center" wrapText="1"/>
    </xf>
    <xf numFmtId="166" fontId="9" fillId="0" borderId="2" xfId="0" applyNumberFormat="1" applyFont="1" applyBorder="1" applyAlignment="1">
      <alignment horizontal="center" vertical="center"/>
    </xf>
    <xf numFmtId="166" fontId="9" fillId="0" borderId="11" xfId="0" applyNumberFormat="1" applyFont="1" applyBorder="1" applyAlignment="1">
      <alignment horizontal="center" vertical="center"/>
    </xf>
    <xf numFmtId="166" fontId="9" fillId="0" borderId="13" xfId="0" applyNumberFormat="1" applyFont="1" applyBorder="1" applyAlignment="1">
      <alignment horizontal="center" vertical="center"/>
    </xf>
    <xf numFmtId="166" fontId="9" fillId="0" borderId="6" xfId="0" applyNumberFormat="1" applyFont="1" applyBorder="1" applyAlignment="1">
      <alignment horizontal="center" vertical="center"/>
    </xf>
    <xf numFmtId="3" fontId="5" fillId="7" borderId="2" xfId="0" applyNumberFormat="1" applyFont="1" applyFill="1" applyBorder="1" applyAlignment="1">
      <alignment horizontal="center" vertical="center" wrapText="1"/>
    </xf>
    <xf numFmtId="3" fontId="5" fillId="7" borderId="2" xfId="0" applyNumberFormat="1" applyFont="1" applyFill="1" applyBorder="1" applyAlignment="1">
      <alignment horizontal="justify" vertical="center" wrapText="1"/>
    </xf>
    <xf numFmtId="0" fontId="5" fillId="7" borderId="4" xfId="0" applyFont="1" applyFill="1" applyBorder="1" applyAlignment="1">
      <alignment horizontal="justify" vertical="center" wrapText="1"/>
    </xf>
    <xf numFmtId="0" fontId="5" fillId="7" borderId="7" xfId="0" applyFont="1" applyFill="1" applyBorder="1" applyAlignment="1">
      <alignment horizontal="justify" vertical="center" wrapText="1"/>
    </xf>
    <xf numFmtId="166" fontId="9" fillId="0" borderId="1"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6" xfId="0" applyNumberFormat="1" applyFont="1" applyBorder="1" applyAlignment="1">
      <alignment horizontal="center" vertical="center"/>
    </xf>
    <xf numFmtId="3" fontId="5" fillId="0" borderId="13" xfId="0" applyNumberFormat="1" applyFont="1" applyBorder="1" applyAlignment="1">
      <alignment horizontal="center" vertical="center"/>
    </xf>
    <xf numFmtId="3" fontId="5" fillId="0" borderId="6" xfId="0" applyNumberFormat="1" applyFont="1" applyBorder="1" applyAlignment="1">
      <alignment horizontal="center" vertical="center"/>
    </xf>
    <xf numFmtId="3" fontId="5" fillId="0" borderId="2" xfId="0" applyNumberFormat="1" applyFont="1" applyBorder="1" applyAlignment="1">
      <alignment horizontal="center" vertical="center"/>
    </xf>
    <xf numFmtId="3" fontId="5" fillId="0" borderId="11" xfId="0" applyNumberFormat="1" applyFont="1" applyBorder="1" applyAlignment="1">
      <alignment horizontal="center" vertical="center"/>
    </xf>
    <xf numFmtId="167" fontId="5" fillId="7" borderId="2" xfId="0" applyNumberFormat="1" applyFont="1" applyFill="1" applyBorder="1" applyAlignment="1">
      <alignment horizontal="center" vertical="center" wrapText="1"/>
    </xf>
    <xf numFmtId="167" fontId="9" fillId="7" borderId="11" xfId="0" applyNumberFormat="1" applyFont="1" applyFill="1" applyBorder="1" applyAlignment="1">
      <alignment horizontal="center" vertical="center" wrapText="1"/>
    </xf>
    <xf numFmtId="167" fontId="9" fillId="7" borderId="13" xfId="0" applyNumberFormat="1" applyFont="1" applyFill="1" applyBorder="1" applyAlignment="1">
      <alignment horizontal="center" vertical="center" wrapText="1"/>
    </xf>
    <xf numFmtId="167" fontId="9" fillId="7" borderId="6" xfId="0" applyNumberFormat="1" applyFont="1" applyFill="1" applyBorder="1" applyAlignment="1">
      <alignment horizontal="center" vertical="center" wrapText="1"/>
    </xf>
    <xf numFmtId="0" fontId="10" fillId="7" borderId="14" xfId="0" applyFont="1" applyFill="1" applyBorder="1" applyAlignment="1">
      <alignment horizontal="center" vertical="center" wrapText="1"/>
    </xf>
    <xf numFmtId="9" fontId="5" fillId="0" borderId="11" xfId="0" applyNumberFormat="1" applyFont="1" applyBorder="1" applyAlignment="1">
      <alignment horizontal="center" vertical="center"/>
    </xf>
    <xf numFmtId="9" fontId="5" fillId="0" borderId="13" xfId="0" applyNumberFormat="1" applyFont="1" applyBorder="1" applyAlignment="1">
      <alignment horizontal="center" vertical="center"/>
    </xf>
    <xf numFmtId="9" fontId="5" fillId="0" borderId="6" xfId="0" applyNumberFormat="1" applyFont="1" applyBorder="1" applyAlignment="1">
      <alignment horizontal="center" vertical="center"/>
    </xf>
    <xf numFmtId="3" fontId="5" fillId="0" borderId="11" xfId="0" applyNumberFormat="1" applyFont="1" applyBorder="1" applyAlignment="1">
      <alignment horizontal="left" vertical="center" wrapText="1"/>
    </xf>
    <xf numFmtId="3" fontId="5" fillId="0" borderId="13" xfId="0" applyNumberFormat="1" applyFont="1" applyBorder="1" applyAlignment="1">
      <alignment horizontal="left" vertical="center"/>
    </xf>
    <xf numFmtId="3" fontId="5" fillId="0" borderId="6" xfId="0" applyNumberFormat="1" applyFont="1" applyBorder="1" applyAlignment="1">
      <alignment horizontal="left" vertical="center"/>
    </xf>
    <xf numFmtId="1" fontId="6" fillId="7" borderId="4" xfId="0" applyNumberFormat="1" applyFont="1" applyFill="1" applyBorder="1" applyAlignment="1">
      <alignment horizontal="center" vertical="center"/>
    </xf>
    <xf numFmtId="1" fontId="6" fillId="7" borderId="14" xfId="0" applyNumberFormat="1" applyFont="1" applyFill="1" applyBorder="1" applyAlignment="1">
      <alignment horizontal="center" vertical="center"/>
    </xf>
    <xf numFmtId="1" fontId="6" fillId="7" borderId="22" xfId="0" applyNumberFormat="1" applyFont="1" applyFill="1" applyBorder="1" applyAlignment="1">
      <alignment horizontal="center" vertical="center"/>
    </xf>
    <xf numFmtId="1" fontId="6" fillId="7" borderId="10" xfId="0" applyNumberFormat="1" applyFont="1" applyFill="1" applyBorder="1" applyAlignment="1">
      <alignment horizontal="center" vertical="center"/>
    </xf>
    <xf numFmtId="1" fontId="6" fillId="7" borderId="15" xfId="0" applyNumberFormat="1" applyFont="1" applyFill="1" applyBorder="1" applyAlignment="1">
      <alignment horizontal="center" vertical="center"/>
    </xf>
    <xf numFmtId="1" fontId="6" fillId="7" borderId="25" xfId="0" applyNumberFormat="1" applyFont="1" applyFill="1" applyBorder="1" applyAlignment="1">
      <alignment horizontal="center" vertical="center"/>
    </xf>
    <xf numFmtId="1" fontId="6" fillId="9" borderId="9" xfId="0" applyNumberFormat="1" applyFont="1" applyFill="1" applyBorder="1" applyAlignment="1">
      <alignment horizontal="left" vertical="center" wrapText="1"/>
    </xf>
    <xf numFmtId="1" fontId="6" fillId="9" borderId="2" xfId="0" applyNumberFormat="1" applyFont="1" applyFill="1" applyBorder="1" applyAlignment="1">
      <alignment horizontal="left" vertical="center" wrapText="1"/>
    </xf>
    <xf numFmtId="0" fontId="5" fillId="7" borderId="11" xfId="0" applyFont="1" applyFill="1" applyBorder="1" applyAlignment="1">
      <alignment horizontal="justify" vertical="center" wrapText="1"/>
    </xf>
    <xf numFmtId="9" fontId="5" fillId="7" borderId="11" xfId="3" applyFont="1" applyFill="1" applyBorder="1" applyAlignment="1">
      <alignment horizontal="center" vertical="center" wrapText="1"/>
    </xf>
    <xf numFmtId="9" fontId="5" fillId="7" borderId="13" xfId="3"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11" xfId="0" applyFont="1" applyFill="1" applyBorder="1" applyAlignment="1">
      <alignment horizontal="center" vertical="center"/>
    </xf>
    <xf numFmtId="0" fontId="5" fillId="7" borderId="26" xfId="0" applyFont="1" applyFill="1" applyBorder="1" applyAlignment="1">
      <alignment horizontal="center" vertical="center" wrapText="1"/>
    </xf>
    <xf numFmtId="166" fontId="9" fillId="7" borderId="11" xfId="0" applyNumberFormat="1" applyFont="1" applyFill="1" applyBorder="1" applyAlignment="1">
      <alignment horizontal="center" vertical="center"/>
    </xf>
    <xf numFmtId="166" fontId="9" fillId="7" borderId="13" xfId="0" applyNumberFormat="1" applyFont="1" applyFill="1" applyBorder="1" applyAlignment="1">
      <alignment horizontal="center" vertical="center"/>
    </xf>
    <xf numFmtId="166" fontId="9" fillId="7" borderId="26" xfId="0" applyNumberFormat="1" applyFont="1" applyFill="1" applyBorder="1" applyAlignment="1">
      <alignment horizontal="center" vertical="center"/>
    </xf>
    <xf numFmtId="3" fontId="5" fillId="7" borderId="6" xfId="0" applyNumberFormat="1" applyFont="1" applyFill="1" applyBorder="1" applyAlignment="1">
      <alignment horizontal="center" vertical="center" wrapText="1"/>
    </xf>
    <xf numFmtId="3" fontId="5" fillId="7" borderId="11" xfId="0" applyNumberFormat="1" applyFont="1" applyFill="1" applyBorder="1" applyAlignment="1">
      <alignment horizontal="center" vertical="center" wrapText="1"/>
    </xf>
    <xf numFmtId="0" fontId="5" fillId="7" borderId="6" xfId="0" applyFont="1" applyFill="1" applyBorder="1" applyAlignment="1">
      <alignment horizontal="justify" vertical="center" wrapText="1"/>
    </xf>
    <xf numFmtId="0" fontId="11" fillId="10" borderId="2" xfId="0" applyFont="1" applyFill="1" applyBorder="1" applyAlignment="1">
      <alignment horizontal="justify" vertical="center" wrapText="1"/>
    </xf>
    <xf numFmtId="0" fontId="11" fillId="10" borderId="4" xfId="0" applyFont="1" applyFill="1" applyBorder="1" applyAlignment="1">
      <alignment horizontal="left" vertical="center" wrapText="1"/>
    </xf>
    <xf numFmtId="0" fontId="11" fillId="10" borderId="7" xfId="0" applyFont="1" applyFill="1" applyBorder="1" applyAlignment="1">
      <alignment horizontal="left" vertical="center" wrapText="1"/>
    </xf>
    <xf numFmtId="166" fontId="9" fillId="7" borderId="20" xfId="0" applyNumberFormat="1" applyFont="1" applyFill="1" applyBorder="1" applyAlignment="1">
      <alignment horizontal="center" vertical="center"/>
    </xf>
    <xf numFmtId="166" fontId="9" fillId="7" borderId="21" xfId="0" applyNumberFormat="1" applyFont="1" applyFill="1" applyBorder="1" applyAlignment="1">
      <alignment horizontal="center" vertical="center"/>
    </xf>
    <xf numFmtId="166" fontId="9" fillId="7" borderId="27" xfId="0" applyNumberFormat="1" applyFont="1" applyFill="1" applyBorder="1" applyAlignment="1">
      <alignment horizontal="center" vertical="center"/>
    </xf>
    <xf numFmtId="166" fontId="9" fillId="7" borderId="6" xfId="0" applyNumberFormat="1" applyFont="1" applyFill="1" applyBorder="1" applyAlignment="1">
      <alignment horizontal="center" vertical="center"/>
    </xf>
    <xf numFmtId="0" fontId="11" fillId="10" borderId="11" xfId="0" applyFont="1" applyFill="1" applyBorder="1" applyAlignment="1">
      <alignment horizontal="left" vertical="center" wrapText="1"/>
    </xf>
    <xf numFmtId="0" fontId="11" fillId="10" borderId="26" xfId="0" applyFont="1" applyFill="1" applyBorder="1" applyAlignment="1">
      <alignment horizontal="left" vertical="center" wrapText="1"/>
    </xf>
    <xf numFmtId="14" fontId="5" fillId="7" borderId="11" xfId="0" applyNumberFormat="1" applyFont="1" applyFill="1" applyBorder="1" applyAlignment="1">
      <alignment horizontal="center" vertical="center"/>
    </xf>
    <xf numFmtId="14" fontId="5" fillId="7" borderId="13" xfId="0" applyNumberFormat="1" applyFont="1" applyFill="1" applyBorder="1" applyAlignment="1">
      <alignment horizontal="center" vertical="center"/>
    </xf>
    <xf numFmtId="3" fontId="5" fillId="7" borderId="6" xfId="0" applyNumberFormat="1" applyFont="1" applyFill="1" applyBorder="1" applyAlignment="1">
      <alignment horizontal="justify" vertical="center" wrapText="1"/>
    </xf>
    <xf numFmtId="3" fontId="5" fillId="7" borderId="11" xfId="0" applyNumberFormat="1" applyFont="1" applyFill="1" applyBorder="1" applyAlignment="1">
      <alignment horizontal="justify" vertical="center" wrapText="1"/>
    </xf>
    <xf numFmtId="0" fontId="11" fillId="0" borderId="4" xfId="0" applyFont="1" applyBorder="1" applyAlignment="1">
      <alignment horizontal="left" vertical="center" wrapText="1"/>
    </xf>
    <xf numFmtId="0" fontId="11" fillId="0" borderId="22" xfId="0" applyFont="1" applyBorder="1" applyAlignment="1">
      <alignment horizontal="left" vertical="center"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3" fontId="5" fillId="0" borderId="26" xfId="0" applyNumberFormat="1" applyFont="1" applyBorder="1" applyAlignment="1">
      <alignment horizontal="center" vertical="center"/>
    </xf>
    <xf numFmtId="9" fontId="9" fillId="7" borderId="11" xfId="0" applyNumberFormat="1" applyFont="1" applyFill="1" applyBorder="1" applyAlignment="1">
      <alignment horizontal="center" vertical="center"/>
    </xf>
    <xf numFmtId="9" fontId="9" fillId="7" borderId="13" xfId="0" applyNumberFormat="1" applyFont="1" applyFill="1" applyBorder="1" applyAlignment="1">
      <alignment horizontal="center" vertical="center"/>
    </xf>
    <xf numFmtId="9" fontId="9" fillId="7" borderId="26" xfId="0" applyNumberFormat="1" applyFont="1" applyFill="1" applyBorder="1" applyAlignment="1">
      <alignment horizontal="center" vertical="center"/>
    </xf>
    <xf numFmtId="166" fontId="9" fillId="7" borderId="11" xfId="0" applyNumberFormat="1" applyFont="1" applyFill="1" applyBorder="1" applyAlignment="1">
      <alignment horizontal="center" vertical="center" wrapText="1"/>
    </xf>
    <xf numFmtId="166" fontId="9" fillId="7" borderId="13" xfId="0" applyNumberFormat="1" applyFont="1" applyFill="1" applyBorder="1" applyAlignment="1">
      <alignment horizontal="center" vertical="center" wrapText="1"/>
    </xf>
    <xf numFmtId="166" fontId="9" fillId="7" borderId="26" xfId="0" applyNumberFormat="1" applyFont="1" applyFill="1" applyBorder="1" applyAlignment="1">
      <alignment horizontal="center" vertical="center" wrapText="1"/>
    </xf>
    <xf numFmtId="3" fontId="5" fillId="7" borderId="6" xfId="0" applyNumberFormat="1" applyFont="1" applyFill="1" applyBorder="1" applyAlignment="1">
      <alignment horizontal="left" vertical="center" wrapText="1"/>
    </xf>
    <xf numFmtId="3" fontId="5" fillId="7" borderId="2" xfId="0" applyNumberFormat="1" applyFont="1" applyFill="1" applyBorder="1" applyAlignment="1">
      <alignment horizontal="left" vertical="center" wrapText="1"/>
    </xf>
    <xf numFmtId="3" fontId="5" fillId="7" borderId="11" xfId="0" applyNumberFormat="1" applyFont="1" applyFill="1" applyBorder="1" applyAlignment="1">
      <alignment horizontal="left" vertical="center" wrapText="1"/>
    </xf>
    <xf numFmtId="166" fontId="9" fillId="7" borderId="2" xfId="0" applyNumberFormat="1" applyFont="1" applyFill="1" applyBorder="1" applyAlignment="1">
      <alignment horizontal="center" vertical="center"/>
    </xf>
    <xf numFmtId="3" fontId="7" fillId="4" borderId="4" xfId="0" applyNumberFormat="1" applyFont="1" applyFill="1" applyBorder="1" applyAlignment="1">
      <alignment horizontal="center" vertical="center" wrapText="1"/>
    </xf>
    <xf numFmtId="3" fontId="7" fillId="4" borderId="5" xfId="0" applyNumberFormat="1" applyFont="1" applyFill="1" applyBorder="1" applyAlignment="1">
      <alignment horizontal="center" vertical="center" wrapText="1"/>
    </xf>
    <xf numFmtId="3" fontId="7" fillId="4" borderId="10" xfId="0" applyNumberFormat="1" applyFont="1" applyFill="1" applyBorder="1" applyAlignment="1">
      <alignment horizontal="center" vertical="center" wrapText="1"/>
    </xf>
    <xf numFmtId="3" fontId="7" fillId="4" borderId="7" xfId="0" applyNumberFormat="1" applyFont="1" applyFill="1" applyBorder="1" applyAlignment="1">
      <alignment horizontal="center" vertical="center" wrapText="1"/>
    </xf>
    <xf numFmtId="3" fontId="7" fillId="4" borderId="3" xfId="0" applyNumberFormat="1" applyFont="1" applyFill="1" applyBorder="1" applyAlignment="1">
      <alignment horizontal="center" vertical="center" wrapText="1"/>
    </xf>
    <xf numFmtId="3" fontId="7" fillId="4" borderId="12" xfId="0" applyNumberFormat="1" applyFont="1" applyFill="1" applyBorder="1" applyAlignment="1">
      <alignment horizontal="center" vertical="center" wrapText="1"/>
    </xf>
    <xf numFmtId="14" fontId="5" fillId="7" borderId="2" xfId="0" applyNumberFormat="1" applyFont="1" applyFill="1" applyBorder="1" applyAlignment="1">
      <alignment horizontal="center" vertical="center"/>
    </xf>
    <xf numFmtId="0" fontId="5" fillId="7" borderId="2" xfId="0" applyFont="1" applyFill="1" applyBorder="1" applyAlignment="1">
      <alignment horizontal="center" vertical="center"/>
    </xf>
    <xf numFmtId="0" fontId="5" fillId="7" borderId="11" xfId="0" applyFont="1" applyFill="1" applyBorder="1" applyAlignment="1">
      <alignment horizontal="center" vertical="center"/>
    </xf>
    <xf numFmtId="14" fontId="9" fillId="7" borderId="11" xfId="0" applyNumberFormat="1" applyFont="1" applyFill="1" applyBorder="1" applyAlignment="1">
      <alignment horizontal="center" vertical="center"/>
    </xf>
    <xf numFmtId="14" fontId="9" fillId="7" borderId="13" xfId="0" applyNumberFormat="1" applyFont="1" applyFill="1" applyBorder="1" applyAlignment="1">
      <alignment horizontal="center" vertical="center"/>
    </xf>
    <xf numFmtId="14" fontId="9" fillId="7" borderId="26" xfId="0" applyNumberFormat="1" applyFont="1" applyFill="1" applyBorder="1" applyAlignment="1">
      <alignment horizontal="center" vertical="center"/>
    </xf>
    <xf numFmtId="49" fontId="9" fillId="7" borderId="2" xfId="0" applyNumberFormat="1" applyFont="1" applyFill="1" applyBorder="1" applyAlignment="1">
      <alignment horizontal="center" vertical="center"/>
    </xf>
    <xf numFmtId="49" fontId="9" fillId="7" borderId="11" xfId="0" applyNumberFormat="1" applyFont="1" applyFill="1" applyBorder="1" applyAlignment="1">
      <alignment horizontal="center" vertical="center"/>
    </xf>
    <xf numFmtId="49" fontId="9" fillId="7" borderId="13" xfId="0" applyNumberFormat="1" applyFont="1" applyFill="1" applyBorder="1" applyAlignment="1">
      <alignment horizontal="center" vertical="center"/>
    </xf>
    <xf numFmtId="49" fontId="9" fillId="7" borderId="26" xfId="0" applyNumberFormat="1" applyFont="1" applyFill="1" applyBorder="1" applyAlignment="1">
      <alignment horizontal="center" vertical="center"/>
    </xf>
    <xf numFmtId="49" fontId="5" fillId="7" borderId="11" xfId="0" applyNumberFormat="1" applyFont="1" applyFill="1" applyBorder="1" applyAlignment="1">
      <alignment horizontal="center" vertical="center"/>
    </xf>
    <xf numFmtId="49" fontId="5" fillId="7" borderId="13" xfId="0" applyNumberFormat="1" applyFont="1" applyFill="1" applyBorder="1" applyAlignment="1">
      <alignment horizontal="center" vertical="center"/>
    </xf>
    <xf numFmtId="49" fontId="5" fillId="7" borderId="26" xfId="0" applyNumberFormat="1" applyFont="1" applyFill="1" applyBorder="1" applyAlignment="1">
      <alignment horizontal="center" vertical="center"/>
    </xf>
    <xf numFmtId="165" fontId="39" fillId="3" borderId="4" xfId="0" applyNumberFormat="1" applyFont="1" applyFill="1" applyBorder="1" applyAlignment="1">
      <alignment horizontal="center" vertical="center" wrapText="1"/>
    </xf>
    <xf numFmtId="165" fontId="39" fillId="3" borderId="10" xfId="0" applyNumberFormat="1" applyFont="1" applyFill="1" applyBorder="1" applyAlignment="1">
      <alignment horizontal="center" vertical="center" wrapText="1"/>
    </xf>
    <xf numFmtId="165" fontId="39" fillId="3" borderId="7" xfId="0" applyNumberFormat="1" applyFont="1" applyFill="1" applyBorder="1" applyAlignment="1">
      <alignment horizontal="center" vertical="center" wrapText="1"/>
    </xf>
    <xf numFmtId="165" fontId="39" fillId="3" borderId="12" xfId="0" applyNumberFormat="1" applyFont="1" applyFill="1" applyBorder="1" applyAlignment="1">
      <alignment horizontal="center" vertical="center" wrapText="1"/>
    </xf>
    <xf numFmtId="3" fontId="6" fillId="3" borderId="11" xfId="0" applyNumberFormat="1" applyFont="1" applyFill="1" applyBorder="1" applyAlignment="1">
      <alignment horizontal="center" vertical="center" wrapText="1"/>
    </xf>
    <xf numFmtId="3" fontId="6" fillId="3" borderId="6" xfId="0" applyNumberFormat="1" applyFont="1" applyFill="1" applyBorder="1" applyAlignment="1">
      <alignment horizontal="center" vertical="center" wrapText="1"/>
    </xf>
    <xf numFmtId="0" fontId="24" fillId="3" borderId="8" xfId="0" applyFont="1" applyFill="1" applyBorder="1" applyAlignment="1">
      <alignment horizontal="center" vertical="center" textRotation="90" wrapText="1"/>
    </xf>
    <xf numFmtId="0" fontId="24" fillId="3" borderId="1" xfId="0" applyFont="1" applyFill="1" applyBorder="1" applyAlignment="1">
      <alignment horizontal="center" vertical="center" textRotation="90" wrapText="1"/>
    </xf>
    <xf numFmtId="49" fontId="24" fillId="3" borderId="8" xfId="0" applyNumberFormat="1" applyFont="1" applyFill="1" applyBorder="1" applyAlignment="1">
      <alignment horizontal="center" vertical="center" textRotation="90" wrapText="1"/>
    </xf>
    <xf numFmtId="49" fontId="24" fillId="3" borderId="1" xfId="0" applyNumberFormat="1" applyFont="1" applyFill="1" applyBorder="1" applyAlignment="1">
      <alignment horizontal="center" vertical="center" textRotation="90" wrapText="1"/>
    </xf>
    <xf numFmtId="0" fontId="38" fillId="4" borderId="4"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10" xfId="0" applyFont="1" applyFill="1" applyBorder="1" applyAlignment="1">
      <alignment horizontal="center" vertical="center" wrapText="1"/>
    </xf>
    <xf numFmtId="0" fontId="24" fillId="4" borderId="4" xfId="0" applyFont="1" applyFill="1" applyBorder="1" applyAlignment="1">
      <alignment horizontal="center" vertical="center" textRotation="90" wrapText="1"/>
    </xf>
    <xf numFmtId="0" fontId="24" fillId="4" borderId="10" xfId="0" applyFont="1" applyFill="1" applyBorder="1" applyAlignment="1">
      <alignment horizontal="center" vertical="center" textRotation="90" wrapText="1"/>
    </xf>
    <xf numFmtId="0" fontId="24" fillId="4" borderId="7" xfId="0" applyFont="1" applyFill="1" applyBorder="1" applyAlignment="1">
      <alignment horizontal="center" vertical="center" textRotation="90" wrapText="1"/>
    </xf>
    <xf numFmtId="0" fontId="24" fillId="4" borderId="12" xfId="0" applyFont="1" applyFill="1" applyBorder="1" applyAlignment="1">
      <alignment horizontal="center" vertical="center" textRotation="90" wrapText="1"/>
    </xf>
    <xf numFmtId="0" fontId="23" fillId="3" borderId="8" xfId="0" applyFont="1" applyFill="1" applyBorder="1" applyAlignment="1">
      <alignment horizontal="center" vertical="center" textRotation="90" wrapText="1"/>
    </xf>
    <xf numFmtId="0" fontId="23" fillId="3" borderId="1" xfId="0" applyFont="1" applyFill="1" applyBorder="1" applyAlignment="1">
      <alignment horizontal="center" vertical="center" textRotation="90" wrapText="1"/>
    </xf>
    <xf numFmtId="4" fontId="3" fillId="5" borderId="2" xfId="0" applyNumberFormat="1" applyFont="1" applyFill="1" applyBorder="1" applyAlignment="1">
      <alignment horizontal="center" vertical="center" wrapText="1"/>
    </xf>
    <xf numFmtId="9" fontId="3" fillId="5" borderId="2" xfId="2" applyFont="1" applyFill="1" applyBorder="1" applyAlignment="1">
      <alignment horizontal="center" vertical="center" wrapText="1"/>
    </xf>
    <xf numFmtId="0" fontId="5" fillId="7" borderId="13" xfId="0" applyFont="1" applyFill="1" applyBorder="1" applyAlignment="1">
      <alignment horizontal="justify" vertical="center" wrapText="1"/>
    </xf>
    <xf numFmtId="0" fontId="5" fillId="7" borderId="14"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11" xfId="2" applyNumberFormat="1" applyFont="1" applyFill="1" applyBorder="1" applyAlignment="1">
      <alignment horizontal="center" vertical="center" wrapText="1"/>
    </xf>
    <xf numFmtId="0" fontId="5" fillId="7" borderId="13" xfId="2" applyNumberFormat="1" applyFont="1" applyFill="1" applyBorder="1" applyAlignment="1">
      <alignment horizontal="center" vertical="center" wrapText="1"/>
    </xf>
    <xf numFmtId="0" fontId="5" fillId="7" borderId="6" xfId="2" applyNumberFormat="1" applyFont="1" applyFill="1" applyBorder="1" applyAlignment="1">
      <alignment horizontal="center" vertical="center" wrapText="1"/>
    </xf>
    <xf numFmtId="170" fontId="6" fillId="3" borderId="11" xfId="0" applyNumberFormat="1" applyFont="1" applyFill="1" applyBorder="1" applyAlignment="1">
      <alignment horizontal="center" vertical="center" wrapText="1"/>
    </xf>
    <xf numFmtId="170" fontId="6" fillId="3" borderId="13" xfId="0" applyNumberFormat="1" applyFont="1" applyFill="1" applyBorder="1" applyAlignment="1">
      <alignment horizontal="center" vertical="center" wrapText="1"/>
    </xf>
    <xf numFmtId="169" fontId="6" fillId="3" borderId="8" xfId="0" applyNumberFormat="1" applyFont="1" applyFill="1" applyBorder="1" applyAlignment="1">
      <alignment horizontal="center" vertical="center" wrapText="1"/>
    </xf>
    <xf numFmtId="169" fontId="6" fillId="3" borderId="9" xfId="0" applyNumberFormat="1" applyFont="1" applyFill="1" applyBorder="1" applyAlignment="1">
      <alignment horizontal="center" vertical="center" wrapText="1"/>
    </xf>
    <xf numFmtId="169" fontId="6" fillId="3" borderId="1" xfId="0" applyNumberFormat="1" applyFont="1" applyFill="1" applyBorder="1" applyAlignment="1">
      <alignment horizontal="center" vertical="center" wrapText="1"/>
    </xf>
    <xf numFmtId="41" fontId="5" fillId="0" borderId="16" xfId="0" applyNumberFormat="1" applyFont="1" applyFill="1" applyBorder="1" applyAlignment="1">
      <alignment horizontal="left" vertical="center"/>
    </xf>
    <xf numFmtId="0" fontId="5" fillId="0" borderId="15" xfId="0" applyFont="1" applyBorder="1" applyAlignment="1">
      <alignment horizontal="center" vertical="center"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6" xfId="0" applyFont="1" applyBorder="1" applyAlignment="1">
      <alignment horizontal="center" vertical="center"/>
    </xf>
    <xf numFmtId="0" fontId="5" fillId="0" borderId="16" xfId="0" applyFont="1" applyBorder="1" applyAlignment="1">
      <alignment horizontal="justify" vertical="center"/>
    </xf>
    <xf numFmtId="4" fontId="5" fillId="0" borderId="16" xfId="4" applyNumberFormat="1" applyFont="1" applyFill="1" applyBorder="1" applyAlignment="1">
      <alignment horizontal="right" vertical="center"/>
    </xf>
    <xf numFmtId="4" fontId="5" fillId="0" borderId="18" xfId="4" applyNumberFormat="1" applyFont="1" applyFill="1" applyBorder="1" applyAlignment="1">
      <alignment horizontal="right" vertical="center"/>
    </xf>
    <xf numFmtId="4" fontId="5" fillId="0" borderId="52" xfId="4" applyNumberFormat="1" applyFont="1" applyFill="1" applyBorder="1" applyAlignment="1">
      <alignment horizontal="right" vertical="center"/>
    </xf>
    <xf numFmtId="0" fontId="5" fillId="0" borderId="14" xfId="0" applyFont="1" applyBorder="1" applyAlignment="1">
      <alignment horizontal="justify" vertical="center" wrapText="1"/>
    </xf>
    <xf numFmtId="0" fontId="5" fillId="0" borderId="7" xfId="0" applyFont="1" applyBorder="1" applyAlignment="1">
      <alignment horizontal="justify" vertical="center" wrapText="1"/>
    </xf>
    <xf numFmtId="14" fontId="5" fillId="0" borderId="11" xfId="0" applyNumberFormat="1" applyFont="1" applyBorder="1" applyAlignment="1">
      <alignment horizontal="center" vertical="center" wrapText="1"/>
    </xf>
    <xf numFmtId="14" fontId="5" fillId="0" borderId="13" xfId="0" applyNumberFormat="1" applyFont="1" applyBorder="1" applyAlignment="1">
      <alignment horizontal="center" vertical="center" wrapText="1"/>
    </xf>
    <xf numFmtId="14" fontId="5" fillId="0" borderId="6" xfId="0" applyNumberFormat="1" applyFont="1" applyBorder="1" applyAlignment="1">
      <alignment horizontal="center" vertical="center" wrapText="1"/>
    </xf>
    <xf numFmtId="0" fontId="5" fillId="7" borderId="4" xfId="0" applyFont="1" applyFill="1" applyBorder="1" applyAlignment="1">
      <alignment horizontal="center" vertical="center" wrapText="1"/>
    </xf>
    <xf numFmtId="0" fontId="5" fillId="7" borderId="11" xfId="0" applyNumberFormat="1" applyFont="1" applyFill="1" applyBorder="1" applyAlignment="1">
      <alignment horizontal="center" vertical="center" wrapText="1"/>
    </xf>
    <xf numFmtId="0" fontId="5" fillId="7" borderId="13" xfId="0" applyNumberFormat="1" applyFont="1" applyFill="1" applyBorder="1" applyAlignment="1">
      <alignment horizontal="center" vertical="center" wrapText="1"/>
    </xf>
    <xf numFmtId="0" fontId="5" fillId="7" borderId="6" xfId="0" applyNumberFormat="1" applyFont="1" applyFill="1" applyBorder="1" applyAlignment="1">
      <alignment horizontal="center" vertical="center" wrapText="1"/>
    </xf>
    <xf numFmtId="183" fontId="5" fillId="7" borderId="11" xfId="0" applyNumberFormat="1" applyFont="1" applyFill="1" applyBorder="1" applyAlignment="1">
      <alignment horizontal="center" vertical="center"/>
    </xf>
    <xf numFmtId="183" fontId="5" fillId="7" borderId="13" xfId="0" applyNumberFormat="1" applyFont="1" applyFill="1" applyBorder="1" applyAlignment="1">
      <alignment horizontal="center" vertical="center"/>
    </xf>
    <xf numFmtId="183" fontId="5" fillId="7" borderId="6" xfId="0" applyNumberFormat="1" applyFont="1" applyFill="1" applyBorder="1" applyAlignment="1">
      <alignment horizontal="center" vertical="center"/>
    </xf>
    <xf numFmtId="0" fontId="5" fillId="0" borderId="16" xfId="0" applyFont="1" applyBorder="1" applyAlignment="1">
      <alignment horizontal="justify" vertical="center" wrapText="1"/>
    </xf>
    <xf numFmtId="10" fontId="5" fillId="0" borderId="4" xfId="0" applyNumberFormat="1" applyFont="1" applyBorder="1" applyAlignment="1">
      <alignment horizontal="center" vertical="center"/>
    </xf>
    <xf numFmtId="10" fontId="5" fillId="0" borderId="14" xfId="0" applyNumberFormat="1" applyFont="1" applyBorder="1" applyAlignment="1">
      <alignment horizontal="center" vertical="center"/>
    </xf>
    <xf numFmtId="10" fontId="5" fillId="0" borderId="7" xfId="0" applyNumberFormat="1" applyFont="1" applyBorder="1" applyAlignment="1">
      <alignment horizontal="center" vertical="center"/>
    </xf>
    <xf numFmtId="0" fontId="5" fillId="0" borderId="2" xfId="0" applyFont="1" applyBorder="1" applyAlignment="1">
      <alignment horizontal="left" vertical="center" wrapText="1"/>
    </xf>
    <xf numFmtId="0" fontId="5" fillId="0" borderId="13" xfId="0" applyFont="1" applyBorder="1" applyAlignment="1">
      <alignment horizontal="left" vertical="center" wrapText="1"/>
    </xf>
    <xf numFmtId="14" fontId="5" fillId="0" borderId="11" xfId="0" applyNumberFormat="1" applyFont="1" applyBorder="1" applyAlignment="1">
      <alignment horizontal="center" vertical="center"/>
    </xf>
    <xf numFmtId="14" fontId="5" fillId="0" borderId="13" xfId="0" applyNumberFormat="1" applyFont="1" applyBorder="1" applyAlignment="1">
      <alignment horizontal="center" vertical="center"/>
    </xf>
    <xf numFmtId="14" fontId="5" fillId="0" borderId="6" xfId="0" applyNumberFormat="1" applyFont="1" applyBorder="1" applyAlignment="1">
      <alignment horizontal="center" vertical="center"/>
    </xf>
    <xf numFmtId="43" fontId="5" fillId="0" borderId="11" xfId="1" applyFont="1" applyBorder="1" applyAlignment="1">
      <alignment horizontal="center" vertical="center"/>
    </xf>
    <xf numFmtId="43" fontId="5" fillId="0" borderId="13" xfId="1" applyFont="1" applyBorder="1" applyAlignment="1">
      <alignment horizontal="center" vertical="center"/>
    </xf>
    <xf numFmtId="43" fontId="5" fillId="0" borderId="6" xfId="1" applyFont="1" applyBorder="1" applyAlignment="1">
      <alignment horizontal="center" vertical="center"/>
    </xf>
    <xf numFmtId="183" fontId="5" fillId="7" borderId="11" xfId="0" applyNumberFormat="1" applyFont="1" applyFill="1" applyBorder="1" applyAlignment="1">
      <alignment horizontal="center" vertical="center" wrapText="1"/>
    </xf>
    <xf numFmtId="183" fontId="5" fillId="7" borderId="13" xfId="0" applyNumberFormat="1" applyFont="1" applyFill="1" applyBorder="1" applyAlignment="1">
      <alignment horizontal="center" vertical="center" wrapText="1"/>
    </xf>
    <xf numFmtId="183" fontId="5" fillId="7" borderId="6" xfId="0" applyNumberFormat="1" applyFont="1" applyFill="1" applyBorder="1" applyAlignment="1">
      <alignment horizontal="center" vertical="center" wrapText="1"/>
    </xf>
    <xf numFmtId="0" fontId="5" fillId="7" borderId="11" xfId="0" applyFont="1" applyFill="1" applyBorder="1" applyAlignment="1">
      <alignment horizontal="left" vertical="center" wrapText="1"/>
    </xf>
    <xf numFmtId="0" fontId="5" fillId="7" borderId="13" xfId="0" applyFont="1" applyFill="1" applyBorder="1" applyAlignment="1">
      <alignment horizontal="left" vertical="center" wrapText="1"/>
    </xf>
    <xf numFmtId="0" fontId="5" fillId="7" borderId="6" xfId="0" applyFont="1" applyFill="1" applyBorder="1" applyAlignment="1">
      <alignment horizontal="left" vertical="center" wrapText="1"/>
    </xf>
    <xf numFmtId="43" fontId="5" fillId="7" borderId="13" xfId="4" applyFont="1" applyFill="1" applyBorder="1" applyAlignment="1">
      <alignment horizontal="center" vertical="center" wrapText="1"/>
    </xf>
    <xf numFmtId="0" fontId="5" fillId="7" borderId="14" xfId="0" applyFont="1" applyFill="1" applyBorder="1" applyAlignment="1">
      <alignment horizontal="justify" vertical="center" wrapText="1"/>
    </xf>
    <xf numFmtId="9" fontId="5" fillId="7" borderId="11" xfId="2" applyFont="1" applyFill="1" applyBorder="1" applyAlignment="1">
      <alignment horizontal="center" vertical="center"/>
    </xf>
    <xf numFmtId="9" fontId="5" fillId="7" borderId="6" xfId="2" applyFont="1" applyFill="1" applyBorder="1" applyAlignment="1">
      <alignment horizontal="center" vertical="center"/>
    </xf>
    <xf numFmtId="0" fontId="5" fillId="7" borderId="8" xfId="0" applyFont="1" applyFill="1" applyBorder="1" applyAlignment="1">
      <alignment horizontal="justify" vertical="center" wrapText="1"/>
    </xf>
    <xf numFmtId="0" fontId="41" fillId="0" borderId="2" xfId="0" applyFont="1" applyFill="1" applyBorder="1" applyAlignment="1">
      <alignment vertical="center" wrapText="1"/>
    </xf>
    <xf numFmtId="0" fontId="41" fillId="0" borderId="75"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5" fillId="7" borderId="2" xfId="0" applyFont="1" applyFill="1" applyBorder="1" applyAlignment="1">
      <alignment horizontal="left" vertical="center" wrapText="1"/>
    </xf>
    <xf numFmtId="1" fontId="5" fillId="7" borderId="11" xfId="0" applyNumberFormat="1" applyFont="1" applyFill="1" applyBorder="1" applyAlignment="1">
      <alignment horizontal="center" vertical="center"/>
    </xf>
    <xf numFmtId="1" fontId="5" fillId="7" borderId="6" xfId="0" applyNumberFormat="1" applyFont="1" applyFill="1" applyBorder="1" applyAlignment="1">
      <alignment horizontal="center" vertical="center"/>
    </xf>
    <xf numFmtId="0" fontId="41" fillId="0" borderId="11" xfId="0" applyFont="1" applyFill="1" applyBorder="1" applyAlignment="1">
      <alignment horizontal="center" vertical="center" wrapText="1"/>
    </xf>
    <xf numFmtId="0" fontId="5" fillId="0" borderId="46" xfId="0" applyFont="1" applyBorder="1" applyAlignment="1">
      <alignment horizontal="center" vertical="center"/>
    </xf>
    <xf numFmtId="0" fontId="5" fillId="7" borderId="46" xfId="0" applyFont="1" applyFill="1" applyBorder="1" applyAlignment="1">
      <alignment horizontal="left" vertical="center" wrapText="1"/>
    </xf>
    <xf numFmtId="0" fontId="5" fillId="7" borderId="11" xfId="0" applyFont="1" applyFill="1" applyBorder="1" applyAlignment="1">
      <alignment horizontal="justify" vertical="center"/>
    </xf>
    <xf numFmtId="0" fontId="5" fillId="7" borderId="6" xfId="0" applyFont="1" applyFill="1" applyBorder="1" applyAlignment="1">
      <alignment horizontal="justify" vertical="center"/>
    </xf>
    <xf numFmtId="0" fontId="5" fillId="7" borderId="11" xfId="0" applyNumberFormat="1" applyFont="1" applyFill="1" applyBorder="1" applyAlignment="1">
      <alignment horizontal="center" vertical="center"/>
    </xf>
    <xf numFmtId="0" fontId="5" fillId="7" borderId="6" xfId="0" applyNumberFormat="1" applyFont="1" applyFill="1" applyBorder="1" applyAlignment="1">
      <alignment horizontal="center" vertical="center"/>
    </xf>
    <xf numFmtId="0" fontId="5" fillId="0" borderId="15" xfId="0" applyFont="1" applyBorder="1" applyAlignment="1">
      <alignment horizontal="center" vertical="center"/>
    </xf>
    <xf numFmtId="14" fontId="40" fillId="0" borderId="11" xfId="0" applyNumberFormat="1" applyFont="1" applyFill="1" applyBorder="1" applyAlignment="1">
      <alignment horizontal="center" vertical="center" wrapText="1"/>
    </xf>
    <xf numFmtId="14" fontId="40" fillId="0" borderId="13" xfId="0" applyNumberFormat="1" applyFont="1" applyFill="1" applyBorder="1" applyAlignment="1">
      <alignment horizontal="center" vertical="center" wrapText="1"/>
    </xf>
    <xf numFmtId="14" fontId="40" fillId="0" borderId="6"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7" borderId="6" xfId="0" applyFont="1" applyFill="1" applyBorder="1" applyAlignment="1">
      <alignment horizontal="center" vertical="center"/>
    </xf>
    <xf numFmtId="9" fontId="5" fillId="7" borderId="13" xfId="2" applyFont="1" applyFill="1" applyBorder="1" applyAlignment="1">
      <alignment horizontal="center" vertical="center"/>
    </xf>
    <xf numFmtId="10" fontId="5" fillId="0" borderId="11" xfId="0" applyNumberFormat="1" applyFont="1" applyBorder="1" applyAlignment="1">
      <alignment horizontal="center" vertical="center"/>
    </xf>
    <xf numFmtId="10" fontId="5" fillId="0" borderId="13" xfId="0" applyNumberFormat="1" applyFont="1" applyBorder="1" applyAlignment="1">
      <alignment horizontal="center" vertical="center"/>
    </xf>
    <xf numFmtId="10" fontId="5" fillId="0" borderId="6" xfId="0" applyNumberFormat="1" applyFont="1" applyBorder="1" applyAlignment="1">
      <alignment horizontal="center" vertical="center"/>
    </xf>
    <xf numFmtId="43" fontId="5" fillId="0" borderId="11" xfId="1" applyFont="1" applyBorder="1" applyAlignment="1">
      <alignment horizontal="center" vertical="center" wrapText="1"/>
    </xf>
    <xf numFmtId="43" fontId="5" fillId="0" borderId="13" xfId="1" applyFont="1" applyBorder="1" applyAlignment="1">
      <alignment horizontal="center" vertical="center" wrapText="1"/>
    </xf>
    <xf numFmtId="43" fontId="5" fillId="0" borderId="6" xfId="1" applyFont="1" applyBorder="1" applyAlignment="1">
      <alignment horizontal="center" vertical="center" wrapText="1"/>
    </xf>
    <xf numFmtId="0" fontId="5" fillId="7" borderId="10" xfId="0" applyFont="1" applyFill="1" applyBorder="1" applyAlignment="1">
      <alignment vertical="center" wrapText="1"/>
    </xf>
    <xf numFmtId="0" fontId="5" fillId="7" borderId="15" xfId="0" applyFont="1" applyFill="1" applyBorder="1" applyAlignment="1">
      <alignment vertical="center" wrapText="1"/>
    </xf>
    <xf numFmtId="0" fontId="5" fillId="7" borderId="12" xfId="0" applyFont="1" applyFill="1" applyBorder="1" applyAlignment="1">
      <alignment vertical="center" wrapText="1"/>
    </xf>
    <xf numFmtId="1" fontId="5" fillId="7" borderId="13" xfId="0" applyNumberFormat="1" applyFont="1" applyFill="1" applyBorder="1" applyAlignment="1">
      <alignment horizontal="center" vertical="center"/>
    </xf>
    <xf numFmtId="9" fontId="5" fillId="7" borderId="11" xfId="18" applyFont="1" applyFill="1" applyBorder="1" applyAlignment="1">
      <alignment horizontal="justify" vertical="center" wrapText="1"/>
    </xf>
    <xf numFmtId="9" fontId="5" fillId="7" borderId="13" xfId="18" applyFont="1" applyFill="1" applyBorder="1" applyAlignment="1">
      <alignment horizontal="justify" vertical="center" wrapText="1"/>
    </xf>
    <xf numFmtId="9" fontId="5" fillId="7" borderId="6" xfId="18" applyFont="1" applyFill="1" applyBorder="1" applyAlignment="1">
      <alignment horizontal="justify" vertical="center" wrapText="1"/>
    </xf>
    <xf numFmtId="0" fontId="5" fillId="7" borderId="14"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2" xfId="0" applyFont="1" applyFill="1" applyBorder="1" applyAlignment="1">
      <alignment horizontal="center" vertical="center"/>
    </xf>
    <xf numFmtId="0" fontId="5" fillId="7" borderId="0" xfId="0" applyFont="1" applyFill="1" applyAlignment="1">
      <alignment horizontal="center" vertical="center"/>
    </xf>
    <xf numFmtId="0" fontId="5" fillId="7" borderId="3" xfId="0" applyFont="1" applyFill="1" applyBorder="1" applyAlignment="1">
      <alignment horizontal="center" vertical="center"/>
    </xf>
    <xf numFmtId="0" fontId="5" fillId="0" borderId="16" xfId="0" applyFont="1" applyBorder="1" applyAlignment="1">
      <alignment horizontal="center" vertical="center"/>
    </xf>
    <xf numFmtId="0" fontId="5" fillId="7" borderId="16" xfId="0" applyFont="1" applyFill="1" applyBorder="1" applyAlignment="1">
      <alignment vertical="center" wrapText="1"/>
    </xf>
    <xf numFmtId="43" fontId="5" fillId="7" borderId="2" xfId="4" applyFont="1" applyFill="1" applyBorder="1" applyAlignment="1">
      <alignment horizontal="justify" vertical="center" wrapText="1"/>
    </xf>
    <xf numFmtId="0" fontId="5" fillId="7" borderId="10" xfId="0" applyFont="1" applyFill="1" applyBorder="1" applyAlignment="1">
      <alignment horizontal="center" vertical="center"/>
    </xf>
    <xf numFmtId="0" fontId="5" fillId="7" borderId="13" xfId="0" applyFont="1" applyFill="1" applyBorder="1" applyAlignment="1">
      <alignment horizontal="center" vertical="center"/>
    </xf>
    <xf numFmtId="14" fontId="40" fillId="0" borderId="11" xfId="0" applyNumberFormat="1" applyFont="1" applyBorder="1" applyAlignment="1">
      <alignment horizontal="center" vertical="center" wrapText="1"/>
    </xf>
    <xf numFmtId="14" fontId="40" fillId="0" borderId="13" xfId="0" applyNumberFormat="1" applyFont="1" applyBorder="1" applyAlignment="1">
      <alignment horizontal="center" vertical="center" wrapText="1"/>
    </xf>
    <xf numFmtId="14" fontId="40" fillId="0" borderId="6" xfId="0" applyNumberFormat="1" applyFont="1" applyBorder="1" applyAlignment="1">
      <alignment horizontal="center" vertical="center" wrapText="1"/>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6" xfId="0" applyFont="1" applyBorder="1" applyAlignment="1">
      <alignment horizontal="center" vertical="center" wrapText="1"/>
    </xf>
    <xf numFmtId="43" fontId="5" fillId="7" borderId="13" xfId="4" applyFont="1" applyFill="1" applyBorder="1" applyAlignment="1">
      <alignment horizontal="center" vertical="center"/>
    </xf>
    <xf numFmtId="43" fontId="5" fillId="7" borderId="15" xfId="4" applyFont="1" applyFill="1" applyBorder="1" applyAlignment="1">
      <alignment horizontal="center" vertical="center"/>
    </xf>
    <xf numFmtId="43" fontId="40" fillId="0" borderId="11" xfId="1" applyFont="1" applyBorder="1" applyAlignment="1">
      <alignment horizontal="center" vertical="center"/>
    </xf>
    <xf numFmtId="43" fontId="40" fillId="0" borderId="13" xfId="1" applyFont="1" applyBorder="1" applyAlignment="1">
      <alignment horizontal="center" vertical="center"/>
    </xf>
    <xf numFmtId="43" fontId="40" fillId="0" borderId="6" xfId="1" applyFont="1" applyBorder="1" applyAlignment="1">
      <alignment horizontal="center" vertical="center"/>
    </xf>
    <xf numFmtId="10" fontId="40" fillId="0" borderId="11" xfId="0" applyNumberFormat="1" applyFont="1" applyBorder="1" applyAlignment="1">
      <alignment horizontal="center" vertical="center"/>
    </xf>
    <xf numFmtId="10" fontId="40" fillId="0" borderId="13" xfId="0" applyNumberFormat="1" applyFont="1" applyBorder="1" applyAlignment="1">
      <alignment horizontal="center" vertical="center"/>
    </xf>
    <xf numFmtId="10" fontId="40" fillId="0" borderId="6" xfId="0" applyNumberFormat="1" applyFont="1" applyBorder="1" applyAlignment="1">
      <alignment horizontal="center" vertical="center"/>
    </xf>
    <xf numFmtId="0" fontId="40" fillId="0" borderId="11" xfId="0" applyFont="1" applyBorder="1" applyAlignment="1">
      <alignment horizontal="left" vertical="center" wrapText="1"/>
    </xf>
    <xf numFmtId="0" fontId="40" fillId="0" borderId="13" xfId="0" applyFont="1" applyBorder="1" applyAlignment="1">
      <alignment horizontal="left" vertical="center"/>
    </xf>
    <xf numFmtId="0" fontId="40" fillId="0" borderId="6" xfId="0" applyFont="1" applyBorder="1" applyAlignment="1">
      <alignment horizontal="left" vertical="center"/>
    </xf>
    <xf numFmtId="0" fontId="40" fillId="0" borderId="11" xfId="0" applyFont="1" applyBorder="1" applyAlignment="1">
      <alignment horizontal="center" vertical="center"/>
    </xf>
    <xf numFmtId="0" fontId="40" fillId="0" borderId="13" xfId="0" applyFont="1" applyBorder="1" applyAlignment="1">
      <alignment horizontal="center" vertical="center"/>
    </xf>
    <xf numFmtId="0" fontId="40" fillId="0" borderId="6" xfId="0" applyFont="1" applyBorder="1" applyAlignment="1">
      <alignment horizontal="center" vertical="center"/>
    </xf>
    <xf numFmtId="1" fontId="40" fillId="0" borderId="11" xfId="0" applyNumberFormat="1" applyFont="1" applyBorder="1" applyAlignment="1">
      <alignment horizontal="center" vertical="center"/>
    </xf>
    <xf numFmtId="1" fontId="40" fillId="0" borderId="13" xfId="0" applyNumberFormat="1" applyFont="1" applyBorder="1" applyAlignment="1">
      <alignment horizontal="center" vertical="center"/>
    </xf>
    <xf numFmtId="1" fontId="40" fillId="0" borderId="6" xfId="0" applyNumberFormat="1" applyFont="1" applyBorder="1" applyAlignment="1">
      <alignment horizontal="center" vertical="center"/>
    </xf>
    <xf numFmtId="14" fontId="5" fillId="7" borderId="6" xfId="0" applyNumberFormat="1" applyFont="1" applyFill="1" applyBorder="1" applyAlignment="1">
      <alignment horizontal="center" vertical="center"/>
    </xf>
    <xf numFmtId="43" fontId="5" fillId="7" borderId="11" xfId="1" applyFont="1" applyFill="1" applyBorder="1" applyAlignment="1">
      <alignment horizontal="center" vertical="center" wrapText="1"/>
    </xf>
    <xf numFmtId="43" fontId="5" fillId="7" borderId="13" xfId="1" applyFont="1" applyFill="1" applyBorder="1" applyAlignment="1">
      <alignment horizontal="center" vertical="center" wrapText="1"/>
    </xf>
    <xf numFmtId="43" fontId="5" fillId="7" borderId="6" xfId="1" applyFont="1" applyFill="1" applyBorder="1" applyAlignment="1">
      <alignment horizontal="center" vertical="center" wrapText="1"/>
    </xf>
    <xf numFmtId="10" fontId="5" fillId="7" borderId="11" xfId="0" applyNumberFormat="1" applyFont="1" applyFill="1" applyBorder="1" applyAlignment="1">
      <alignment horizontal="center" vertical="center" wrapText="1"/>
    </xf>
    <xf numFmtId="10" fontId="5" fillId="7" borderId="13" xfId="0" applyNumberFormat="1" applyFont="1" applyFill="1" applyBorder="1" applyAlignment="1">
      <alignment horizontal="center" vertical="center" wrapText="1"/>
    </xf>
    <xf numFmtId="10" fontId="5" fillId="7" borderId="6" xfId="0" applyNumberFormat="1" applyFont="1" applyFill="1" applyBorder="1" applyAlignment="1">
      <alignment horizontal="center" vertical="center" wrapText="1"/>
    </xf>
    <xf numFmtId="0" fontId="5" fillId="0" borderId="0" xfId="0" applyFont="1" applyAlignment="1">
      <alignment horizontal="center"/>
    </xf>
    <xf numFmtId="0" fontId="5" fillId="0" borderId="15" xfId="0" applyFont="1" applyBorder="1" applyAlignment="1">
      <alignment horizontal="center"/>
    </xf>
    <xf numFmtId="9" fontId="5" fillId="7" borderId="16" xfId="18" applyFont="1" applyFill="1" applyBorder="1" applyAlignment="1">
      <alignment horizontal="center" vertical="center"/>
    </xf>
    <xf numFmtId="0" fontId="5" fillId="0" borderId="11"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horizontal="center" vertical="center"/>
    </xf>
    <xf numFmtId="0" fontId="5" fillId="0" borderId="7" xfId="0" applyFont="1" applyBorder="1" applyAlignment="1">
      <alignment horizontal="center" vertical="center"/>
    </xf>
    <xf numFmtId="10" fontId="5" fillId="0" borderId="11" xfId="18" applyNumberFormat="1" applyFont="1" applyBorder="1" applyAlignment="1">
      <alignment horizontal="center" vertical="center"/>
    </xf>
    <xf numFmtId="10" fontId="5" fillId="0" borderId="6" xfId="18" applyNumberFormat="1" applyFont="1" applyBorder="1" applyAlignment="1">
      <alignment horizontal="center" vertical="center"/>
    </xf>
    <xf numFmtId="43" fontId="5" fillId="0" borderId="13" xfId="4" applyFont="1" applyBorder="1" applyAlignment="1">
      <alignment horizontal="center" vertical="center"/>
    </xf>
    <xf numFmtId="0" fontId="5" fillId="0" borderId="20" xfId="0" applyFont="1" applyBorder="1" applyAlignment="1">
      <alignment horizontal="justify" vertical="center" wrapText="1"/>
    </xf>
    <xf numFmtId="0" fontId="5" fillId="0" borderId="27" xfId="0" applyFont="1" applyBorder="1" applyAlignment="1">
      <alignment horizontal="justify" vertical="center" wrapText="1"/>
    </xf>
    <xf numFmtId="14" fontId="40" fillId="0" borderId="2" xfId="0" applyNumberFormat="1" applyFont="1" applyBorder="1" applyAlignment="1">
      <alignment horizontal="center" vertical="center"/>
    </xf>
    <xf numFmtId="14" fontId="40" fillId="0" borderId="11" xfId="0" applyNumberFormat="1" applyFont="1" applyBorder="1" applyAlignment="1">
      <alignment horizontal="center" vertical="center"/>
    </xf>
    <xf numFmtId="14" fontId="40" fillId="0" borderId="13" xfId="0" applyNumberFormat="1" applyFont="1" applyBorder="1" applyAlignment="1">
      <alignment horizontal="center" vertical="center"/>
    </xf>
    <xf numFmtId="14" fontId="40" fillId="0" borderId="6" xfId="0" applyNumberFormat="1" applyFont="1" applyBorder="1" applyAlignment="1">
      <alignment horizontal="center" vertical="center"/>
    </xf>
    <xf numFmtId="1" fontId="5" fillId="0" borderId="13" xfId="0" applyNumberFormat="1" applyFont="1" applyBorder="1" applyAlignment="1">
      <alignment horizontal="center" vertical="center" wrapText="1"/>
    </xf>
    <xf numFmtId="10" fontId="5" fillId="0" borderId="11" xfId="0" applyNumberFormat="1" applyFont="1" applyBorder="1" applyAlignment="1">
      <alignment horizontal="center" vertical="center" wrapText="1"/>
    </xf>
    <xf numFmtId="10" fontId="5" fillId="0" borderId="13" xfId="0" applyNumberFormat="1" applyFont="1" applyBorder="1" applyAlignment="1">
      <alignment horizontal="center" vertical="center" wrapText="1"/>
    </xf>
    <xf numFmtId="10" fontId="5" fillId="0" borderId="6"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10" fontId="5" fillId="0" borderId="13" xfId="18"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6" xfId="0" applyNumberFormat="1" applyFont="1" applyBorder="1" applyAlignment="1">
      <alignment horizontal="center" vertical="center"/>
    </xf>
    <xf numFmtId="3" fontId="5" fillId="0" borderId="4"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5" fillId="0" borderId="7" xfId="0" applyNumberFormat="1" applyFont="1" applyBorder="1" applyAlignment="1">
      <alignment horizontal="center" vertical="center"/>
    </xf>
    <xf numFmtId="0" fontId="41" fillId="0" borderId="13" xfId="0" applyFont="1" applyFill="1" applyBorder="1" applyAlignment="1">
      <alignment horizontal="center" vertical="center" wrapText="1"/>
    </xf>
    <xf numFmtId="10" fontId="9" fillId="0" borderId="11" xfId="18" applyNumberFormat="1" applyFont="1" applyBorder="1" applyAlignment="1">
      <alignment horizontal="center" vertical="center"/>
    </xf>
    <xf numFmtId="10" fontId="9" fillId="0" borderId="13" xfId="18" applyNumberFormat="1" applyFont="1" applyBorder="1" applyAlignment="1">
      <alignment horizontal="center" vertical="center"/>
    </xf>
    <xf numFmtId="10" fontId="9" fillId="0" borderId="6" xfId="18" applyNumberFormat="1" applyFont="1" applyBorder="1" applyAlignment="1">
      <alignment horizontal="center" vertical="center"/>
    </xf>
    <xf numFmtId="3" fontId="5" fillId="0" borderId="8" xfId="0" applyNumberFormat="1" applyFont="1" applyBorder="1" applyAlignment="1">
      <alignment horizontal="center" vertical="center"/>
    </xf>
    <xf numFmtId="43" fontId="40" fillId="0" borderId="11" xfId="1" applyFont="1" applyBorder="1" applyAlignment="1">
      <alignment horizontal="center" vertical="center" wrapText="1"/>
    </xf>
    <xf numFmtId="43" fontId="40" fillId="0" borderId="13" xfId="1" applyFont="1" applyBorder="1" applyAlignment="1">
      <alignment horizontal="center" vertical="center" wrapText="1"/>
    </xf>
    <xf numFmtId="43" fontId="40" fillId="0" borderId="6" xfId="1" applyFont="1" applyBorder="1" applyAlignment="1">
      <alignment horizontal="center" vertical="center" wrapText="1"/>
    </xf>
    <xf numFmtId="10" fontId="40" fillId="0" borderId="11" xfId="0" applyNumberFormat="1" applyFont="1" applyBorder="1" applyAlignment="1">
      <alignment horizontal="center" vertical="center" wrapText="1"/>
    </xf>
    <xf numFmtId="10" fontId="40" fillId="0" borderId="13" xfId="0" applyNumberFormat="1" applyFont="1" applyBorder="1" applyAlignment="1">
      <alignment horizontal="center" vertical="center" wrapText="1"/>
    </xf>
    <xf numFmtId="10" fontId="40" fillId="0" borderId="6" xfId="0" applyNumberFormat="1" applyFont="1" applyBorder="1" applyAlignment="1">
      <alignment horizontal="center" vertical="center" wrapText="1"/>
    </xf>
    <xf numFmtId="1" fontId="5" fillId="0" borderId="6" xfId="0" applyNumberFormat="1" applyFont="1" applyFill="1" applyBorder="1" applyAlignment="1">
      <alignment horizontal="center" vertical="center" wrapText="1"/>
    </xf>
    <xf numFmtId="0" fontId="5" fillId="0" borderId="0" xfId="0" applyFont="1" applyAlignment="1">
      <alignment horizontal="center" vertical="center" wrapText="1"/>
    </xf>
    <xf numFmtId="9" fontId="5" fillId="7" borderId="73" xfId="18" applyFont="1" applyFill="1" applyBorder="1" applyAlignment="1">
      <alignment horizontal="center" vertical="center"/>
    </xf>
    <xf numFmtId="9" fontId="5" fillId="7" borderId="6" xfId="18" applyFont="1" applyFill="1" applyBorder="1" applyAlignment="1">
      <alignment horizontal="center" vertical="center"/>
    </xf>
    <xf numFmtId="9" fontId="5" fillId="7" borderId="13" xfId="18" applyFont="1" applyFill="1" applyBorder="1" applyAlignment="1">
      <alignment horizontal="center" vertical="center"/>
    </xf>
    <xf numFmtId="43" fontId="5" fillId="0" borderId="6" xfId="4" applyFont="1" applyFill="1" applyBorder="1" applyAlignment="1">
      <alignment horizontal="center" vertical="center" wrapText="1"/>
    </xf>
    <xf numFmtId="0" fontId="5" fillId="7" borderId="16" xfId="0" applyFont="1" applyFill="1" applyBorder="1" applyAlignment="1">
      <alignment horizontal="justify" vertical="center" wrapText="1"/>
    </xf>
    <xf numFmtId="0" fontId="9" fillId="0" borderId="16" xfId="0" applyFont="1" applyBorder="1" applyAlignment="1">
      <alignment horizontal="justify" vertical="center" wrapText="1"/>
    </xf>
    <xf numFmtId="43" fontId="9" fillId="0" borderId="51" xfId="4" applyFont="1" applyFill="1" applyBorder="1" applyAlignment="1">
      <alignment horizontal="center" vertical="center" wrapText="1"/>
    </xf>
    <xf numFmtId="43" fontId="9" fillId="0" borderId="69" xfId="4" applyFont="1" applyFill="1" applyBorder="1" applyAlignment="1">
      <alignment horizontal="center" vertical="center" wrapText="1"/>
    </xf>
    <xf numFmtId="43" fontId="9" fillId="0" borderId="78" xfId="4" applyFont="1" applyFill="1" applyBorder="1" applyAlignment="1">
      <alignment horizontal="center" vertical="center" wrapText="1"/>
    </xf>
    <xf numFmtId="43" fontId="9" fillId="0" borderId="18" xfId="4" applyFont="1" applyFill="1" applyBorder="1" applyAlignment="1">
      <alignment horizontal="center" vertical="center" wrapText="1"/>
    </xf>
    <xf numFmtId="43" fontId="9" fillId="0" borderId="70" xfId="4" applyFont="1" applyFill="1" applyBorder="1" applyAlignment="1">
      <alignment horizontal="center" vertical="center" wrapText="1"/>
    </xf>
    <xf numFmtId="43" fontId="9" fillId="0" borderId="52" xfId="4"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70" xfId="0" applyFont="1" applyFill="1" applyBorder="1" applyAlignment="1">
      <alignment horizontal="center" vertical="center" wrapText="1"/>
    </xf>
    <xf numFmtId="43" fontId="5" fillId="7" borderId="11" xfId="1" applyFont="1" applyFill="1" applyBorder="1" applyAlignment="1">
      <alignment horizontal="center" vertical="center"/>
    </xf>
    <xf numFmtId="43" fontId="5" fillId="7" borderId="13" xfId="1" applyFont="1" applyFill="1" applyBorder="1" applyAlignment="1">
      <alignment horizontal="center" vertical="center"/>
    </xf>
    <xf numFmtId="43" fontId="5" fillId="7" borderId="6" xfId="1" applyFont="1" applyFill="1" applyBorder="1" applyAlignment="1">
      <alignment horizontal="center" vertical="center"/>
    </xf>
    <xf numFmtId="10" fontId="5" fillId="7" borderId="11" xfId="0" applyNumberFormat="1" applyFont="1" applyFill="1" applyBorder="1" applyAlignment="1">
      <alignment horizontal="center" vertical="center"/>
    </xf>
    <xf numFmtId="10" fontId="5" fillId="7" borderId="13" xfId="0" applyNumberFormat="1" applyFont="1" applyFill="1" applyBorder="1" applyAlignment="1">
      <alignment horizontal="center" vertical="center"/>
    </xf>
    <xf numFmtId="10" fontId="5" fillId="7" borderId="6" xfId="0" applyNumberFormat="1" applyFont="1" applyFill="1" applyBorder="1" applyAlignment="1">
      <alignment horizontal="center" vertical="center"/>
    </xf>
    <xf numFmtId="1" fontId="5" fillId="7" borderId="2" xfId="0" applyNumberFormat="1" applyFont="1" applyFill="1" applyBorder="1" applyAlignment="1">
      <alignment horizontal="center" vertical="center"/>
    </xf>
    <xf numFmtId="0" fontId="5" fillId="0" borderId="10" xfId="0" applyFont="1" applyFill="1" applyBorder="1" applyAlignment="1">
      <alignment horizontal="left" vertical="center"/>
    </xf>
    <xf numFmtId="0" fontId="5" fillId="0" borderId="15" xfId="0" applyFont="1" applyFill="1" applyBorder="1" applyAlignment="1">
      <alignment horizontal="left" vertical="center"/>
    </xf>
    <xf numFmtId="0" fontId="5" fillId="0" borderId="12" xfId="0" applyFont="1" applyFill="1" applyBorder="1" applyAlignment="1">
      <alignment horizontal="left" vertical="center"/>
    </xf>
    <xf numFmtId="1" fontId="40" fillId="0" borderId="2" xfId="0" applyNumberFormat="1" applyFont="1" applyBorder="1" applyAlignment="1">
      <alignment horizontal="center" vertical="center"/>
    </xf>
    <xf numFmtId="0" fontId="40" fillId="0" borderId="2" xfId="0" applyFont="1" applyBorder="1" applyAlignment="1">
      <alignment horizontal="center" vertical="center" wrapText="1"/>
    </xf>
    <xf numFmtId="43" fontId="5" fillId="7" borderId="11" xfId="4" applyFont="1" applyFill="1" applyBorder="1" applyAlignment="1">
      <alignment horizontal="center" vertical="center" wrapText="1"/>
    </xf>
    <xf numFmtId="43" fontId="5" fillId="7" borderId="6" xfId="4" applyFont="1" applyFill="1" applyBorder="1" applyAlignment="1">
      <alignment horizontal="center" vertical="center" wrapText="1"/>
    </xf>
    <xf numFmtId="0" fontId="40" fillId="0" borderId="2" xfId="0" applyFont="1" applyBorder="1" applyAlignment="1">
      <alignment horizontal="center" vertical="center"/>
    </xf>
    <xf numFmtId="9" fontId="5" fillId="7" borderId="11" xfId="18" applyFont="1" applyFill="1" applyBorder="1" applyAlignment="1">
      <alignment horizontal="center" vertical="center"/>
    </xf>
    <xf numFmtId="1" fontId="40" fillId="0" borderId="11" xfId="0" applyNumberFormat="1" applyFont="1" applyBorder="1" applyAlignment="1">
      <alignment horizontal="center" vertical="center" wrapText="1"/>
    </xf>
    <xf numFmtId="1" fontId="40" fillId="0" borderId="13" xfId="0" applyNumberFormat="1" applyFont="1" applyBorder="1" applyAlignment="1">
      <alignment horizontal="center" vertical="center" wrapText="1"/>
    </xf>
    <xf numFmtId="1" fontId="40" fillId="0" borderId="6" xfId="0" applyNumberFormat="1" applyFont="1" applyBorder="1" applyAlignment="1">
      <alignment horizontal="center" vertical="center" wrapText="1"/>
    </xf>
    <xf numFmtId="0" fontId="5" fillId="0" borderId="4" xfId="0" applyFont="1" applyBorder="1" applyAlignment="1">
      <alignment horizontal="justify" vertical="center" wrapText="1"/>
    </xf>
    <xf numFmtId="0" fontId="5" fillId="0" borderId="8" xfId="0" applyFont="1" applyBorder="1" applyAlignment="1">
      <alignment horizontal="center" vertical="center"/>
    </xf>
    <xf numFmtId="0" fontId="41" fillId="0" borderId="26" xfId="0" applyFont="1" applyFill="1" applyBorder="1" applyAlignment="1">
      <alignment horizontal="center" vertical="center" wrapText="1"/>
    </xf>
    <xf numFmtId="9" fontId="5" fillId="0" borderId="11" xfId="18" applyFont="1" applyBorder="1" applyAlignment="1">
      <alignment horizontal="center" vertical="center" wrapText="1"/>
    </xf>
    <xf numFmtId="9" fontId="5" fillId="0" borderId="13" xfId="18" applyFont="1" applyBorder="1" applyAlignment="1">
      <alignment horizontal="center" vertical="center" wrapText="1"/>
    </xf>
    <xf numFmtId="9" fontId="5" fillId="0" borderId="6" xfId="18" applyFont="1" applyBorder="1" applyAlignment="1">
      <alignment horizontal="center" vertical="center" wrapText="1"/>
    </xf>
    <xf numFmtId="1" fontId="40" fillId="0" borderId="2" xfId="0" applyNumberFormat="1" applyFont="1" applyBorder="1" applyAlignment="1">
      <alignment horizontal="center" vertical="center" wrapText="1"/>
    </xf>
    <xf numFmtId="43" fontId="5" fillId="0" borderId="11" xfId="4" applyFont="1" applyFill="1" applyBorder="1" applyAlignment="1">
      <alignment horizontal="center" vertical="center"/>
    </xf>
    <xf numFmtId="43" fontId="5" fillId="0" borderId="6" xfId="4" applyFont="1" applyFill="1" applyBorder="1" applyAlignment="1">
      <alignment horizontal="center" vertical="center"/>
    </xf>
    <xf numFmtId="0" fontId="5" fillId="0" borderId="2" xfId="0" applyFont="1" applyFill="1" applyBorder="1" applyAlignment="1">
      <alignment horizontal="left" vertical="center" wrapText="1"/>
    </xf>
    <xf numFmtId="9" fontId="5" fillId="7" borderId="2" xfId="18" applyFont="1" applyFill="1" applyBorder="1" applyAlignment="1">
      <alignment horizontal="center" vertical="center" wrapText="1"/>
    </xf>
    <xf numFmtId="43" fontId="5" fillId="7" borderId="2" xfId="4" applyFont="1" applyFill="1" applyBorder="1" applyAlignment="1">
      <alignment vertical="center" wrapText="1"/>
    </xf>
    <xf numFmtId="0" fontId="5" fillId="7" borderId="2" xfId="0" applyFont="1" applyFill="1" applyBorder="1" applyAlignment="1">
      <alignment vertical="center" wrapText="1"/>
    </xf>
    <xf numFmtId="3" fontId="5" fillId="0" borderId="8" xfId="0" applyNumberFormat="1" applyFont="1" applyBorder="1" applyAlignment="1">
      <alignment horizontal="center" vertical="center" wrapText="1"/>
    </xf>
    <xf numFmtId="0" fontId="41" fillId="0" borderId="75"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26" xfId="0" applyFont="1" applyFill="1" applyBorder="1" applyAlignment="1">
      <alignment horizontal="center" vertical="center"/>
    </xf>
    <xf numFmtId="43" fontId="5" fillId="0" borderId="11" xfId="1" applyFont="1" applyFill="1" applyBorder="1" applyAlignment="1">
      <alignment horizontal="center" vertical="center"/>
    </xf>
    <xf numFmtId="43" fontId="5" fillId="0" borderId="13" xfId="1" applyFont="1" applyFill="1" applyBorder="1" applyAlignment="1">
      <alignment horizontal="center" vertical="center"/>
    </xf>
    <xf numFmtId="43" fontId="5" fillId="0" borderId="6" xfId="1" applyFont="1" applyFill="1" applyBorder="1" applyAlignment="1">
      <alignment horizontal="center" vertical="center"/>
    </xf>
    <xf numFmtId="10" fontId="5" fillId="0" borderId="11" xfId="0" applyNumberFormat="1" applyFont="1" applyFill="1" applyBorder="1" applyAlignment="1">
      <alignment horizontal="center" vertical="center"/>
    </xf>
    <xf numFmtId="10" fontId="5" fillId="0" borderId="13" xfId="0"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0" fontId="40" fillId="0" borderId="11"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6" xfId="0" applyFont="1" applyFill="1" applyBorder="1" applyAlignment="1">
      <alignment horizontal="center" vertical="center"/>
    </xf>
    <xf numFmtId="14" fontId="5" fillId="0" borderId="11" xfId="0" applyNumberFormat="1" applyFont="1" applyFill="1" applyBorder="1" applyAlignment="1">
      <alignment horizontal="center" vertical="center"/>
    </xf>
    <xf numFmtId="0" fontId="41" fillId="0" borderId="2" xfId="0" applyFont="1" applyFill="1" applyBorder="1" applyAlignment="1">
      <alignment horizontal="center" vertical="center" wrapText="1"/>
    </xf>
    <xf numFmtId="43" fontId="5" fillId="7" borderId="11" xfId="4" applyFont="1" applyFill="1" applyBorder="1" applyAlignment="1">
      <alignment horizontal="center" vertical="center"/>
    </xf>
    <xf numFmtId="43" fontId="5" fillId="7" borderId="6" xfId="4" applyFont="1" applyFill="1" applyBorder="1" applyAlignment="1">
      <alignment horizontal="center" vertical="center"/>
    </xf>
    <xf numFmtId="1" fontId="6" fillId="7" borderId="8" xfId="0" applyNumberFormat="1" applyFont="1" applyFill="1" applyBorder="1" applyAlignment="1">
      <alignment horizontal="center" vertical="center"/>
    </xf>
    <xf numFmtId="1" fontId="6" fillId="7" borderId="9" xfId="0" applyNumberFormat="1" applyFont="1" applyFill="1" applyBorder="1" applyAlignment="1">
      <alignment horizontal="center" vertical="center"/>
    </xf>
    <xf numFmtId="169" fontId="6" fillId="7" borderId="8" xfId="0" applyNumberFormat="1" applyFont="1" applyFill="1" applyBorder="1" applyAlignment="1">
      <alignment horizontal="center" vertical="center"/>
    </xf>
    <xf numFmtId="169" fontId="6" fillId="7" borderId="9" xfId="0" applyNumberFormat="1" applyFont="1" applyFill="1" applyBorder="1" applyAlignment="1">
      <alignment horizontal="center" vertical="center"/>
    </xf>
    <xf numFmtId="169" fontId="6" fillId="7" borderId="1" xfId="0" applyNumberFormat="1" applyFont="1" applyFill="1" applyBorder="1" applyAlignment="1">
      <alignment horizontal="center" vertical="center"/>
    </xf>
    <xf numFmtId="0" fontId="6" fillId="0" borderId="0" xfId="0" applyFont="1" applyAlignment="1">
      <alignment horizontal="left"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4" fillId="0" borderId="3" xfId="0" applyFont="1" applyBorder="1" applyAlignment="1">
      <alignment horizontal="center" vertical="center"/>
    </xf>
    <xf numFmtId="0" fontId="24" fillId="0" borderId="5" xfId="0" applyFont="1" applyBorder="1" applyAlignment="1">
      <alignment horizontal="center" vertical="center"/>
    </xf>
    <xf numFmtId="0" fontId="24" fillId="0" borderId="2"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 xfId="0" applyFont="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5" borderId="11" xfId="0" applyFont="1" applyFill="1" applyBorder="1" applyAlignment="1">
      <alignment horizontal="center" vertical="center" wrapText="1"/>
    </xf>
    <xf numFmtId="0" fontId="24" fillId="5" borderId="13"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24" fillId="5" borderId="10"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12" xfId="0" applyFont="1" applyFill="1" applyBorder="1" applyAlignment="1">
      <alignment horizontal="center" vertical="center" wrapText="1"/>
    </xf>
    <xf numFmtId="165" fontId="24" fillId="5" borderId="4" xfId="0" applyNumberFormat="1" applyFont="1" applyFill="1" applyBorder="1" applyAlignment="1">
      <alignment horizontal="center" vertical="center" wrapText="1"/>
    </xf>
    <xf numFmtId="165" fontId="24" fillId="5" borderId="10" xfId="0" applyNumberFormat="1" applyFont="1" applyFill="1" applyBorder="1" applyAlignment="1">
      <alignment horizontal="center" vertical="center" wrapText="1"/>
    </xf>
    <xf numFmtId="165" fontId="24" fillId="5" borderId="14" xfId="0" applyNumberFormat="1" applyFont="1" applyFill="1" applyBorder="1" applyAlignment="1">
      <alignment horizontal="center" vertical="center" wrapText="1"/>
    </xf>
    <xf numFmtId="165" fontId="24" fillId="5" borderId="15" xfId="0" applyNumberFormat="1" applyFont="1" applyFill="1" applyBorder="1" applyAlignment="1">
      <alignment horizontal="center" vertical="center" wrapText="1"/>
    </xf>
    <xf numFmtId="165" fontId="24" fillId="5" borderId="7" xfId="0" applyNumberFormat="1" applyFont="1" applyFill="1" applyBorder="1" applyAlignment="1">
      <alignment horizontal="center" vertical="center" wrapText="1"/>
    </xf>
    <xf numFmtId="165" fontId="24" fillId="5" borderId="12" xfId="0" applyNumberFormat="1" applyFont="1" applyFill="1" applyBorder="1" applyAlignment="1">
      <alignment horizontal="center" vertical="center" wrapText="1"/>
    </xf>
    <xf numFmtId="3" fontId="24" fillId="5" borderId="11" xfId="0" applyNumberFormat="1" applyFont="1" applyFill="1" applyBorder="1" applyAlignment="1">
      <alignment horizontal="center" vertical="center" wrapText="1"/>
    </xf>
    <xf numFmtId="3" fontId="24" fillId="5" borderId="13" xfId="0" applyNumberFormat="1" applyFont="1" applyFill="1" applyBorder="1" applyAlignment="1">
      <alignment horizontal="center" vertical="center" wrapText="1"/>
    </xf>
    <xf numFmtId="3" fontId="24" fillId="5" borderId="6" xfId="0" applyNumberFormat="1" applyFont="1" applyFill="1" applyBorder="1" applyAlignment="1">
      <alignment horizontal="center" vertical="center" wrapText="1"/>
    </xf>
    <xf numFmtId="182" fontId="3" fillId="5" borderId="2" xfId="17" applyFont="1" applyFill="1" applyBorder="1" applyAlignment="1">
      <alignment horizontal="center" vertical="center" wrapText="1"/>
    </xf>
    <xf numFmtId="169" fontId="24" fillId="5" borderId="4" xfId="0" applyNumberFormat="1" applyFont="1" applyFill="1" applyBorder="1" applyAlignment="1">
      <alignment horizontal="center" vertical="center" wrapText="1"/>
    </xf>
    <xf numFmtId="169" fontId="24" fillId="5" borderId="5" xfId="0" applyNumberFormat="1" applyFont="1" applyFill="1" applyBorder="1" applyAlignment="1">
      <alignment horizontal="center" vertical="center" wrapText="1"/>
    </xf>
    <xf numFmtId="169" fontId="24" fillId="5" borderId="10" xfId="0" applyNumberFormat="1" applyFont="1" applyFill="1" applyBorder="1" applyAlignment="1">
      <alignment horizontal="center" vertical="center" wrapText="1"/>
    </xf>
    <xf numFmtId="169" fontId="24" fillId="5" borderId="14" xfId="0" applyNumberFormat="1" applyFont="1" applyFill="1" applyBorder="1" applyAlignment="1">
      <alignment horizontal="center" vertical="center" wrapText="1"/>
    </xf>
    <xf numFmtId="169" fontId="24" fillId="5" borderId="0" xfId="0" applyNumberFormat="1" applyFont="1" applyFill="1" applyBorder="1" applyAlignment="1">
      <alignment horizontal="center" vertical="center" wrapText="1"/>
    </xf>
    <xf numFmtId="169" fontId="24" fillId="5" borderId="15" xfId="0" applyNumberFormat="1" applyFont="1" applyFill="1" applyBorder="1" applyAlignment="1">
      <alignment horizontal="center" vertical="center" wrapText="1"/>
    </xf>
    <xf numFmtId="0" fontId="30" fillId="4" borderId="4" xfId="0" applyFont="1" applyFill="1" applyBorder="1" applyAlignment="1" applyProtection="1">
      <alignment horizontal="center" vertical="center" wrapText="1"/>
      <protection locked="0"/>
    </xf>
    <xf numFmtId="0" fontId="30" fillId="4" borderId="5" xfId="0" applyFont="1" applyFill="1" applyBorder="1" applyAlignment="1" applyProtection="1">
      <alignment horizontal="center" vertical="center" wrapText="1"/>
      <protection locked="0"/>
    </xf>
    <xf numFmtId="0" fontId="30" fillId="4" borderId="10" xfId="0" applyFont="1" applyFill="1" applyBorder="1" applyAlignment="1" applyProtection="1">
      <alignment horizontal="center" vertical="center" wrapText="1"/>
      <protection locked="0"/>
    </xf>
    <xf numFmtId="0" fontId="30" fillId="4" borderId="7" xfId="0" applyFont="1" applyFill="1" applyBorder="1" applyAlignment="1" applyProtection="1">
      <alignment horizontal="center" vertical="center" wrapText="1"/>
      <protection locked="0"/>
    </xf>
    <xf numFmtId="0" fontId="30" fillId="4" borderId="3" xfId="0" applyFont="1" applyFill="1" applyBorder="1" applyAlignment="1" applyProtection="1">
      <alignment horizontal="center" vertical="center" wrapText="1"/>
      <protection locked="0"/>
    </xf>
    <xf numFmtId="0" fontId="30" fillId="4" borderId="12" xfId="0" applyFont="1" applyFill="1" applyBorder="1" applyAlignment="1" applyProtection="1">
      <alignment horizontal="center" vertical="center" wrapText="1"/>
      <protection locked="0"/>
    </xf>
    <xf numFmtId="0" fontId="23" fillId="3" borderId="8" xfId="0" applyFont="1" applyFill="1" applyBorder="1" applyAlignment="1" applyProtection="1">
      <alignment horizontal="center" vertical="center" textRotation="90" wrapText="1"/>
      <protection locked="0"/>
    </xf>
    <xf numFmtId="0" fontId="23" fillId="3" borderId="1" xfId="0" applyFont="1" applyFill="1" applyBorder="1" applyAlignment="1" applyProtection="1">
      <alignment horizontal="center" vertical="center" textRotation="90" wrapText="1"/>
      <protection locked="0"/>
    </xf>
    <xf numFmtId="0" fontId="22" fillId="0" borderId="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2"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6" xfId="0" applyFont="1" applyBorder="1" applyAlignment="1">
      <alignment horizontal="center" vertical="center" wrapText="1"/>
    </xf>
    <xf numFmtId="0" fontId="44" fillId="7" borderId="11" xfId="0" applyFont="1" applyFill="1" applyBorder="1" applyAlignment="1">
      <alignment horizontal="justify" vertical="center" wrapText="1"/>
    </xf>
    <xf numFmtId="0" fontId="44" fillId="7" borderId="13" xfId="0" applyFont="1" applyFill="1" applyBorder="1" applyAlignment="1">
      <alignment horizontal="justify" vertical="center" wrapText="1"/>
    </xf>
    <xf numFmtId="0" fontId="44" fillId="7" borderId="6" xfId="0" applyFont="1" applyFill="1" applyBorder="1" applyAlignment="1">
      <alignment horizontal="justify" vertical="center" wrapText="1"/>
    </xf>
    <xf numFmtId="0" fontId="22" fillId="7" borderId="11" xfId="0" applyFont="1" applyFill="1" applyBorder="1" applyAlignment="1">
      <alignment horizontal="justify" vertical="center" wrapText="1"/>
    </xf>
    <xf numFmtId="0" fontId="22" fillId="7" borderId="13" xfId="0" applyFont="1" applyFill="1" applyBorder="1" applyAlignment="1">
      <alignment horizontal="justify" vertical="center" wrapText="1"/>
    </xf>
    <xf numFmtId="0" fontId="22" fillId="7" borderId="6" xfId="0" applyFont="1" applyFill="1" applyBorder="1" applyAlignment="1">
      <alignment horizontal="justify" vertical="center" wrapText="1"/>
    </xf>
    <xf numFmtId="0" fontId="22" fillId="7" borderId="11" xfId="0"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2" fillId="7" borderId="6" xfId="0" applyFont="1" applyFill="1" applyBorder="1" applyAlignment="1">
      <alignment horizontal="center" vertical="center" wrapText="1"/>
    </xf>
    <xf numFmtId="2" fontId="22" fillId="7" borderId="2" xfId="0" applyNumberFormat="1" applyFont="1" applyFill="1" applyBorder="1" applyAlignment="1">
      <alignment horizontal="center" vertical="center" wrapText="1"/>
    </xf>
    <xf numFmtId="189" fontId="22" fillId="7" borderId="11" xfId="0" applyNumberFormat="1" applyFont="1" applyFill="1" applyBorder="1" applyAlignment="1">
      <alignment horizontal="center" vertical="center" wrapText="1"/>
    </xf>
    <xf numFmtId="189" fontId="22" fillId="7" borderId="13" xfId="0" applyNumberFormat="1" applyFont="1" applyFill="1" applyBorder="1" applyAlignment="1">
      <alignment horizontal="center" vertical="center" wrapText="1"/>
    </xf>
    <xf numFmtId="189" fontId="22" fillId="7" borderId="6" xfId="0" applyNumberFormat="1" applyFont="1" applyFill="1" applyBorder="1" applyAlignment="1">
      <alignment horizontal="center" vertical="center" wrapText="1"/>
    </xf>
    <xf numFmtId="0" fontId="24" fillId="3" borderId="8" xfId="0" applyFont="1" applyFill="1" applyBorder="1" applyAlignment="1" applyProtection="1">
      <alignment horizontal="center" vertical="center" textRotation="90" wrapText="1"/>
      <protection locked="0"/>
    </xf>
    <xf numFmtId="0" fontId="24" fillId="3" borderId="1" xfId="0" applyFont="1" applyFill="1" applyBorder="1" applyAlignment="1" applyProtection="1">
      <alignment horizontal="center" vertical="center" textRotation="90" wrapText="1"/>
      <protection locked="0"/>
    </xf>
    <xf numFmtId="49" fontId="24" fillId="3" borderId="8" xfId="0" applyNumberFormat="1" applyFont="1" applyFill="1" applyBorder="1" applyAlignment="1" applyProtection="1">
      <alignment horizontal="center" vertical="center" textRotation="90" wrapText="1"/>
      <protection locked="0"/>
    </xf>
    <xf numFmtId="49" fontId="24" fillId="3" borderId="1" xfId="0" applyNumberFormat="1" applyFont="1" applyFill="1" applyBorder="1" applyAlignment="1" applyProtection="1">
      <alignment horizontal="center" vertical="center" textRotation="90" wrapText="1"/>
      <protection locked="0"/>
    </xf>
    <xf numFmtId="0" fontId="24" fillId="4" borderId="4" xfId="0" applyFont="1" applyFill="1" applyBorder="1" applyAlignment="1" applyProtection="1">
      <alignment horizontal="center" vertical="center" textRotation="90" wrapText="1"/>
      <protection locked="0"/>
    </xf>
    <xf numFmtId="0" fontId="24" fillId="4" borderId="10" xfId="0" applyFont="1" applyFill="1" applyBorder="1" applyAlignment="1" applyProtection="1">
      <alignment horizontal="center" vertical="center" textRotation="90" wrapText="1"/>
      <protection locked="0"/>
    </xf>
    <xf numFmtId="0" fontId="24" fillId="4" borderId="14" xfId="0" applyFont="1" applyFill="1" applyBorder="1" applyAlignment="1" applyProtection="1">
      <alignment horizontal="center" vertical="center" textRotation="90" wrapText="1"/>
      <protection locked="0"/>
    </xf>
    <xf numFmtId="0" fontId="24" fillId="4" borderId="15" xfId="0" applyFont="1" applyFill="1" applyBorder="1" applyAlignment="1" applyProtection="1">
      <alignment horizontal="center" vertical="center" textRotation="90" wrapText="1"/>
      <protection locked="0"/>
    </xf>
    <xf numFmtId="0" fontId="24" fillId="4" borderId="7" xfId="0" applyFont="1" applyFill="1" applyBorder="1" applyAlignment="1" applyProtection="1">
      <alignment horizontal="center" vertical="center" textRotation="90" wrapText="1"/>
      <protection locked="0"/>
    </xf>
    <xf numFmtId="0" fontId="24" fillId="4" borderId="12" xfId="0" applyFont="1" applyFill="1" applyBorder="1" applyAlignment="1" applyProtection="1">
      <alignment horizontal="center" vertical="center" textRotation="90" wrapText="1"/>
      <protection locked="0"/>
    </xf>
    <xf numFmtId="43" fontId="24" fillId="5" borderId="11" xfId="1" applyFont="1" applyFill="1" applyBorder="1" applyAlignment="1">
      <alignment horizontal="center" vertical="center" wrapText="1"/>
    </xf>
    <xf numFmtId="43" fontId="24" fillId="5" borderId="13" xfId="1" applyFont="1" applyFill="1" applyBorder="1" applyAlignment="1">
      <alignment horizontal="center" vertical="center" wrapText="1"/>
    </xf>
    <xf numFmtId="43" fontId="24" fillId="5" borderId="6" xfId="1" applyFont="1" applyFill="1" applyBorder="1" applyAlignment="1">
      <alignment horizontal="center" vertical="center" wrapText="1"/>
    </xf>
    <xf numFmtId="0" fontId="24" fillId="28" borderId="11" xfId="0" applyFont="1" applyFill="1" applyBorder="1" applyAlignment="1">
      <alignment horizontal="center" vertical="center" wrapText="1"/>
    </xf>
    <xf numFmtId="0" fontId="24" fillId="28" borderId="13" xfId="0" applyFont="1" applyFill="1" applyBorder="1" applyAlignment="1">
      <alignment horizontal="center" vertical="center" wrapText="1"/>
    </xf>
    <xf numFmtId="0" fontId="24" fillId="28" borderId="6" xfId="0" applyFont="1" applyFill="1" applyBorder="1" applyAlignment="1">
      <alignment horizontal="center" vertical="center" wrapText="1"/>
    </xf>
    <xf numFmtId="190" fontId="22" fillId="0" borderId="11" xfId="0" applyNumberFormat="1" applyFont="1" applyBorder="1" applyAlignment="1">
      <alignment horizontal="center" vertical="center" wrapText="1"/>
    </xf>
    <xf numFmtId="190" fontId="22" fillId="0" borderId="13" xfId="0" applyNumberFormat="1" applyFont="1" applyBorder="1" applyAlignment="1">
      <alignment horizontal="center" vertical="center" wrapText="1"/>
    </xf>
    <xf numFmtId="190" fontId="22" fillId="0" borderId="6" xfId="0" applyNumberFormat="1" applyFont="1" applyBorder="1" applyAlignment="1">
      <alignment horizontal="center" vertical="center" wrapText="1"/>
    </xf>
    <xf numFmtId="9" fontId="22" fillId="7" borderId="11" xfId="2" applyFont="1" applyFill="1" applyBorder="1" applyAlignment="1">
      <alignment horizontal="center" vertical="center"/>
    </xf>
    <xf numFmtId="9" fontId="22" fillId="7" borderId="13" xfId="2" applyFont="1" applyFill="1" applyBorder="1" applyAlignment="1">
      <alignment horizontal="center" vertical="center"/>
    </xf>
    <xf numFmtId="9" fontId="22" fillId="7" borderId="6" xfId="2" applyFont="1" applyFill="1" applyBorder="1" applyAlignment="1">
      <alignment horizontal="center" vertical="center"/>
    </xf>
    <xf numFmtId="43" fontId="22" fillId="7" borderId="6" xfId="1" applyFont="1" applyFill="1" applyBorder="1" applyAlignment="1">
      <alignment horizontal="center" vertical="center"/>
    </xf>
    <xf numFmtId="43" fontId="22" fillId="7" borderId="2" xfId="1" applyFont="1" applyFill="1" applyBorder="1" applyAlignment="1">
      <alignment horizontal="center" vertical="center"/>
    </xf>
    <xf numFmtId="0" fontId="22" fillId="0" borderId="11"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6" xfId="0" applyFont="1" applyBorder="1" applyAlignment="1">
      <alignment horizontal="justify" vertical="center" wrapText="1"/>
    </xf>
    <xf numFmtId="0" fontId="22" fillId="7" borderId="11" xfId="0" applyFont="1" applyFill="1" applyBorder="1" applyAlignment="1">
      <alignment horizontal="center" vertical="center"/>
    </xf>
    <xf numFmtId="0" fontId="22" fillId="7" borderId="13" xfId="0" applyFont="1" applyFill="1" applyBorder="1" applyAlignment="1">
      <alignment horizontal="center" vertical="center"/>
    </xf>
    <xf numFmtId="0" fontId="22" fillId="7" borderId="6" xfId="0" applyFont="1" applyFill="1" applyBorder="1" applyAlignment="1">
      <alignment horizontal="center" vertical="center"/>
    </xf>
    <xf numFmtId="0" fontId="22" fillId="7" borderId="11" xfId="16" applyNumberFormat="1" applyFont="1" applyFill="1" applyBorder="1" applyAlignment="1">
      <alignment horizontal="center" vertical="center"/>
    </xf>
    <xf numFmtId="0" fontId="22" fillId="7" borderId="13" xfId="16" applyNumberFormat="1" applyFont="1" applyFill="1" applyBorder="1" applyAlignment="1">
      <alignment horizontal="center" vertical="center"/>
    </xf>
    <xf numFmtId="0" fontId="22" fillId="7" borderId="6" xfId="16" applyNumberFormat="1" applyFont="1" applyFill="1" applyBorder="1" applyAlignment="1">
      <alignment horizontal="center" vertical="center"/>
    </xf>
    <xf numFmtId="43" fontId="22" fillId="7" borderId="11" xfId="1" applyFont="1" applyFill="1" applyBorder="1" applyAlignment="1">
      <alignment horizontal="center" vertical="center"/>
    </xf>
    <xf numFmtId="43" fontId="22" fillId="7" borderId="13" xfId="1" applyFont="1" applyFill="1" applyBorder="1" applyAlignment="1">
      <alignment horizontal="center" vertical="center"/>
    </xf>
    <xf numFmtId="0" fontId="23" fillId="0" borderId="15" xfId="0" applyFont="1" applyBorder="1" applyAlignment="1">
      <alignment horizontal="center" vertical="center" wrapText="1"/>
    </xf>
    <xf numFmtId="0" fontId="44" fillId="0" borderId="13" xfId="0" applyFont="1" applyBorder="1" applyAlignment="1">
      <alignment horizontal="justify" vertical="center" wrapText="1"/>
    </xf>
    <xf numFmtId="1" fontId="23" fillId="7" borderId="6" xfId="6" applyNumberFormat="1" applyFont="1" applyFill="1" applyBorder="1" applyAlignment="1">
      <alignment horizontal="center" vertical="center" wrapText="1"/>
    </xf>
    <xf numFmtId="1" fontId="23" fillId="7" borderId="11" xfId="6" applyNumberFormat="1" applyFont="1" applyFill="1" applyBorder="1" applyAlignment="1">
      <alignment horizontal="center" vertical="center" wrapText="1"/>
    </xf>
    <xf numFmtId="2" fontId="23" fillId="7" borderId="11" xfId="6" applyNumberFormat="1" applyFont="1" applyFill="1" applyBorder="1" applyAlignment="1">
      <alignment horizontal="center" vertical="center" wrapText="1"/>
    </xf>
    <xf numFmtId="2" fontId="23" fillId="7" borderId="13" xfId="6" applyNumberFormat="1" applyFont="1" applyFill="1" applyBorder="1" applyAlignment="1">
      <alignment horizontal="center" vertical="center" wrapText="1"/>
    </xf>
    <xf numFmtId="2" fontId="23" fillId="7" borderId="6" xfId="6" applyNumberFormat="1" applyFont="1" applyFill="1" applyBorder="1" applyAlignment="1">
      <alignment horizontal="center" vertical="center" wrapText="1"/>
    </xf>
    <xf numFmtId="14" fontId="22" fillId="0" borderId="6" xfId="0" applyNumberFormat="1" applyFont="1" applyBorder="1" applyAlignment="1">
      <alignment horizontal="center" vertical="center"/>
    </xf>
    <xf numFmtId="14" fontId="22" fillId="0" borderId="2" xfId="0" applyNumberFormat="1" applyFont="1" applyBorder="1" applyAlignment="1">
      <alignment horizontal="center" vertical="center"/>
    </xf>
    <xf numFmtId="14" fontId="22" fillId="0" borderId="11" xfId="0" applyNumberFormat="1" applyFont="1" applyBorder="1" applyAlignment="1">
      <alignment horizontal="center" vertical="center"/>
    </xf>
    <xf numFmtId="14" fontId="22" fillId="0" borderId="13" xfId="0" applyNumberFormat="1" applyFont="1" applyBorder="1" applyAlignment="1">
      <alignment horizontal="center" vertical="center"/>
    </xf>
    <xf numFmtId="2" fontId="22" fillId="7" borderId="11" xfId="0" applyNumberFormat="1" applyFont="1" applyFill="1" applyBorder="1" applyAlignment="1">
      <alignment horizontal="center" vertical="center" wrapText="1"/>
    </xf>
    <xf numFmtId="2" fontId="22" fillId="7" borderId="13" xfId="0" applyNumberFormat="1" applyFont="1" applyFill="1" applyBorder="1" applyAlignment="1">
      <alignment horizontal="center" vertical="center" wrapText="1"/>
    </xf>
    <xf numFmtId="2" fontId="22" fillId="7" borderId="6" xfId="0" applyNumberFormat="1" applyFont="1" applyFill="1" applyBorder="1" applyAlignment="1">
      <alignment horizontal="center" vertical="center" wrapText="1"/>
    </xf>
    <xf numFmtId="10" fontId="22" fillId="7" borderId="11" xfId="0" applyNumberFormat="1" applyFont="1" applyFill="1" applyBorder="1" applyAlignment="1">
      <alignment horizontal="center" vertical="center"/>
    </xf>
    <xf numFmtId="10" fontId="22" fillId="7" borderId="13" xfId="0" applyNumberFormat="1" applyFont="1" applyFill="1" applyBorder="1" applyAlignment="1">
      <alignment horizontal="center" vertical="center"/>
    </xf>
    <xf numFmtId="10" fontId="22" fillId="7" borderId="6" xfId="0" applyNumberFormat="1" applyFont="1" applyFill="1" applyBorder="1" applyAlignment="1">
      <alignment horizontal="center" vertical="center"/>
    </xf>
    <xf numFmtId="191" fontId="22" fillId="0" borderId="15" xfId="0" applyNumberFormat="1" applyFont="1" applyBorder="1" applyAlignment="1">
      <alignment horizontal="center" vertical="center"/>
    </xf>
    <xf numFmtId="191" fontId="22" fillId="0" borderId="11" xfId="0" applyNumberFormat="1" applyFont="1" applyBorder="1" applyAlignment="1">
      <alignment horizontal="center" vertical="center"/>
    </xf>
    <xf numFmtId="191" fontId="22" fillId="0" borderId="13" xfId="0" applyNumberFormat="1" applyFont="1" applyBorder="1" applyAlignment="1">
      <alignment horizontal="center" vertical="center"/>
    </xf>
    <xf numFmtId="191" fontId="22" fillId="0" borderId="6" xfId="0" applyNumberFormat="1" applyFont="1" applyBorder="1" applyAlignment="1">
      <alignment horizontal="center" vertical="center"/>
    </xf>
    <xf numFmtId="0" fontId="22" fillId="0" borderId="4" xfId="0" applyFont="1" applyBorder="1" applyAlignment="1">
      <alignment horizontal="justify" vertical="center" wrapText="1"/>
    </xf>
    <xf numFmtId="0" fontId="22" fillId="0" borderId="14" xfId="0" applyFont="1" applyBorder="1" applyAlignment="1">
      <alignment horizontal="justify" vertical="center" wrapText="1"/>
    </xf>
    <xf numFmtId="0" fontId="44" fillId="0" borderId="10" xfId="0" applyFont="1" applyBorder="1" applyAlignment="1">
      <alignment horizontal="justify" vertical="center" wrapText="1"/>
    </xf>
    <xf numFmtId="0" fontId="44" fillId="0" borderId="15" xfId="0" applyFont="1" applyBorder="1" applyAlignment="1">
      <alignment horizontal="justify" vertical="center" wrapText="1"/>
    </xf>
    <xf numFmtId="2" fontId="22" fillId="7" borderId="11" xfId="0" applyNumberFormat="1" applyFont="1" applyFill="1" applyBorder="1" applyAlignment="1">
      <alignment horizontal="center" vertical="center"/>
    </xf>
    <xf numFmtId="2" fontId="22" fillId="7" borderId="13" xfId="0" applyNumberFormat="1" applyFont="1" applyFill="1" applyBorder="1" applyAlignment="1">
      <alignment horizontal="center" vertical="center"/>
    </xf>
    <xf numFmtId="2" fontId="22" fillId="7" borderId="6" xfId="0" applyNumberFormat="1" applyFont="1" applyFill="1" applyBorder="1" applyAlignment="1">
      <alignment horizontal="center" vertical="center"/>
    </xf>
    <xf numFmtId="189" fontId="22" fillId="7" borderId="2" xfId="0" applyNumberFormat="1" applyFont="1" applyFill="1" applyBorder="1" applyAlignment="1">
      <alignment horizontal="center" vertical="center" wrapText="1"/>
    </xf>
    <xf numFmtId="0" fontId="44" fillId="7" borderId="5" xfId="0" applyFont="1" applyFill="1" applyBorder="1" applyAlignment="1">
      <alignment horizontal="justify" vertical="center" wrapText="1"/>
    </xf>
    <xf numFmtId="0" fontId="44" fillId="7" borderId="0" xfId="0" applyFont="1" applyFill="1" applyAlignment="1">
      <alignment horizontal="justify" vertical="center" wrapText="1"/>
    </xf>
    <xf numFmtId="0" fontId="44" fillId="7" borderId="3" xfId="0" applyFont="1" applyFill="1" applyBorder="1" applyAlignment="1">
      <alignment horizontal="justify" vertical="center" wrapText="1"/>
    </xf>
    <xf numFmtId="43" fontId="22" fillId="0" borderId="11" xfId="1" applyFont="1" applyBorder="1" applyAlignment="1">
      <alignment horizontal="center" vertical="center"/>
    </xf>
    <xf numFmtId="43" fontId="22" fillId="0" borderId="13" xfId="1" applyFont="1" applyBorder="1" applyAlignment="1">
      <alignment horizontal="center" vertical="center"/>
    </xf>
    <xf numFmtId="43" fontId="22" fillId="0" borderId="6" xfId="1" applyFont="1" applyBorder="1" applyAlignment="1">
      <alignment horizontal="center" vertical="center"/>
    </xf>
    <xf numFmtId="9" fontId="22" fillId="0" borderId="11" xfId="0" applyNumberFormat="1" applyFont="1" applyBorder="1" applyAlignment="1">
      <alignment horizontal="center" vertical="center"/>
    </xf>
    <xf numFmtId="9" fontId="22" fillId="0" borderId="13" xfId="0" applyNumberFormat="1" applyFont="1" applyBorder="1" applyAlignment="1">
      <alignment horizontal="center" vertical="center"/>
    </xf>
    <xf numFmtId="9" fontId="22" fillId="0" borderId="6" xfId="0" applyNumberFormat="1" applyFont="1" applyBorder="1" applyAlignment="1">
      <alignment horizontal="center" vertical="center"/>
    </xf>
    <xf numFmtId="0" fontId="22" fillId="7" borderId="2" xfId="0" applyFont="1" applyFill="1" applyBorder="1" applyAlignment="1">
      <alignment horizontal="center" vertical="center"/>
    </xf>
    <xf numFmtId="1" fontId="22" fillId="7" borderId="2" xfId="0" applyNumberFormat="1" applyFont="1" applyFill="1" applyBorder="1" applyAlignment="1">
      <alignment horizontal="center" vertical="center"/>
    </xf>
    <xf numFmtId="1" fontId="22" fillId="7" borderId="11" xfId="0" applyNumberFormat="1" applyFont="1" applyFill="1" applyBorder="1" applyAlignment="1">
      <alignment horizontal="center" vertical="center"/>
    </xf>
    <xf numFmtId="1" fontId="22" fillId="7" borderId="13" xfId="0" applyNumberFormat="1" applyFont="1" applyFill="1" applyBorder="1" applyAlignment="1">
      <alignment horizontal="center" vertical="center"/>
    </xf>
    <xf numFmtId="1" fontId="22" fillId="7" borderId="6" xfId="0" applyNumberFormat="1" applyFont="1" applyFill="1" applyBorder="1" applyAlignment="1">
      <alignment horizontal="center" vertical="center"/>
    </xf>
    <xf numFmtId="0" fontId="44" fillId="7" borderId="8" xfId="0" applyFont="1" applyFill="1" applyBorder="1" applyAlignment="1">
      <alignment horizontal="justify" vertical="center" wrapText="1"/>
    </xf>
    <xf numFmtId="0" fontId="44" fillId="7" borderId="2" xfId="0" applyFont="1" applyFill="1" applyBorder="1" applyAlignment="1">
      <alignment horizontal="justify" vertical="center" wrapText="1"/>
    </xf>
    <xf numFmtId="166" fontId="22" fillId="7" borderId="2" xfId="16" applyNumberFormat="1" applyFont="1" applyFill="1" applyBorder="1" applyAlignment="1">
      <alignment horizontal="center" vertical="center"/>
    </xf>
    <xf numFmtId="166" fontId="22" fillId="7" borderId="11" xfId="16" applyNumberFormat="1" applyFont="1" applyFill="1" applyBorder="1" applyAlignment="1">
      <alignment horizontal="center" vertical="center"/>
    </xf>
    <xf numFmtId="166" fontId="22" fillId="7" borderId="13" xfId="16" applyNumberFormat="1" applyFont="1" applyFill="1" applyBorder="1" applyAlignment="1">
      <alignment horizontal="center" vertical="center"/>
    </xf>
    <xf numFmtId="166" fontId="22" fillId="7" borderId="6" xfId="16" applyNumberFormat="1" applyFont="1" applyFill="1" applyBorder="1" applyAlignment="1">
      <alignment horizontal="center" vertical="center"/>
    </xf>
    <xf numFmtId="0" fontId="22" fillId="0" borderId="15" xfId="0" applyFont="1" applyBorder="1" applyAlignment="1">
      <alignment horizontal="justify" vertical="center" wrapText="1"/>
    </xf>
    <xf numFmtId="0" fontId="22" fillId="0" borderId="12" xfId="0" applyFont="1" applyBorder="1" applyAlignment="1">
      <alignment horizontal="justify" vertical="center" wrapText="1"/>
    </xf>
    <xf numFmtId="0" fontId="22" fillId="0" borderId="10" xfId="0" applyFont="1" applyBorder="1" applyAlignment="1">
      <alignment horizontal="justify" vertical="center" wrapText="1"/>
    </xf>
    <xf numFmtId="0" fontId="44" fillId="0" borderId="11" xfId="0" applyFont="1" applyBorder="1" applyAlignment="1">
      <alignment horizontal="justify" vertical="center" wrapText="1"/>
    </xf>
    <xf numFmtId="0" fontId="44" fillId="0" borderId="6" xfId="0" applyFont="1" applyBorder="1" applyAlignment="1">
      <alignment horizontal="justify" vertical="center" wrapText="1"/>
    </xf>
    <xf numFmtId="191" fontId="22" fillId="0" borderId="11" xfId="0" applyNumberFormat="1" applyFont="1" applyBorder="1" applyAlignment="1">
      <alignment horizontal="center" vertical="center" wrapText="1"/>
    </xf>
    <xf numFmtId="191" fontId="22" fillId="0" borderId="13" xfId="0" applyNumberFormat="1" applyFont="1" applyBorder="1" applyAlignment="1">
      <alignment horizontal="center" vertical="center" wrapText="1"/>
    </xf>
    <xf numFmtId="191" fontId="22" fillId="0" borderId="6" xfId="0" applyNumberFormat="1" applyFont="1" applyBorder="1" applyAlignment="1">
      <alignment horizontal="center" vertical="center" wrapText="1"/>
    </xf>
    <xf numFmtId="0" fontId="44" fillId="0" borderId="2" xfId="0" applyFont="1" applyBorder="1" applyAlignment="1">
      <alignment horizontal="justify" vertical="center" wrapText="1"/>
    </xf>
    <xf numFmtId="0" fontId="22" fillId="7" borderId="2" xfId="0" applyFont="1" applyFill="1" applyBorder="1" applyAlignment="1">
      <alignment horizontal="justify" vertical="center" wrapText="1"/>
    </xf>
    <xf numFmtId="9" fontId="22" fillId="7" borderId="2" xfId="2" applyFont="1" applyFill="1" applyBorder="1" applyAlignment="1">
      <alignment horizontal="center" vertical="center"/>
    </xf>
    <xf numFmtId="190" fontId="22" fillId="7" borderId="13" xfId="0" applyNumberFormat="1" applyFont="1" applyFill="1" applyBorder="1" applyAlignment="1">
      <alignment horizontal="center" vertical="center" wrapText="1"/>
    </xf>
    <xf numFmtId="10" fontId="22" fillId="0" borderId="11" xfId="2" applyNumberFormat="1" applyFont="1" applyBorder="1" applyAlignment="1">
      <alignment horizontal="center" vertical="center"/>
    </xf>
    <xf numFmtId="10" fontId="22" fillId="0" borderId="13" xfId="2" applyNumberFormat="1" applyFont="1" applyBorder="1" applyAlignment="1">
      <alignment horizontal="center" vertical="center"/>
    </xf>
    <xf numFmtId="10" fontId="22" fillId="0" borderId="6" xfId="2" applyNumberFormat="1" applyFont="1" applyBorder="1" applyAlignment="1">
      <alignment horizontal="center" vertical="center"/>
    </xf>
    <xf numFmtId="10" fontId="22" fillId="7" borderId="11" xfId="2" applyNumberFormat="1" applyFont="1" applyFill="1" applyBorder="1" applyAlignment="1">
      <alignment horizontal="center" vertical="center"/>
    </xf>
    <xf numFmtId="10" fontId="22" fillId="7" borderId="13" xfId="2" applyNumberFormat="1" applyFont="1" applyFill="1" applyBorder="1" applyAlignment="1">
      <alignment horizontal="center" vertical="center"/>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22" fillId="0" borderId="6" xfId="0" applyFont="1" applyBorder="1" applyAlignment="1">
      <alignment horizontal="center" vertical="center"/>
    </xf>
    <xf numFmtId="2" fontId="22" fillId="0" borderId="2" xfId="0" applyNumberFormat="1" applyFont="1" applyBorder="1" applyAlignment="1">
      <alignment horizontal="center" vertical="center"/>
    </xf>
    <xf numFmtId="49" fontId="22" fillId="7" borderId="11" xfId="19" applyNumberFormat="1" applyFont="1" applyFill="1" applyBorder="1" applyAlignment="1">
      <alignment horizontal="center" vertical="center" wrapText="1"/>
    </xf>
    <xf numFmtId="49" fontId="22" fillId="7" borderId="13" xfId="19" applyNumberFormat="1" applyFont="1" applyFill="1" applyBorder="1" applyAlignment="1">
      <alignment horizontal="center" vertical="center" wrapText="1"/>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6" xfId="0" applyFont="1" applyBorder="1" applyAlignment="1">
      <alignment horizontal="center" vertical="center" wrapText="1"/>
    </xf>
    <xf numFmtId="10" fontId="22" fillId="0" borderId="11" xfId="0" applyNumberFormat="1" applyFont="1" applyBorder="1" applyAlignment="1">
      <alignment horizontal="center" vertical="center"/>
    </xf>
    <xf numFmtId="10" fontId="22" fillId="0" borderId="13" xfId="0" applyNumberFormat="1" applyFont="1" applyBorder="1" applyAlignment="1">
      <alignment horizontal="center" vertical="center"/>
    </xf>
    <xf numFmtId="10" fontId="22" fillId="0" borderId="6" xfId="0" applyNumberFormat="1" applyFont="1" applyBorder="1" applyAlignment="1">
      <alignment horizontal="center" vertical="center"/>
    </xf>
    <xf numFmtId="14" fontId="22" fillId="7" borderId="4" xfId="0" applyNumberFormat="1" applyFont="1" applyFill="1" applyBorder="1" applyAlignment="1">
      <alignment horizontal="center" vertical="center"/>
    </xf>
    <xf numFmtId="14" fontId="22" fillId="7" borderId="14" xfId="0" applyNumberFormat="1" applyFont="1" applyFill="1" applyBorder="1" applyAlignment="1">
      <alignment horizontal="center" vertical="center"/>
    </xf>
    <xf numFmtId="14" fontId="22" fillId="7" borderId="7" xfId="0" applyNumberFormat="1" applyFont="1" applyFill="1" applyBorder="1" applyAlignment="1">
      <alignment horizontal="center" vertical="center"/>
    </xf>
    <xf numFmtId="14" fontId="22" fillId="7" borderId="2" xfId="0" applyNumberFormat="1" applyFont="1" applyFill="1" applyBorder="1" applyAlignment="1">
      <alignment horizontal="center" vertical="center"/>
    </xf>
    <xf numFmtId="14" fontId="22" fillId="0" borderId="4" xfId="0" applyNumberFormat="1" applyFont="1" applyBorder="1" applyAlignment="1">
      <alignment horizontal="center" vertical="center"/>
    </xf>
    <xf numFmtId="14" fontId="22" fillId="0" borderId="14" xfId="0" applyNumberFormat="1" applyFont="1" applyBorder="1" applyAlignment="1">
      <alignment horizontal="center" vertical="center"/>
    </xf>
    <xf numFmtId="14" fontId="22" fillId="0" borderId="7" xfId="0" applyNumberFormat="1" applyFont="1" applyBorder="1" applyAlignment="1">
      <alignment horizontal="center" vertical="center"/>
    </xf>
    <xf numFmtId="190" fontId="22" fillId="7" borderId="2" xfId="5" applyNumberFormat="1" applyFont="1" applyFill="1" applyBorder="1" applyAlignment="1">
      <alignment horizontal="center" vertical="center"/>
    </xf>
    <xf numFmtId="190" fontId="22" fillId="7" borderId="11" xfId="5" applyNumberFormat="1" applyFont="1" applyFill="1" applyBorder="1" applyAlignment="1">
      <alignment horizontal="center" vertical="center"/>
    </xf>
    <xf numFmtId="190" fontId="22" fillId="7" borderId="13" xfId="5" applyNumberFormat="1" applyFont="1" applyFill="1" applyBorder="1" applyAlignment="1">
      <alignment horizontal="center" vertical="center"/>
    </xf>
    <xf numFmtId="190" fontId="22" fillId="7" borderId="6" xfId="5" applyNumberFormat="1" applyFont="1" applyFill="1" applyBorder="1" applyAlignment="1">
      <alignment horizontal="center" vertical="center"/>
    </xf>
    <xf numFmtId="190" fontId="22" fillId="7" borderId="11" xfId="0" applyNumberFormat="1" applyFont="1" applyFill="1" applyBorder="1" applyAlignment="1">
      <alignment horizontal="center" vertical="center" wrapText="1"/>
    </xf>
    <xf numFmtId="43" fontId="23" fillId="7" borderId="11" xfId="7" applyFont="1" applyFill="1" applyBorder="1" applyAlignment="1">
      <alignment horizontal="justify" vertical="center" wrapText="1"/>
    </xf>
    <xf numFmtId="43" fontId="23" fillId="7" borderId="13" xfId="7" applyFont="1" applyFill="1" applyBorder="1" applyAlignment="1">
      <alignment horizontal="justify" vertical="center" wrapText="1"/>
    </xf>
    <xf numFmtId="0" fontId="44" fillId="0" borderId="1" xfId="0" applyFont="1" applyBorder="1" applyAlignment="1">
      <alignment horizontal="center" vertical="center" wrapText="1"/>
    </xf>
    <xf numFmtId="2" fontId="23" fillId="7" borderId="11" xfId="0" applyNumberFormat="1" applyFont="1" applyFill="1" applyBorder="1" applyAlignment="1">
      <alignment horizontal="center" vertical="center" wrapText="1"/>
    </xf>
    <xf numFmtId="2" fontId="23" fillId="7" borderId="13" xfId="0" applyNumberFormat="1" applyFont="1" applyFill="1" applyBorder="1" applyAlignment="1">
      <alignment horizontal="center" vertical="center" wrapText="1"/>
    </xf>
    <xf numFmtId="2" fontId="23" fillId="7" borderId="6" xfId="0" applyNumberFormat="1" applyFont="1" applyFill="1" applyBorder="1" applyAlignment="1">
      <alignment horizontal="center" vertical="center" wrapText="1"/>
    </xf>
    <xf numFmtId="190" fontId="22" fillId="7" borderId="2" xfId="0" applyNumberFormat="1" applyFont="1" applyFill="1" applyBorder="1" applyAlignment="1">
      <alignment horizontal="center" vertical="center"/>
    </xf>
    <xf numFmtId="190" fontId="22" fillId="7" borderId="11" xfId="0" applyNumberFormat="1" applyFont="1" applyFill="1" applyBorder="1" applyAlignment="1">
      <alignment horizontal="center" vertical="center"/>
    </xf>
    <xf numFmtId="190" fontId="22" fillId="7" borderId="13" xfId="0" applyNumberFormat="1" applyFont="1" applyFill="1" applyBorder="1" applyAlignment="1">
      <alignment horizontal="center" vertical="center"/>
    </xf>
    <xf numFmtId="190" fontId="22" fillId="7" borderId="6" xfId="0" applyNumberFormat="1" applyFont="1" applyFill="1" applyBorder="1" applyAlignment="1">
      <alignment horizontal="center" vertical="center"/>
    </xf>
    <xf numFmtId="1" fontId="22" fillId="7" borderId="2" xfId="27" applyNumberFormat="1" applyFont="1" applyFill="1" applyBorder="1" applyAlignment="1">
      <alignment horizontal="center" vertical="center" wrapText="1"/>
    </xf>
    <xf numFmtId="2" fontId="22" fillId="7" borderId="11" xfId="27" applyNumberFormat="1" applyFont="1" applyFill="1" applyBorder="1" applyAlignment="1">
      <alignment horizontal="center" vertical="center" wrapText="1"/>
    </xf>
    <xf numFmtId="2" fontId="22" fillId="7" borderId="13" xfId="27" applyNumberFormat="1" applyFont="1" applyFill="1" applyBorder="1" applyAlignment="1">
      <alignment horizontal="center" vertical="center" wrapText="1"/>
    </xf>
    <xf numFmtId="2" fontId="22" fillId="7" borderId="6" xfId="27" applyNumberFormat="1" applyFont="1" applyFill="1" applyBorder="1" applyAlignment="1">
      <alignment horizontal="center" vertical="center" wrapText="1"/>
    </xf>
    <xf numFmtId="0" fontId="22" fillId="0" borderId="2" xfId="0" applyFont="1" applyBorder="1" applyAlignment="1">
      <alignment horizontal="center" vertical="center"/>
    </xf>
    <xf numFmtId="0" fontId="22" fillId="7" borderId="11" xfId="0" applyFont="1" applyFill="1" applyBorder="1" applyAlignment="1">
      <alignment horizontal="center"/>
    </xf>
    <xf numFmtId="0" fontId="22" fillId="7" borderId="13" xfId="0" applyFont="1" applyFill="1" applyBorder="1" applyAlignment="1">
      <alignment horizontal="center"/>
    </xf>
    <xf numFmtId="190" fontId="22" fillId="7" borderId="6" xfId="0" applyNumberFormat="1" applyFont="1" applyFill="1" applyBorder="1" applyAlignment="1">
      <alignment horizontal="center" vertical="center" wrapText="1"/>
    </xf>
    <xf numFmtId="0" fontId="22" fillId="7" borderId="10" xfId="0" applyFont="1" applyFill="1" applyBorder="1" applyAlignment="1">
      <alignment horizontal="center"/>
    </xf>
    <xf numFmtId="0" fontId="22" fillId="7" borderId="15" xfId="0" applyFont="1" applyFill="1" applyBorder="1" applyAlignment="1">
      <alignment horizontal="center"/>
    </xf>
    <xf numFmtId="166" fontId="22" fillId="7" borderId="13" xfId="16" applyNumberFormat="1" applyFont="1" applyFill="1" applyBorder="1" applyAlignment="1">
      <alignment vertical="center"/>
    </xf>
    <xf numFmtId="166" fontId="22" fillId="7" borderId="6" xfId="16" applyNumberFormat="1" applyFont="1" applyFill="1" applyBorder="1" applyAlignment="1">
      <alignment vertical="center"/>
    </xf>
    <xf numFmtId="166" fontId="22" fillId="7" borderId="11" xfId="0" applyNumberFormat="1" applyFont="1" applyFill="1" applyBorder="1" applyAlignment="1">
      <alignment horizontal="center" vertical="center"/>
    </xf>
    <xf numFmtId="166" fontId="22" fillId="7" borderId="13" xfId="0" applyNumberFormat="1" applyFont="1" applyFill="1" applyBorder="1" applyAlignment="1">
      <alignment horizontal="center" vertical="center"/>
    </xf>
    <xf numFmtId="166" fontId="22" fillId="7" borderId="6" xfId="0" applyNumberFormat="1" applyFont="1" applyFill="1" applyBorder="1" applyAlignment="1">
      <alignment horizontal="center" vertical="center"/>
    </xf>
    <xf numFmtId="166" fontId="22" fillId="0" borderId="11" xfId="0" applyNumberFormat="1" applyFont="1" applyBorder="1" applyAlignment="1">
      <alignment horizontal="center" vertical="center"/>
    </xf>
    <xf numFmtId="166" fontId="22" fillId="0" borderId="13" xfId="0" applyNumberFormat="1" applyFont="1" applyBorder="1" applyAlignment="1">
      <alignment horizontal="center" vertical="center"/>
    </xf>
    <xf numFmtId="166" fontId="22" fillId="0" borderId="6" xfId="0" applyNumberFormat="1" applyFont="1" applyBorder="1" applyAlignment="1">
      <alignment horizontal="center" vertical="center"/>
    </xf>
    <xf numFmtId="0" fontId="22" fillId="7" borderId="11" xfId="0" quotePrefix="1" applyFont="1" applyFill="1" applyBorder="1" applyAlignment="1">
      <alignment horizontal="center" vertical="center"/>
    </xf>
    <xf numFmtId="0" fontId="44" fillId="0" borderId="15" xfId="0" applyFont="1" applyBorder="1" applyAlignment="1">
      <alignment horizontal="center" vertical="center" wrapText="1"/>
    </xf>
    <xf numFmtId="0" fontId="44" fillId="0" borderId="12" xfId="0" applyFont="1" applyBorder="1" applyAlignment="1">
      <alignment horizontal="center" vertical="center" wrapText="1"/>
    </xf>
    <xf numFmtId="166" fontId="22" fillId="0" borderId="11" xfId="0" applyNumberFormat="1" applyFont="1" applyBorder="1" applyAlignment="1">
      <alignment horizontal="center" vertical="center" wrapText="1"/>
    </xf>
    <xf numFmtId="166" fontId="22" fillId="0" borderId="13"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4" fillId="7" borderId="11" xfId="16" applyNumberFormat="1" applyFont="1" applyFill="1" applyBorder="1" applyAlignment="1">
      <alignment horizontal="center" vertical="center"/>
    </xf>
    <xf numFmtId="166" fontId="24" fillId="7" borderId="13" xfId="16" applyNumberFormat="1" applyFont="1" applyFill="1" applyBorder="1" applyAlignment="1">
      <alignment horizontal="center" vertical="center"/>
    </xf>
    <xf numFmtId="166" fontId="24" fillId="7" borderId="6" xfId="16" applyNumberFormat="1" applyFont="1" applyFill="1" applyBorder="1" applyAlignment="1">
      <alignment horizontal="center" vertical="center"/>
    </xf>
    <xf numFmtId="3" fontId="24" fillId="7" borderId="11" xfId="0" applyNumberFormat="1" applyFont="1" applyFill="1" applyBorder="1" applyAlignment="1">
      <alignment horizontal="center" vertical="center"/>
    </xf>
    <xf numFmtId="3" fontId="24" fillId="7" borderId="13" xfId="0" applyNumberFormat="1" applyFont="1" applyFill="1" applyBorder="1" applyAlignment="1">
      <alignment horizontal="center" vertical="center"/>
    </xf>
    <xf numFmtId="3" fontId="24" fillId="7" borderId="6" xfId="0" applyNumberFormat="1" applyFont="1" applyFill="1" applyBorder="1" applyAlignment="1">
      <alignment horizontal="center" vertical="center"/>
    </xf>
    <xf numFmtId="0" fontId="22" fillId="7" borderId="6" xfId="0" applyFont="1" applyFill="1" applyBorder="1" applyAlignment="1">
      <alignment horizontal="center"/>
    </xf>
    <xf numFmtId="0" fontId="44" fillId="0" borderId="10" xfId="0" applyFont="1" applyBorder="1" applyAlignment="1">
      <alignment horizontal="center" vertical="center" wrapText="1"/>
    </xf>
    <xf numFmtId="0" fontId="23" fillId="0" borderId="2" xfId="19" applyFont="1" applyBorder="1" applyAlignment="1">
      <alignment horizontal="justify" vertical="center" wrapText="1"/>
    </xf>
    <xf numFmtId="0" fontId="22" fillId="7" borderId="4" xfId="0" applyFont="1" applyFill="1" applyBorder="1" applyAlignment="1">
      <alignment horizontal="center" vertical="center"/>
    </xf>
    <xf numFmtId="0" fontId="22" fillId="7" borderId="7" xfId="0" applyFont="1" applyFill="1" applyBorder="1" applyAlignment="1">
      <alignment horizontal="center" vertical="center"/>
    </xf>
    <xf numFmtId="0" fontId="23" fillId="0" borderId="11" xfId="19" applyFont="1" applyBorder="1" applyAlignment="1">
      <alignment horizontal="justify" vertical="center" wrapText="1"/>
    </xf>
    <xf numFmtId="0" fontId="23" fillId="0" borderId="13" xfId="19" applyFont="1" applyBorder="1" applyAlignment="1">
      <alignment horizontal="justify" vertical="center" wrapText="1"/>
    </xf>
    <xf numFmtId="0" fontId="23" fillId="0" borderId="6" xfId="19" applyFont="1" applyBorder="1" applyAlignment="1">
      <alignment horizontal="justify" vertical="center" wrapText="1"/>
    </xf>
    <xf numFmtId="1" fontId="22" fillId="7" borderId="2" xfId="0" applyNumberFormat="1" applyFont="1" applyFill="1" applyBorder="1" applyAlignment="1">
      <alignment horizontal="center" vertical="center" wrapText="1"/>
    </xf>
    <xf numFmtId="166" fontId="22" fillId="0" borderId="11" xfId="1" applyNumberFormat="1" applyFont="1" applyBorder="1" applyAlignment="1">
      <alignment horizontal="center" vertical="center"/>
    </xf>
    <xf numFmtId="166" fontId="22" fillId="0" borderId="6" xfId="1" applyNumberFormat="1" applyFont="1" applyBorder="1" applyAlignment="1">
      <alignment horizontal="center" vertical="center"/>
    </xf>
    <xf numFmtId="1" fontId="22" fillId="7" borderId="2" xfId="6" applyNumberFormat="1" applyFont="1" applyFill="1" applyBorder="1" applyAlignment="1">
      <alignment horizontal="center" vertical="center" wrapText="1"/>
    </xf>
    <xf numFmtId="2" fontId="22" fillId="7" borderId="11" xfId="6" applyNumberFormat="1" applyFont="1" applyFill="1" applyBorder="1" applyAlignment="1">
      <alignment horizontal="center" vertical="center" wrapText="1"/>
    </xf>
    <xf numFmtId="2" fontId="22" fillId="7" borderId="13" xfId="6" applyNumberFormat="1" applyFont="1" applyFill="1" applyBorder="1" applyAlignment="1">
      <alignment horizontal="center" vertical="center" wrapText="1"/>
    </xf>
    <xf numFmtId="2" fontId="22" fillId="7" borderId="6" xfId="6" applyNumberFormat="1" applyFont="1" applyFill="1" applyBorder="1" applyAlignment="1">
      <alignment horizontal="center" vertical="center" wrapText="1"/>
    </xf>
    <xf numFmtId="9" fontId="22" fillId="0" borderId="11" xfId="2" applyFont="1" applyBorder="1" applyAlignment="1">
      <alignment horizontal="center" vertical="center"/>
    </xf>
    <xf numFmtId="9" fontId="22" fillId="0" borderId="13" xfId="2" applyFont="1" applyBorder="1" applyAlignment="1">
      <alignment horizontal="center" vertical="center"/>
    </xf>
    <xf numFmtId="9" fontId="22" fillId="0" borderId="6" xfId="2" applyFont="1" applyBorder="1" applyAlignment="1">
      <alignment horizontal="center" vertical="center"/>
    </xf>
    <xf numFmtId="14" fontId="22" fillId="0" borderId="11" xfId="0" applyNumberFormat="1" applyFont="1" applyBorder="1" applyAlignment="1">
      <alignment horizontal="center" vertical="center" wrapText="1"/>
    </xf>
    <xf numFmtId="14" fontId="22" fillId="0" borderId="13" xfId="0" applyNumberFormat="1" applyFont="1" applyBorder="1" applyAlignment="1">
      <alignment horizontal="center" vertical="center" wrapText="1"/>
    </xf>
    <xf numFmtId="14" fontId="22" fillId="0" borderId="6" xfId="0" applyNumberFormat="1" applyFont="1" applyBorder="1" applyAlignment="1">
      <alignment horizontal="center" vertical="center" wrapText="1"/>
    </xf>
    <xf numFmtId="3" fontId="22" fillId="7" borderId="11" xfId="0" applyNumberFormat="1" applyFont="1" applyFill="1" applyBorder="1" applyAlignment="1">
      <alignment horizontal="center" vertical="center"/>
    </xf>
    <xf numFmtId="3" fontId="22" fillId="7" borderId="13" xfId="0" applyNumberFormat="1" applyFont="1" applyFill="1" applyBorder="1" applyAlignment="1">
      <alignment horizontal="center" vertical="center"/>
    </xf>
    <xf numFmtId="3" fontId="22" fillId="7" borderId="6" xfId="0" applyNumberFormat="1" applyFont="1" applyFill="1" applyBorder="1" applyAlignment="1">
      <alignment horizontal="center" vertical="center"/>
    </xf>
    <xf numFmtId="1" fontId="44" fillId="0" borderId="4" xfId="0" applyNumberFormat="1" applyFont="1" applyBorder="1" applyAlignment="1">
      <alignment horizontal="center" vertical="center" wrapText="1"/>
    </xf>
    <xf numFmtId="1" fontId="44" fillId="0" borderId="14" xfId="0" applyNumberFormat="1" applyFont="1" applyBorder="1" applyAlignment="1">
      <alignment horizontal="center" vertical="center" wrapText="1"/>
    </xf>
    <xf numFmtId="3" fontId="22" fillId="0" borderId="11" xfId="0" applyNumberFormat="1" applyFont="1" applyBorder="1" applyAlignment="1">
      <alignment horizontal="center" vertical="center"/>
    </xf>
    <xf numFmtId="3" fontId="22" fillId="0" borderId="13" xfId="0" applyNumberFormat="1" applyFont="1" applyBorder="1" applyAlignment="1">
      <alignment horizontal="center" vertical="center"/>
    </xf>
    <xf numFmtId="3" fontId="22" fillId="0" borderId="6" xfId="0" applyNumberFormat="1" applyFont="1" applyBorder="1" applyAlignment="1">
      <alignment horizontal="center" vertical="center"/>
    </xf>
    <xf numFmtId="3" fontId="22" fillId="0" borderId="11" xfId="0" applyNumberFormat="1" applyFont="1" applyBorder="1" applyAlignment="1">
      <alignment horizontal="center" vertical="center" wrapText="1"/>
    </xf>
    <xf numFmtId="3" fontId="22" fillId="0" borderId="13" xfId="0" applyNumberFormat="1" applyFont="1" applyBorder="1" applyAlignment="1">
      <alignment horizontal="center" vertical="center" wrapText="1"/>
    </xf>
    <xf numFmtId="3" fontId="22" fillId="0" borderId="6" xfId="0" applyNumberFormat="1" applyFont="1" applyBorder="1" applyAlignment="1">
      <alignment horizontal="center" vertical="center" wrapText="1"/>
    </xf>
    <xf numFmtId="2" fontId="44" fillId="0" borderId="11" xfId="0" applyNumberFormat="1" applyFont="1" applyBorder="1" applyAlignment="1">
      <alignment horizontal="center" vertical="center" wrapText="1"/>
    </xf>
    <xf numFmtId="2" fontId="44" fillId="0" borderId="13" xfId="0" applyNumberFormat="1" applyFont="1" applyBorder="1" applyAlignment="1">
      <alignment horizontal="center" vertical="center" wrapText="1"/>
    </xf>
    <xf numFmtId="0" fontId="44" fillId="7" borderId="11" xfId="0" applyFont="1" applyFill="1" applyBorder="1" applyAlignment="1">
      <alignment horizontal="center" vertical="center" wrapText="1"/>
    </xf>
    <xf numFmtId="0" fontId="44" fillId="7" borderId="13" xfId="0" applyFont="1" applyFill="1" applyBorder="1" applyAlignment="1">
      <alignment horizontal="center" vertical="center" wrapText="1"/>
    </xf>
    <xf numFmtId="190" fontId="22" fillId="0" borderId="15" xfId="0" applyNumberFormat="1" applyFont="1" applyBorder="1" applyAlignment="1">
      <alignment horizontal="center" vertical="center" wrapText="1"/>
    </xf>
    <xf numFmtId="190" fontId="22" fillId="0" borderId="12" xfId="0" applyNumberFormat="1" applyFont="1" applyBorder="1" applyAlignment="1">
      <alignment horizontal="center" vertical="center" wrapText="1"/>
    </xf>
    <xf numFmtId="183" fontId="22" fillId="0" borderId="11" xfId="2" applyNumberFormat="1" applyFont="1" applyBorder="1" applyAlignment="1">
      <alignment horizontal="center" vertical="center"/>
    </xf>
    <xf numFmtId="183" fontId="22" fillId="0" borderId="13" xfId="2" applyNumberFormat="1" applyFont="1" applyBorder="1" applyAlignment="1">
      <alignment horizontal="center" vertical="center"/>
    </xf>
    <xf numFmtId="166" fontId="22" fillId="7" borderId="11" xfId="16" applyNumberFormat="1" applyFont="1" applyFill="1" applyBorder="1" applyAlignment="1">
      <alignment vertical="center"/>
    </xf>
    <xf numFmtId="0" fontId="22" fillId="7" borderId="10" xfId="0" applyFont="1" applyFill="1" applyBorder="1" applyAlignment="1">
      <alignment horizontal="center" vertical="center"/>
    </xf>
    <xf numFmtId="0" fontId="22" fillId="7" borderId="15" xfId="0" applyFont="1" applyFill="1" applyBorder="1" applyAlignment="1">
      <alignment horizontal="center" vertical="center"/>
    </xf>
    <xf numFmtId="0" fontId="22" fillId="7" borderId="12" xfId="0" applyFont="1" applyFill="1" applyBorder="1" applyAlignment="1">
      <alignment horizontal="center" vertical="center"/>
    </xf>
    <xf numFmtId="0" fontId="23" fillId="0" borderId="4" xfId="0" applyFont="1" applyBorder="1" applyAlignment="1">
      <alignment horizontal="left" vertical="center" wrapText="1"/>
    </xf>
    <xf numFmtId="0" fontId="23" fillId="0" borderId="7" xfId="0" applyFont="1" applyBorder="1" applyAlignment="1">
      <alignment horizontal="left" vertical="center" wrapText="1"/>
    </xf>
    <xf numFmtId="0" fontId="44" fillId="0" borderId="4" xfId="0" applyFont="1" applyBorder="1" applyAlignment="1">
      <alignment horizontal="left" vertical="center" wrapText="1"/>
    </xf>
    <xf numFmtId="0" fontId="44" fillId="0" borderId="7" xfId="0" applyFont="1" applyBorder="1" applyAlignment="1">
      <alignment horizontal="left"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2" fontId="22" fillId="0" borderId="90" xfId="0" applyNumberFormat="1" applyFont="1" applyBorder="1" applyAlignment="1">
      <alignment horizontal="center" vertical="center" wrapText="1"/>
    </xf>
    <xf numFmtId="2" fontId="22" fillId="0" borderId="70" xfId="0" applyNumberFormat="1" applyFont="1" applyBorder="1" applyAlignment="1">
      <alignment horizontal="center" vertical="center" wrapText="1"/>
    </xf>
    <xf numFmtId="0" fontId="44" fillId="0" borderId="16" xfId="0" applyFont="1" applyBorder="1" applyAlignment="1">
      <alignment horizontal="center" vertical="center" wrapText="1"/>
    </xf>
    <xf numFmtId="0" fontId="44" fillId="0" borderId="50" xfId="0" applyFont="1" applyBorder="1" applyAlignment="1">
      <alignment horizontal="center" vertical="center" wrapText="1"/>
    </xf>
    <xf numFmtId="183" fontId="22" fillId="0" borderId="6" xfId="2" applyNumberFormat="1" applyFont="1" applyBorder="1" applyAlignment="1">
      <alignment horizontal="center" vertical="center"/>
    </xf>
    <xf numFmtId="0" fontId="24" fillId="0" borderId="2"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0" xfId="0" applyFont="1" applyAlignment="1">
      <alignment horizontal="center" wrapText="1"/>
    </xf>
    <xf numFmtId="0" fontId="22" fillId="0" borderId="0" xfId="0" applyFont="1" applyAlignment="1">
      <alignment horizontal="center" wrapText="1"/>
    </xf>
    <xf numFmtId="2" fontId="22" fillId="0" borderId="2" xfId="0" applyNumberFormat="1" applyFont="1" applyBorder="1" applyAlignment="1">
      <alignment horizontal="center" vertical="center" wrapText="1"/>
    </xf>
    <xf numFmtId="167" fontId="9" fillId="7" borderId="26" xfId="0" applyNumberFormat="1" applyFont="1" applyFill="1" applyBorder="1" applyAlignment="1">
      <alignment horizontal="center" vertical="center" wrapText="1"/>
    </xf>
    <xf numFmtId="3" fontId="9" fillId="7" borderId="35" xfId="0" applyNumberFormat="1" applyFont="1" applyFill="1" applyBorder="1" applyAlignment="1">
      <alignment horizontal="justify" vertical="center" wrapText="1"/>
    </xf>
    <xf numFmtId="3" fontId="9" fillId="7" borderId="36" xfId="0" applyNumberFormat="1" applyFont="1" applyFill="1" applyBorder="1" applyAlignment="1">
      <alignment horizontal="justify" vertical="center" wrapText="1"/>
    </xf>
    <xf numFmtId="43" fontId="9" fillId="0" borderId="2" xfId="1" applyFont="1" applyBorder="1" applyAlignment="1">
      <alignment horizontal="center" vertical="center" wrapText="1"/>
    </xf>
    <xf numFmtId="3" fontId="9" fillId="7" borderId="26" xfId="0" applyNumberFormat="1" applyFont="1" applyFill="1" applyBorder="1" applyAlignment="1">
      <alignment horizontal="center" vertical="center" wrapText="1"/>
    </xf>
    <xf numFmtId="10" fontId="9" fillId="7" borderId="26" xfId="2" applyNumberFormat="1" applyFont="1" applyFill="1" applyBorder="1" applyAlignment="1">
      <alignment horizontal="center" vertical="center" wrapText="1"/>
    </xf>
    <xf numFmtId="3" fontId="9" fillId="7" borderId="6" xfId="0" applyNumberFormat="1" applyFont="1" applyFill="1" applyBorder="1" applyAlignment="1">
      <alignment horizontal="center" vertical="center" wrapText="1"/>
    </xf>
    <xf numFmtId="0" fontId="7" fillId="9" borderId="1" xfId="0" applyFont="1" applyFill="1" applyBorder="1" applyAlignment="1">
      <alignment horizontal="left" vertical="center"/>
    </xf>
    <xf numFmtId="0" fontId="7" fillId="9" borderId="2" xfId="0" applyFont="1" applyFill="1" applyBorder="1" applyAlignment="1">
      <alignment horizontal="left" vertical="center"/>
    </xf>
    <xf numFmtId="1" fontId="9" fillId="7" borderId="26" xfId="0" applyNumberFormat="1" applyFont="1" applyFill="1" applyBorder="1" applyAlignment="1">
      <alignment horizontal="center" vertical="center" wrapText="1"/>
    </xf>
    <xf numFmtId="9" fontId="9" fillId="7" borderId="11" xfId="9" applyNumberFormat="1" applyFont="1" applyFill="1" applyBorder="1" applyAlignment="1">
      <alignment horizontal="center" vertical="center" wrapText="1"/>
    </xf>
    <xf numFmtId="41" fontId="9" fillId="7" borderId="13" xfId="9" applyFont="1" applyFill="1" applyBorder="1" applyAlignment="1">
      <alignment horizontal="center" vertical="center" wrapText="1"/>
    </xf>
    <xf numFmtId="43" fontId="9" fillId="7" borderId="11" xfId="4" applyFont="1" applyFill="1" applyBorder="1" applyAlignment="1">
      <alignment horizontal="center" vertical="center" wrapText="1"/>
    </xf>
    <xf numFmtId="43" fontId="9" fillId="7" borderId="13" xfId="4" applyFont="1" applyFill="1" applyBorder="1" applyAlignment="1">
      <alignment horizontal="center" vertical="center" wrapText="1"/>
    </xf>
    <xf numFmtId="43" fontId="9" fillId="7" borderId="6" xfId="4" applyFont="1" applyFill="1" applyBorder="1" applyAlignment="1">
      <alignment horizontal="center" vertical="center" wrapText="1"/>
    </xf>
    <xf numFmtId="0" fontId="9" fillId="7" borderId="71" xfId="0" applyFont="1" applyFill="1" applyBorder="1" applyAlignment="1">
      <alignment horizontal="center" vertical="center" wrapText="1"/>
    </xf>
    <xf numFmtId="0" fontId="9" fillId="7" borderId="61" xfId="0" applyFont="1" applyFill="1" applyBorder="1" applyAlignment="1">
      <alignment horizontal="center" vertical="center" wrapText="1"/>
    </xf>
    <xf numFmtId="1" fontId="7" fillId="8" borderId="2" xfId="0" applyNumberFormat="1" applyFont="1" applyFill="1" applyBorder="1" applyAlignment="1">
      <alignment horizontal="left" vertical="center"/>
    </xf>
    <xf numFmtId="0" fontId="4" fillId="3" borderId="8" xfId="0" applyFont="1" applyFill="1" applyBorder="1" applyAlignment="1">
      <alignment horizontal="center" vertical="center" textRotation="90" wrapText="1"/>
    </xf>
    <xf numFmtId="0" fontId="4" fillId="3" borderId="1" xfId="0" applyFont="1" applyFill="1" applyBorder="1" applyAlignment="1">
      <alignment horizontal="center" vertical="center" textRotation="90" wrapText="1"/>
    </xf>
    <xf numFmtId="0" fontId="9" fillId="7" borderId="10" xfId="0" applyFont="1" applyFill="1" applyBorder="1" applyAlignment="1">
      <alignment horizontal="justify" vertical="center" wrapText="1"/>
    </xf>
    <xf numFmtId="0" fontId="9" fillId="7" borderId="15" xfId="0" applyFont="1" applyFill="1" applyBorder="1" applyAlignment="1">
      <alignment horizontal="justify" vertical="center" wrapText="1"/>
    </xf>
    <xf numFmtId="3" fontId="17" fillId="4" borderId="2" xfId="0" applyNumberFormat="1" applyFont="1" applyFill="1" applyBorder="1" applyAlignment="1">
      <alignment horizontal="center" vertical="center" wrapText="1"/>
    </xf>
    <xf numFmtId="4" fontId="8" fillId="5" borderId="11" xfId="0" applyNumberFormat="1" applyFont="1" applyFill="1" applyBorder="1" applyAlignment="1">
      <alignment horizontal="center" vertical="center" wrapText="1"/>
    </xf>
    <xf numFmtId="4" fontId="8" fillId="5" borderId="6" xfId="0" applyNumberFormat="1" applyFont="1" applyFill="1" applyBorder="1" applyAlignment="1">
      <alignment horizontal="center" vertical="center" wrapText="1"/>
    </xf>
    <xf numFmtId="9" fontId="8" fillId="5" borderId="11" xfId="2" applyFont="1" applyFill="1" applyBorder="1" applyAlignment="1">
      <alignment horizontal="center" vertical="center" wrapText="1"/>
    </xf>
    <xf numFmtId="9" fontId="8" fillId="5" borderId="6" xfId="2"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0" borderId="60" xfId="0" applyFont="1" applyBorder="1" applyAlignment="1">
      <alignment horizontal="center" vertical="center"/>
    </xf>
    <xf numFmtId="0" fontId="7" fillId="3" borderId="71" xfId="0" applyFont="1" applyFill="1" applyBorder="1" applyAlignment="1">
      <alignment horizontal="center" vertical="center" wrapText="1"/>
    </xf>
    <xf numFmtId="0" fontId="3" fillId="3" borderId="2" xfId="0" applyFont="1" applyFill="1" applyBorder="1" applyAlignment="1">
      <alignment horizontal="center" vertical="center" wrapText="1"/>
    </xf>
    <xf numFmtId="165" fontId="7" fillId="3" borderId="4" xfId="0" applyNumberFormat="1" applyFont="1" applyFill="1" applyBorder="1" applyAlignment="1">
      <alignment horizontal="center" vertical="center" wrapText="1"/>
    </xf>
    <xf numFmtId="165" fontId="7" fillId="3" borderId="10" xfId="0" applyNumberFormat="1" applyFont="1" applyFill="1" applyBorder="1" applyAlignment="1">
      <alignment horizontal="center" vertical="center" wrapText="1"/>
    </xf>
    <xf numFmtId="165" fontId="7" fillId="3" borderId="7" xfId="0" applyNumberFormat="1" applyFont="1" applyFill="1" applyBorder="1" applyAlignment="1">
      <alignment horizontal="center" vertical="center" wrapText="1"/>
    </xf>
    <xf numFmtId="165" fontId="7" fillId="3" borderId="12" xfId="0" applyNumberFormat="1" applyFont="1" applyFill="1" applyBorder="1" applyAlignment="1">
      <alignment horizontal="center" vertical="center" wrapText="1"/>
    </xf>
    <xf numFmtId="0" fontId="23" fillId="7" borderId="2" xfId="24" applyFont="1" applyFill="1" applyBorder="1" applyAlignment="1">
      <alignment horizontal="justify" vertical="center" wrapText="1"/>
    </xf>
    <xf numFmtId="0" fontId="23" fillId="0" borderId="28" xfId="24" applyFont="1" applyBorder="1" applyAlignment="1">
      <alignment horizontal="center"/>
    </xf>
    <xf numFmtId="0" fontId="23" fillId="0" borderId="29" xfId="24" applyFont="1" applyBorder="1" applyAlignment="1">
      <alignment horizontal="center"/>
    </xf>
    <xf numFmtId="0" fontId="23" fillId="0" borderId="30" xfId="24" applyFont="1" applyBorder="1" applyAlignment="1">
      <alignment horizontal="center"/>
    </xf>
    <xf numFmtId="0" fontId="4" fillId="7" borderId="0" xfId="24" applyFont="1" applyFill="1" applyAlignment="1">
      <alignment horizontal="center"/>
    </xf>
    <xf numFmtId="0" fontId="23" fillId="7" borderId="0" xfId="24" applyFont="1" applyFill="1" applyAlignment="1">
      <alignment horizontal="center"/>
    </xf>
    <xf numFmtId="165" fontId="23" fillId="7" borderId="11" xfId="24" applyNumberFormat="1" applyFont="1" applyFill="1" applyBorder="1" applyAlignment="1">
      <alignment horizontal="center" vertical="center" wrapText="1"/>
    </xf>
    <xf numFmtId="165" fontId="23" fillId="7" borderId="13" xfId="24" applyNumberFormat="1" applyFont="1" applyFill="1" applyBorder="1" applyAlignment="1">
      <alignment horizontal="center" vertical="center" wrapText="1"/>
    </xf>
    <xf numFmtId="165" fontId="23" fillId="7" borderId="26" xfId="24" applyNumberFormat="1" applyFont="1" applyFill="1" applyBorder="1" applyAlignment="1">
      <alignment horizontal="center" vertical="center" wrapText="1"/>
    </xf>
    <xf numFmtId="3" fontId="23" fillId="7" borderId="35" xfId="24" applyNumberFormat="1" applyFont="1" applyFill="1" applyBorder="1" applyAlignment="1">
      <alignment horizontal="center" vertical="center" wrapText="1"/>
    </xf>
    <xf numFmtId="3" fontId="23" fillId="7" borderId="36" xfId="24" applyNumberFormat="1" applyFont="1" applyFill="1" applyBorder="1" applyAlignment="1">
      <alignment horizontal="center" vertical="center" wrapText="1"/>
    </xf>
    <xf numFmtId="3" fontId="23" fillId="7" borderId="38" xfId="24" applyNumberFormat="1" applyFont="1" applyFill="1" applyBorder="1" applyAlignment="1">
      <alignment horizontal="center" vertical="center" wrapText="1"/>
    </xf>
    <xf numFmtId="0" fontId="23" fillId="7" borderId="11" xfId="24" applyFont="1" applyFill="1" applyBorder="1" applyAlignment="1">
      <alignment horizontal="center" vertical="center" wrapText="1"/>
    </xf>
    <xf numFmtId="0" fontId="23" fillId="7" borderId="13" xfId="24" applyFont="1" applyFill="1" applyBorder="1" applyAlignment="1">
      <alignment horizontal="center" vertical="center" wrapText="1"/>
    </xf>
    <xf numFmtId="0" fontId="23" fillId="7" borderId="6" xfId="24" applyFont="1" applyFill="1" applyBorder="1" applyAlignment="1">
      <alignment horizontal="center" vertical="center" wrapText="1"/>
    </xf>
    <xf numFmtId="0" fontId="23" fillId="7" borderId="11" xfId="24" applyFont="1" applyFill="1" applyBorder="1" applyAlignment="1">
      <alignment horizontal="justify" vertical="center" wrapText="1"/>
    </xf>
    <xf numFmtId="0" fontId="23" fillId="7" borderId="13" xfId="24" applyFont="1" applyFill="1" applyBorder="1" applyAlignment="1">
      <alignment horizontal="justify" vertical="center" wrapText="1"/>
    </xf>
    <xf numFmtId="0" fontId="23" fillId="7" borderId="6" xfId="24" applyFont="1" applyFill="1" applyBorder="1" applyAlignment="1">
      <alignment horizontal="justify" vertical="center" wrapText="1"/>
    </xf>
    <xf numFmtId="43" fontId="23" fillId="0" borderId="26" xfId="1" applyFont="1" applyBorder="1" applyAlignment="1">
      <alignment horizontal="center" vertical="center" wrapText="1"/>
    </xf>
    <xf numFmtId="9" fontId="23" fillId="0" borderId="11" xfId="2" applyFont="1" applyBorder="1" applyAlignment="1">
      <alignment horizontal="center" vertical="center" wrapText="1"/>
    </xf>
    <xf numFmtId="9" fontId="23" fillId="0" borderId="13" xfId="2" applyFont="1" applyBorder="1" applyAlignment="1">
      <alignment horizontal="center" vertical="center" wrapText="1"/>
    </xf>
    <xf numFmtId="9" fontId="23" fillId="0" borderId="26" xfId="2" applyFont="1" applyBorder="1" applyAlignment="1">
      <alignment horizontal="center" vertical="center" wrapText="1"/>
    </xf>
    <xf numFmtId="0" fontId="23" fillId="0" borderId="11" xfId="4" applyNumberFormat="1" applyFont="1" applyBorder="1" applyAlignment="1">
      <alignment horizontal="center" vertical="center" wrapText="1"/>
    </xf>
    <xf numFmtId="0" fontId="23" fillId="0" borderId="13" xfId="4" applyNumberFormat="1" applyFont="1" applyBorder="1" applyAlignment="1">
      <alignment horizontal="center" vertical="center" wrapText="1"/>
    </xf>
    <xf numFmtId="0" fontId="23" fillId="0" borderId="26" xfId="4" applyNumberFormat="1" applyFont="1" applyBorder="1" applyAlignment="1">
      <alignment horizontal="center" vertical="center" wrapText="1"/>
    </xf>
    <xf numFmtId="0" fontId="23" fillId="7" borderId="26" xfId="24" applyFont="1" applyFill="1" applyBorder="1" applyAlignment="1">
      <alignment horizontal="center" vertical="center" wrapText="1"/>
    </xf>
    <xf numFmtId="3" fontId="23" fillId="7" borderId="67" xfId="24" applyNumberFormat="1" applyFont="1" applyFill="1" applyBorder="1" applyAlignment="1">
      <alignment horizontal="center" vertical="center" wrapText="1"/>
    </xf>
    <xf numFmtId="49" fontId="23" fillId="0" borderId="4" xfId="25" applyNumberFormat="1" applyFont="1" applyBorder="1" applyAlignment="1">
      <alignment horizontal="justify" vertical="center" wrapText="1"/>
    </xf>
    <xf numFmtId="49" fontId="23" fillId="0" borderId="7" xfId="25" applyNumberFormat="1" applyFont="1" applyBorder="1" applyAlignment="1">
      <alignment horizontal="justify" vertical="center" wrapText="1"/>
    </xf>
    <xf numFmtId="43" fontId="23" fillId="7" borderId="11" xfId="4" applyFont="1" applyFill="1" applyBorder="1" applyAlignment="1">
      <alignment horizontal="center" vertical="center" wrapText="1"/>
    </xf>
    <xf numFmtId="43" fontId="23" fillId="7" borderId="13" xfId="4" applyFont="1" applyFill="1" applyBorder="1" applyAlignment="1">
      <alignment horizontal="center" vertical="center" wrapText="1"/>
    </xf>
    <xf numFmtId="0" fontId="23" fillId="0" borderId="6" xfId="4" applyNumberFormat="1" applyFont="1" applyBorder="1" applyAlignment="1">
      <alignment horizontal="center" vertical="center" wrapText="1"/>
    </xf>
    <xf numFmtId="14" fontId="23" fillId="0" borderId="2" xfId="4" applyNumberFormat="1" applyFont="1" applyBorder="1" applyAlignment="1">
      <alignment horizontal="center" vertical="center" wrapText="1"/>
    </xf>
    <xf numFmtId="0" fontId="23" fillId="0" borderId="2" xfId="4" applyNumberFormat="1" applyFont="1" applyBorder="1" applyAlignment="1">
      <alignment horizontal="center" vertical="center" wrapText="1"/>
    </xf>
    <xf numFmtId="14" fontId="23" fillId="0" borderId="11" xfId="4" applyNumberFormat="1" applyFont="1" applyBorder="1" applyAlignment="1">
      <alignment horizontal="center" vertical="center" wrapText="1"/>
    </xf>
    <xf numFmtId="14" fontId="23" fillId="0" borderId="13" xfId="4" applyNumberFormat="1" applyFont="1" applyBorder="1" applyAlignment="1">
      <alignment horizontal="center" vertical="center" wrapText="1"/>
    </xf>
    <xf numFmtId="14" fontId="23" fillId="0" borderId="6" xfId="4" applyNumberFormat="1" applyFont="1" applyBorder="1" applyAlignment="1">
      <alignment horizontal="center" vertical="center" wrapText="1"/>
    </xf>
    <xf numFmtId="9" fontId="23" fillId="0" borderId="6" xfId="2" applyFont="1" applyBorder="1" applyAlignment="1">
      <alignment horizontal="center" vertical="center" wrapText="1"/>
    </xf>
    <xf numFmtId="0" fontId="23" fillId="0" borderId="11" xfId="24" applyFont="1" applyBorder="1" applyAlignment="1">
      <alignment horizontal="center" vertical="center" wrapText="1"/>
    </xf>
    <xf numFmtId="0" fontId="23" fillId="0" borderId="13" xfId="24" applyFont="1" applyBorder="1" applyAlignment="1">
      <alignment horizontal="center" vertical="center" wrapText="1"/>
    </xf>
    <xf numFmtId="0" fontId="23" fillId="0" borderId="6" xfId="24" applyFont="1" applyBorder="1" applyAlignment="1">
      <alignment horizontal="center" vertical="center" wrapText="1"/>
    </xf>
    <xf numFmtId="0" fontId="23" fillId="0" borderId="11" xfId="24" applyFont="1" applyBorder="1" applyAlignment="1">
      <alignment horizontal="justify" vertical="center" wrapText="1"/>
    </xf>
    <xf numFmtId="0" fontId="23" fillId="0" borderId="13" xfId="24" applyFont="1" applyBorder="1" applyAlignment="1">
      <alignment horizontal="justify" vertical="center" wrapText="1"/>
    </xf>
    <xf numFmtId="0" fontId="23" fillId="0" borderId="6" xfId="24" applyFont="1" applyBorder="1" applyAlignment="1">
      <alignment horizontal="justify" vertical="center" wrapText="1"/>
    </xf>
    <xf numFmtId="43" fontId="23" fillId="7" borderId="2" xfId="4" applyFont="1" applyFill="1" applyBorder="1" applyAlignment="1">
      <alignment horizontal="center" vertical="center" wrapText="1"/>
    </xf>
    <xf numFmtId="165" fontId="23" fillId="7" borderId="6" xfId="24" applyNumberFormat="1" applyFont="1" applyFill="1" applyBorder="1" applyAlignment="1">
      <alignment horizontal="center" vertical="center" wrapText="1"/>
    </xf>
    <xf numFmtId="9" fontId="23" fillId="7" borderId="11" xfId="18" applyFont="1" applyFill="1" applyBorder="1" applyAlignment="1">
      <alignment horizontal="center" vertical="center" wrapText="1"/>
    </xf>
    <xf numFmtId="9" fontId="23" fillId="7" borderId="13" xfId="18" applyFont="1" applyFill="1" applyBorder="1" applyAlignment="1">
      <alignment horizontal="center" vertical="center" wrapText="1"/>
    </xf>
    <xf numFmtId="9" fontId="23" fillId="7" borderId="6" xfId="18" applyFont="1" applyFill="1" applyBorder="1" applyAlignment="1">
      <alignment horizontal="center" vertical="center" wrapText="1"/>
    </xf>
    <xf numFmtId="43" fontId="23" fillId="7" borderId="6" xfId="4" applyFont="1" applyFill="1" applyBorder="1" applyAlignment="1">
      <alignment horizontal="center" vertical="center" wrapText="1"/>
    </xf>
    <xf numFmtId="0" fontId="23" fillId="7" borderId="14" xfId="24" applyFont="1" applyFill="1" applyBorder="1" applyAlignment="1">
      <alignment horizontal="justify" vertical="center" wrapText="1"/>
    </xf>
    <xf numFmtId="0" fontId="23" fillId="7" borderId="7" xfId="24" applyFont="1" applyFill="1" applyBorder="1" applyAlignment="1">
      <alignment horizontal="justify" vertical="center" wrapText="1"/>
    </xf>
    <xf numFmtId="0" fontId="23" fillId="7" borderId="46" xfId="24" applyFont="1" applyFill="1" applyBorder="1" applyAlignment="1">
      <alignment horizontal="justify" vertical="center" wrapText="1"/>
    </xf>
    <xf numFmtId="0" fontId="23" fillId="7" borderId="16" xfId="24" applyFont="1" applyFill="1" applyBorder="1" applyAlignment="1">
      <alignment horizontal="justify" vertical="center" wrapText="1"/>
    </xf>
    <xf numFmtId="49" fontId="23" fillId="7" borderId="4" xfId="25" quotePrefix="1" applyNumberFormat="1" applyFont="1" applyFill="1" applyBorder="1" applyAlignment="1">
      <alignment horizontal="justify" vertical="center" wrapText="1"/>
    </xf>
    <xf numFmtId="49" fontId="23" fillId="7" borderId="7" xfId="25" quotePrefix="1" applyNumberFormat="1" applyFont="1" applyFill="1" applyBorder="1" applyAlignment="1">
      <alignment horizontal="justify" vertical="center" wrapText="1"/>
    </xf>
    <xf numFmtId="0" fontId="23" fillId="0" borderId="16" xfId="24" applyFont="1" applyBorder="1" applyAlignment="1">
      <alignment horizontal="center" vertical="center" wrapText="1"/>
    </xf>
    <xf numFmtId="0" fontId="23" fillId="0" borderId="18" xfId="24" applyFont="1" applyBorder="1" applyAlignment="1">
      <alignment horizontal="center" vertical="center" wrapText="1"/>
    </xf>
    <xf numFmtId="0" fontId="23" fillId="7" borderId="20" xfId="24" applyFont="1" applyFill="1" applyBorder="1" applyAlignment="1">
      <alignment horizontal="center" vertical="center" wrapText="1"/>
    </xf>
    <xf numFmtId="0" fontId="23" fillId="7" borderId="21" xfId="24" applyFont="1" applyFill="1" applyBorder="1" applyAlignment="1">
      <alignment horizontal="center" vertical="center" wrapText="1"/>
    </xf>
    <xf numFmtId="0" fontId="23" fillId="7" borderId="27" xfId="24" applyFont="1" applyFill="1" applyBorder="1" applyAlignment="1">
      <alignment horizontal="center" vertical="center" wrapText="1"/>
    </xf>
    <xf numFmtId="0" fontId="23" fillId="7" borderId="11" xfId="24" applyFont="1" applyFill="1" applyBorder="1" applyAlignment="1">
      <alignment horizontal="center" vertical="center"/>
    </xf>
    <xf numFmtId="0" fontId="23" fillId="7" borderId="13" xfId="24" applyFont="1" applyFill="1" applyBorder="1" applyAlignment="1">
      <alignment horizontal="center" vertical="center"/>
    </xf>
    <xf numFmtId="0" fontId="23" fillId="7" borderId="6" xfId="24" applyFont="1" applyFill="1" applyBorder="1" applyAlignment="1">
      <alignment horizontal="center" vertical="center"/>
    </xf>
    <xf numFmtId="0" fontId="23" fillId="0" borderId="35" xfId="4" applyNumberFormat="1" applyFont="1" applyBorder="1" applyAlignment="1">
      <alignment horizontal="center" vertical="center" wrapText="1"/>
    </xf>
    <xf numFmtId="0" fontId="23" fillId="0" borderId="36" xfId="4" applyNumberFormat="1" applyFont="1" applyBorder="1" applyAlignment="1">
      <alignment horizontal="center" vertical="center" wrapText="1"/>
    </xf>
    <xf numFmtId="0" fontId="23" fillId="0" borderId="67" xfId="4" applyNumberFormat="1" applyFont="1" applyBorder="1" applyAlignment="1">
      <alignment horizontal="center" vertical="center" wrapText="1"/>
    </xf>
    <xf numFmtId="165" fontId="23" fillId="7" borderId="2" xfId="24" applyNumberFormat="1" applyFont="1" applyFill="1" applyBorder="1" applyAlignment="1">
      <alignment horizontal="center" vertical="center" wrapText="1"/>
    </xf>
    <xf numFmtId="166" fontId="4" fillId="26" borderId="8" xfId="4" applyNumberFormat="1" applyFont="1" applyFill="1" applyBorder="1" applyAlignment="1">
      <alignment horizontal="center" vertical="center" textRotation="180" wrapText="1"/>
    </xf>
    <xf numFmtId="166" fontId="4" fillId="26" borderId="9" xfId="4" applyNumberFormat="1" applyFont="1" applyFill="1" applyBorder="1" applyAlignment="1">
      <alignment horizontal="center" vertical="center" textRotation="180" wrapText="1"/>
    </xf>
    <xf numFmtId="0" fontId="23" fillId="7" borderId="17" xfId="24" applyFont="1" applyFill="1" applyBorder="1" applyAlignment="1">
      <alignment horizontal="justify" vertical="center" wrapText="1"/>
    </xf>
    <xf numFmtId="0" fontId="23" fillId="0" borderId="11" xfId="24" applyFont="1" applyBorder="1" applyAlignment="1">
      <alignment horizontal="center" vertical="center"/>
    </xf>
    <xf numFmtId="0" fontId="23" fillId="0" borderId="13" xfId="24" applyFont="1" applyBorder="1" applyAlignment="1">
      <alignment horizontal="center" vertical="center"/>
    </xf>
    <xf numFmtId="0" fontId="23" fillId="0" borderId="6" xfId="24" applyFont="1" applyBorder="1" applyAlignment="1">
      <alignment horizontal="center" vertical="center"/>
    </xf>
    <xf numFmtId="0" fontId="23" fillId="7" borderId="4" xfId="24" quotePrefix="1" applyFont="1" applyFill="1" applyBorder="1" applyAlignment="1">
      <alignment horizontal="justify" vertical="center" wrapText="1"/>
    </xf>
    <xf numFmtId="0" fontId="23" fillId="7" borderId="14" xfId="24" quotePrefix="1" applyFont="1" applyFill="1" applyBorder="1" applyAlignment="1">
      <alignment horizontal="justify" vertical="center" wrapText="1"/>
    </xf>
    <xf numFmtId="0" fontId="23" fillId="7" borderId="7" xfId="24" quotePrefix="1" applyFont="1" applyFill="1" applyBorder="1" applyAlignment="1">
      <alignment horizontal="justify" vertical="center" wrapText="1"/>
    </xf>
    <xf numFmtId="0" fontId="23" fillId="7" borderId="86" xfId="24" quotePrefix="1" applyFont="1" applyFill="1" applyBorder="1" applyAlignment="1">
      <alignment horizontal="justify" vertical="center" wrapText="1"/>
    </xf>
    <xf numFmtId="0" fontId="23" fillId="7" borderId="87" xfId="24" quotePrefix="1" applyFont="1" applyFill="1" applyBorder="1" applyAlignment="1">
      <alignment horizontal="justify" vertical="center" wrapText="1"/>
    </xf>
    <xf numFmtId="0" fontId="23" fillId="7" borderId="2" xfId="24" applyFont="1" applyFill="1" applyBorder="1" applyAlignment="1">
      <alignment horizontal="center" vertical="center" wrapText="1"/>
    </xf>
    <xf numFmtId="0" fontId="23" fillId="0" borderId="2" xfId="24" applyFont="1" applyBorder="1" applyAlignment="1">
      <alignment horizontal="center" vertical="center" wrapText="1"/>
    </xf>
    <xf numFmtId="0" fontId="4" fillId="0" borderId="16" xfId="24" applyFont="1" applyBorder="1" applyAlignment="1">
      <alignment horizontal="center" vertical="center" wrapText="1"/>
    </xf>
    <xf numFmtId="0" fontId="23" fillId="0" borderId="50" xfId="24" applyFont="1" applyBorder="1" applyAlignment="1">
      <alignment horizontal="center" vertical="center" wrapText="1"/>
    </xf>
    <xf numFmtId="0" fontId="23" fillId="7" borderId="86" xfId="24" applyFont="1" applyFill="1" applyBorder="1" applyAlignment="1">
      <alignment horizontal="center" vertical="center" wrapText="1"/>
    </xf>
    <xf numFmtId="0" fontId="23" fillId="7" borderId="49" xfId="24" applyFont="1" applyFill="1" applyBorder="1" applyAlignment="1">
      <alignment horizontal="center" vertical="center" wrapText="1"/>
    </xf>
    <xf numFmtId="0" fontId="23" fillId="7" borderId="87" xfId="24" applyFont="1" applyFill="1" applyBorder="1" applyAlignment="1">
      <alignment horizontal="center" vertical="center" wrapText="1"/>
    </xf>
    <xf numFmtId="0" fontId="23" fillId="7" borderId="10" xfId="24" applyFont="1" applyFill="1" applyBorder="1" applyAlignment="1">
      <alignment horizontal="center" vertical="center" wrapText="1"/>
    </xf>
    <xf numFmtId="0" fontId="23" fillId="7" borderId="15" xfId="24" applyFont="1" applyFill="1" applyBorder="1" applyAlignment="1">
      <alignment horizontal="center" vertical="center" wrapText="1"/>
    </xf>
    <xf numFmtId="0" fontId="23" fillId="7" borderId="12" xfId="24" applyFont="1" applyFill="1" applyBorder="1" applyAlignment="1">
      <alignment horizontal="center" vertical="center" wrapText="1"/>
    </xf>
    <xf numFmtId="10" fontId="23" fillId="7" borderId="11" xfId="18" applyNumberFormat="1" applyFont="1" applyFill="1" applyBorder="1" applyAlignment="1">
      <alignment horizontal="center" vertical="center" wrapText="1"/>
    </xf>
    <xf numFmtId="10" fontId="23" fillId="7" borderId="13" xfId="18" applyNumberFormat="1" applyFont="1" applyFill="1" applyBorder="1" applyAlignment="1">
      <alignment horizontal="center" vertical="center" wrapText="1"/>
    </xf>
    <xf numFmtId="10" fontId="23" fillId="7" borderId="6" xfId="18" applyNumberFormat="1" applyFont="1" applyFill="1" applyBorder="1" applyAlignment="1">
      <alignment horizontal="center" vertical="center" wrapText="1"/>
    </xf>
    <xf numFmtId="0" fontId="23" fillId="7" borderId="11" xfId="4" applyNumberFormat="1" applyFont="1" applyFill="1" applyBorder="1" applyAlignment="1">
      <alignment horizontal="center" vertical="center" wrapText="1"/>
    </xf>
    <xf numFmtId="0" fontId="23" fillId="7" borderId="13" xfId="4" applyNumberFormat="1" applyFont="1" applyFill="1" applyBorder="1" applyAlignment="1">
      <alignment horizontal="center" vertical="center" wrapText="1"/>
    </xf>
    <xf numFmtId="0" fontId="23" fillId="7" borderId="6" xfId="4" applyNumberFormat="1" applyFont="1" applyFill="1" applyBorder="1" applyAlignment="1">
      <alignment horizontal="center" vertical="center" wrapText="1"/>
    </xf>
    <xf numFmtId="10" fontId="23" fillId="7" borderId="2" xfId="18" applyNumberFormat="1" applyFont="1" applyFill="1" applyBorder="1" applyAlignment="1">
      <alignment horizontal="center" vertical="center" wrapText="1"/>
    </xf>
    <xf numFmtId="0" fontId="23" fillId="7" borderId="4" xfId="24" applyFont="1" applyFill="1" applyBorder="1" applyAlignment="1">
      <alignment horizontal="justify" vertical="center" wrapText="1"/>
    </xf>
    <xf numFmtId="0" fontId="23" fillId="7" borderId="17" xfId="24" quotePrefix="1" applyFont="1" applyFill="1" applyBorder="1" applyAlignment="1">
      <alignment horizontal="justify" vertical="center" wrapText="1"/>
    </xf>
    <xf numFmtId="49" fontId="23" fillId="7" borderId="4" xfId="25" applyNumberFormat="1" applyFont="1" applyFill="1" applyBorder="1" applyAlignment="1">
      <alignment horizontal="justify" vertical="center" wrapText="1"/>
    </xf>
    <xf numFmtId="49" fontId="23" fillId="7" borderId="14" xfId="25" applyNumberFormat="1" applyFont="1" applyFill="1" applyBorder="1" applyAlignment="1">
      <alignment horizontal="justify" vertical="center" wrapText="1"/>
    </xf>
    <xf numFmtId="0" fontId="4" fillId="0" borderId="4" xfId="24" applyFont="1" applyBorder="1" applyAlignment="1">
      <alignment horizontal="center" vertical="center" wrapText="1"/>
    </xf>
    <xf numFmtId="0" fontId="4" fillId="0" borderId="5" xfId="24" applyFont="1" applyBorder="1" applyAlignment="1">
      <alignment horizontal="center" vertical="center" wrapText="1"/>
    </xf>
    <xf numFmtId="0" fontId="4" fillId="0" borderId="14" xfId="24" applyFont="1" applyBorder="1" applyAlignment="1">
      <alignment horizontal="center" vertical="center" wrapText="1"/>
    </xf>
    <xf numFmtId="0" fontId="4" fillId="0" borderId="0" xfId="24" applyFont="1" applyAlignment="1">
      <alignment horizontal="center" vertical="center" wrapText="1"/>
    </xf>
    <xf numFmtId="0" fontId="4" fillId="0" borderId="7" xfId="24" applyFont="1" applyBorder="1" applyAlignment="1">
      <alignment horizontal="center" vertical="center" wrapText="1"/>
    </xf>
    <xf numFmtId="0" fontId="4" fillId="0" borderId="3" xfId="24" applyFont="1" applyBorder="1" applyAlignment="1">
      <alignment horizontal="center" vertical="center" wrapText="1"/>
    </xf>
    <xf numFmtId="0" fontId="23" fillId="7" borderId="5" xfId="24" applyFont="1" applyFill="1" applyBorder="1" applyAlignment="1">
      <alignment horizontal="justify" vertical="center" wrapText="1"/>
    </xf>
    <xf numFmtId="0" fontId="23" fillId="7" borderId="3" xfId="24" applyFont="1" applyFill="1" applyBorder="1" applyAlignment="1">
      <alignment horizontal="justify" vertical="center" wrapText="1"/>
    </xf>
    <xf numFmtId="0" fontId="23" fillId="7" borderId="5" xfId="24" applyFont="1" applyFill="1" applyBorder="1" applyAlignment="1">
      <alignment horizontal="center" vertical="center" wrapText="1"/>
    </xf>
    <xf numFmtId="0" fontId="23" fillId="7" borderId="3" xfId="24" applyFont="1" applyFill="1" applyBorder="1" applyAlignment="1">
      <alignment horizontal="center" vertical="center" wrapText="1"/>
    </xf>
    <xf numFmtId="49" fontId="23" fillId="7" borderId="7" xfId="25" applyNumberFormat="1" applyFont="1" applyFill="1" applyBorder="1" applyAlignment="1">
      <alignment horizontal="justify" vertical="center" wrapText="1"/>
    </xf>
    <xf numFmtId="49" fontId="23" fillId="7" borderId="86" xfId="25" applyNumberFormat="1" applyFont="1" applyFill="1" applyBorder="1" applyAlignment="1">
      <alignment horizontal="justify" vertical="center" wrapText="1"/>
    </xf>
    <xf numFmtId="49" fontId="23" fillId="7" borderId="87" xfId="25" applyNumberFormat="1" applyFont="1" applyFill="1" applyBorder="1" applyAlignment="1">
      <alignment horizontal="justify" vertical="center" wrapText="1"/>
    </xf>
    <xf numFmtId="49" fontId="23" fillId="0" borderId="19" xfId="25" applyNumberFormat="1" applyFont="1" applyBorder="1" applyAlignment="1">
      <alignment horizontal="justify" vertical="center" wrapText="1"/>
    </xf>
    <xf numFmtId="49" fontId="23" fillId="0" borderId="49" xfId="25" applyNumberFormat="1" applyFont="1" applyBorder="1" applyAlignment="1">
      <alignment horizontal="justify" vertical="center" wrapText="1"/>
    </xf>
    <xf numFmtId="49" fontId="23" fillId="0" borderId="85" xfId="25" applyNumberFormat="1" applyFont="1" applyBorder="1" applyAlignment="1">
      <alignment horizontal="justify" vertical="center" wrapText="1"/>
    </xf>
    <xf numFmtId="49" fontId="23" fillId="7" borderId="49" xfId="25" applyNumberFormat="1" applyFont="1" applyFill="1" applyBorder="1" applyAlignment="1">
      <alignment horizontal="justify" vertical="center" wrapText="1"/>
    </xf>
    <xf numFmtId="49" fontId="23" fillId="0" borderId="16" xfId="25" applyNumberFormat="1" applyFont="1" applyBorder="1" applyAlignment="1">
      <alignment horizontal="justify" vertical="center" wrapText="1"/>
    </xf>
    <xf numFmtId="0" fontId="23" fillId="0" borderId="16" xfId="24" applyFont="1" applyBorder="1" applyAlignment="1">
      <alignment horizontal="justify" vertical="center" wrapText="1"/>
    </xf>
    <xf numFmtId="1" fontId="23" fillId="7" borderId="35" xfId="24" applyNumberFormat="1" applyFont="1" applyFill="1" applyBorder="1" applyAlignment="1">
      <alignment horizontal="center" vertical="center" wrapText="1"/>
    </xf>
    <xf numFmtId="1" fontId="23" fillId="7" borderId="36" xfId="24" applyNumberFormat="1" applyFont="1" applyFill="1" applyBorder="1" applyAlignment="1">
      <alignment horizontal="center" vertical="center" wrapText="1"/>
    </xf>
    <xf numFmtId="1" fontId="23" fillId="7" borderId="67" xfId="24" applyNumberFormat="1" applyFont="1" applyFill="1" applyBorder="1" applyAlignment="1">
      <alignment horizontal="center" vertical="center" wrapText="1"/>
    </xf>
    <xf numFmtId="180" fontId="23" fillId="7" borderId="11" xfId="24" applyNumberFormat="1" applyFont="1" applyFill="1" applyBorder="1" applyAlignment="1">
      <alignment horizontal="center" vertical="center" wrapText="1"/>
    </xf>
    <xf numFmtId="180" fontId="23" fillId="7" borderId="13" xfId="24" applyNumberFormat="1" applyFont="1" applyFill="1" applyBorder="1" applyAlignment="1">
      <alignment horizontal="center" vertical="center" wrapText="1"/>
    </xf>
    <xf numFmtId="180" fontId="23" fillId="7" borderId="6" xfId="24" applyNumberFormat="1" applyFont="1" applyFill="1" applyBorder="1" applyAlignment="1">
      <alignment horizontal="center" vertical="center" wrapText="1"/>
    </xf>
    <xf numFmtId="1" fontId="23" fillId="7" borderId="11" xfId="24" applyNumberFormat="1" applyFont="1" applyFill="1" applyBorder="1" applyAlignment="1">
      <alignment horizontal="center" vertical="center" wrapText="1"/>
    </xf>
    <xf numFmtId="1" fontId="23" fillId="7" borderId="13" xfId="24" applyNumberFormat="1" applyFont="1" applyFill="1" applyBorder="1" applyAlignment="1">
      <alignment horizontal="center" vertical="center" wrapText="1"/>
    </xf>
    <xf numFmtId="1" fontId="23" fillId="7" borderId="6" xfId="24" applyNumberFormat="1" applyFont="1" applyFill="1" applyBorder="1" applyAlignment="1">
      <alignment horizontal="center" vertical="center" wrapText="1"/>
    </xf>
    <xf numFmtId="0" fontId="23" fillId="7" borderId="16" xfId="24" applyFont="1" applyFill="1" applyBorder="1" applyAlignment="1">
      <alignment horizontal="center" vertical="center" wrapText="1"/>
    </xf>
    <xf numFmtId="0" fontId="23" fillId="0" borderId="73" xfId="24" applyFont="1" applyBorder="1" applyAlignment="1">
      <alignment horizontal="center" vertical="center" wrapText="1"/>
    </xf>
    <xf numFmtId="165" fontId="23" fillId="0" borderId="11" xfId="24" applyNumberFormat="1" applyFont="1" applyBorder="1" applyAlignment="1">
      <alignment horizontal="center" vertical="center" wrapText="1"/>
    </xf>
    <xf numFmtId="165" fontId="23" fillId="0" borderId="13" xfId="24" applyNumberFormat="1" applyFont="1" applyBorder="1" applyAlignment="1">
      <alignment horizontal="center" vertical="center" wrapText="1"/>
    </xf>
    <xf numFmtId="165" fontId="23" fillId="0" borderId="6" xfId="24" applyNumberFormat="1" applyFont="1" applyBorder="1" applyAlignment="1">
      <alignment horizontal="center" vertical="center" wrapText="1"/>
    </xf>
    <xf numFmtId="3" fontId="23" fillId="0" borderId="35" xfId="24" applyNumberFormat="1" applyFont="1" applyBorder="1" applyAlignment="1">
      <alignment horizontal="center" vertical="center" wrapText="1"/>
    </xf>
    <xf numFmtId="3" fontId="23" fillId="0" borderId="36" xfId="24" applyNumberFormat="1" applyFont="1" applyBorder="1" applyAlignment="1">
      <alignment horizontal="center" vertical="center" wrapText="1"/>
    </xf>
    <xf numFmtId="3" fontId="23" fillId="0" borderId="67" xfId="24" applyNumberFormat="1" applyFont="1" applyBorder="1" applyAlignment="1">
      <alignment horizontal="center" vertical="center" wrapText="1"/>
    </xf>
    <xf numFmtId="0" fontId="23" fillId="7" borderId="10" xfId="24" applyFont="1" applyFill="1" applyBorder="1" applyAlignment="1">
      <alignment horizontal="justify" vertical="center" wrapText="1"/>
    </xf>
    <xf numFmtId="0" fontId="23" fillId="7" borderId="15" xfId="24" applyFont="1" applyFill="1" applyBorder="1" applyAlignment="1">
      <alignment horizontal="justify" vertical="center" wrapText="1"/>
    </xf>
    <xf numFmtId="0" fontId="23" fillId="7" borderId="12" xfId="24" applyFont="1" applyFill="1" applyBorder="1" applyAlignment="1">
      <alignment horizontal="justify" vertical="center" wrapText="1"/>
    </xf>
    <xf numFmtId="165" fontId="23" fillId="0" borderId="2" xfId="24" applyNumberFormat="1" applyFont="1" applyBorder="1" applyAlignment="1">
      <alignment horizontal="center" vertical="center" wrapText="1"/>
    </xf>
    <xf numFmtId="9" fontId="23" fillId="0" borderId="13" xfId="18" applyFont="1" applyBorder="1" applyAlignment="1">
      <alignment horizontal="center" vertical="center" wrapText="1"/>
    </xf>
    <xf numFmtId="9" fontId="23" fillId="0" borderId="6" xfId="18" applyFont="1" applyBorder="1" applyAlignment="1">
      <alignment horizontal="center" vertical="center" wrapText="1"/>
    </xf>
    <xf numFmtId="43" fontId="23" fillId="7" borderId="4" xfId="4" applyFont="1" applyFill="1" applyBorder="1" applyAlignment="1">
      <alignment horizontal="center" vertical="center" wrapText="1"/>
    </xf>
    <xf numFmtId="43" fontId="23" fillId="7" borderId="14" xfId="4" applyFont="1" applyFill="1" applyBorder="1" applyAlignment="1">
      <alignment horizontal="center" vertical="center" wrapText="1"/>
    </xf>
    <xf numFmtId="43" fontId="23" fillId="7" borderId="7" xfId="4" applyFont="1" applyFill="1" applyBorder="1" applyAlignment="1">
      <alignment horizontal="center" vertical="center" wrapText="1"/>
    </xf>
    <xf numFmtId="49" fontId="23" fillId="7" borderId="11" xfId="25" applyNumberFormat="1" applyFont="1" applyFill="1" applyBorder="1" applyAlignment="1">
      <alignment horizontal="justify" vertical="center" wrapText="1"/>
    </xf>
    <xf numFmtId="49" fontId="23" fillId="7" borderId="6" xfId="25" applyNumberFormat="1" applyFont="1" applyFill="1" applyBorder="1" applyAlignment="1">
      <alignment horizontal="justify" vertical="center" wrapText="1"/>
    </xf>
    <xf numFmtId="49" fontId="23" fillId="0" borderId="11" xfId="25" applyNumberFormat="1" applyFont="1" applyBorder="1" applyAlignment="1">
      <alignment horizontal="justify" vertical="center" wrapText="1"/>
    </xf>
    <xf numFmtId="49" fontId="23" fillId="0" borderId="6" xfId="25" applyNumberFormat="1" applyFont="1" applyBorder="1" applyAlignment="1">
      <alignment horizontal="justify" vertical="center" wrapText="1"/>
    </xf>
    <xf numFmtId="9" fontId="23" fillId="0" borderId="16" xfId="18" applyFont="1" applyBorder="1" applyAlignment="1">
      <alignment horizontal="center" vertical="center" wrapText="1"/>
    </xf>
    <xf numFmtId="0" fontId="23" fillId="0" borderId="10" xfId="24" applyFont="1" applyBorder="1" applyAlignment="1">
      <alignment horizontal="center" vertical="center" wrapText="1"/>
    </xf>
    <xf numFmtId="0" fontId="23" fillId="0" borderId="15" xfId="24" applyFont="1" applyBorder="1" applyAlignment="1">
      <alignment horizontal="center" vertical="center" wrapText="1"/>
    </xf>
    <xf numFmtId="0" fontId="23" fillId="0" borderId="12" xfId="24" applyFont="1" applyBorder="1" applyAlignment="1">
      <alignment horizontal="center" vertical="center" wrapText="1"/>
    </xf>
    <xf numFmtId="43" fontId="23" fillId="7" borderId="10" xfId="4" applyFont="1" applyFill="1" applyBorder="1" applyAlignment="1">
      <alignment horizontal="center" vertical="center" wrapText="1"/>
    </xf>
    <xf numFmtId="43" fontId="23" fillId="7" borderId="15" xfId="4" applyFont="1" applyFill="1" applyBorder="1" applyAlignment="1">
      <alignment horizontal="center" vertical="center" wrapText="1"/>
    </xf>
    <xf numFmtId="0" fontId="23" fillId="0" borderId="14" xfId="24" applyFont="1" applyBorder="1" applyAlignment="1">
      <alignment horizontal="justify" vertical="center" wrapText="1"/>
    </xf>
    <xf numFmtId="49" fontId="23" fillId="0" borderId="13" xfId="25" applyNumberFormat="1" applyFont="1" applyBorder="1" applyAlignment="1">
      <alignment horizontal="justify" vertical="center" wrapText="1"/>
    </xf>
    <xf numFmtId="49" fontId="23" fillId="0" borderId="14" xfId="25" applyNumberFormat="1" applyFont="1" applyBorder="1" applyAlignment="1">
      <alignment horizontal="justify" vertical="center" wrapText="1"/>
    </xf>
    <xf numFmtId="49" fontId="23" fillId="0" borderId="18" xfId="25" applyNumberFormat="1" applyFont="1" applyBorder="1" applyAlignment="1">
      <alignment horizontal="justify" vertical="center" wrapText="1"/>
    </xf>
    <xf numFmtId="49" fontId="23" fillId="0" borderId="70" xfId="25" applyNumberFormat="1" applyFont="1" applyBorder="1" applyAlignment="1">
      <alignment horizontal="justify" vertical="center" wrapText="1"/>
    </xf>
    <xf numFmtId="49" fontId="23" fillId="0" borderId="52" xfId="25" applyNumberFormat="1" applyFont="1" applyBorder="1" applyAlignment="1">
      <alignment horizontal="justify" vertical="center" wrapText="1"/>
    </xf>
    <xf numFmtId="43" fontId="23" fillId="0" borderId="18" xfId="1" applyFont="1" applyBorder="1" applyAlignment="1">
      <alignment horizontal="center" vertical="center"/>
    </xf>
    <xf numFmtId="43" fontId="23" fillId="0" borderId="52" xfId="1" applyFont="1" applyBorder="1" applyAlignment="1">
      <alignment horizontal="center" vertical="center"/>
    </xf>
    <xf numFmtId="1" fontId="23" fillId="0" borderId="73" xfId="24" applyNumberFormat="1" applyFont="1" applyBorder="1" applyAlignment="1">
      <alignment horizontal="center" vertical="center" wrapText="1"/>
    </xf>
    <xf numFmtId="1" fontId="23" fillId="0" borderId="46" xfId="24" applyNumberFormat="1" applyFont="1" applyBorder="1" applyAlignment="1">
      <alignment horizontal="center" vertical="center" wrapText="1"/>
    </xf>
    <xf numFmtId="0" fontId="23" fillId="7" borderId="18" xfId="24" applyFont="1" applyFill="1" applyBorder="1" applyAlignment="1">
      <alignment horizontal="center" vertical="center" wrapText="1"/>
    </xf>
    <xf numFmtId="0" fontId="23" fillId="7" borderId="70" xfId="24" applyFont="1" applyFill="1" applyBorder="1" applyAlignment="1">
      <alignment horizontal="center" vertical="center" wrapText="1"/>
    </xf>
    <xf numFmtId="0" fontId="23" fillId="0" borderId="10" xfId="4" applyNumberFormat="1" applyFont="1" applyBorder="1" applyAlignment="1">
      <alignment horizontal="center" vertical="center" wrapText="1"/>
    </xf>
    <xf numFmtId="0" fontId="23" fillId="0" borderId="15" xfId="4" applyNumberFormat="1" applyFont="1" applyBorder="1" applyAlignment="1">
      <alignment horizontal="center" vertical="center" wrapText="1"/>
    </xf>
    <xf numFmtId="0" fontId="23" fillId="0" borderId="12" xfId="4" applyNumberFormat="1" applyFont="1" applyBorder="1" applyAlignment="1">
      <alignment horizontal="center" vertical="center" wrapText="1"/>
    </xf>
    <xf numFmtId="0" fontId="23" fillId="0" borderId="4" xfId="24" applyFont="1" applyBorder="1" applyAlignment="1">
      <alignment horizontal="center" vertical="center" wrapText="1"/>
    </xf>
    <xf numFmtId="0" fontId="23" fillId="0" borderId="14" xfId="24" applyFont="1" applyBorder="1" applyAlignment="1">
      <alignment horizontal="center" vertical="center" wrapText="1"/>
    </xf>
    <xf numFmtId="0" fontId="23" fillId="0" borderId="7" xfId="24" applyFont="1" applyBorder="1" applyAlignment="1">
      <alignment horizontal="center" vertical="center" wrapText="1"/>
    </xf>
    <xf numFmtId="9" fontId="23" fillId="0" borderId="18" xfId="18" applyFont="1" applyBorder="1" applyAlignment="1">
      <alignment horizontal="center" vertical="center" wrapText="1"/>
    </xf>
    <xf numFmtId="9" fontId="23" fillId="7" borderId="2" xfId="18" applyFont="1" applyFill="1" applyBorder="1" applyAlignment="1">
      <alignment horizontal="center" vertical="center" wrapText="1"/>
    </xf>
    <xf numFmtId="0" fontId="23" fillId="7" borderId="11" xfId="24" applyFont="1" applyFill="1" applyBorder="1" applyAlignment="1">
      <alignment horizontal="justify" vertical="top" wrapText="1"/>
    </xf>
    <xf numFmtId="0" fontId="23" fillId="7" borderId="6" xfId="24" applyFont="1" applyFill="1" applyBorder="1" applyAlignment="1">
      <alignment horizontal="justify" vertical="top" wrapText="1"/>
    </xf>
    <xf numFmtId="9" fontId="23" fillId="0" borderId="11" xfId="2" applyFont="1" applyBorder="1" applyAlignment="1">
      <alignment horizontal="center" vertical="center"/>
    </xf>
    <xf numFmtId="9" fontId="23" fillId="0" borderId="13" xfId="2" applyFont="1" applyBorder="1" applyAlignment="1">
      <alignment horizontal="center" vertical="center"/>
    </xf>
    <xf numFmtId="9" fontId="23" fillId="0" borderId="6" xfId="2" applyFont="1" applyBorder="1" applyAlignment="1">
      <alignment horizontal="center" vertical="center"/>
    </xf>
    <xf numFmtId="0" fontId="23" fillId="0" borderId="13" xfId="4" applyNumberFormat="1" applyFont="1" applyBorder="1" applyAlignment="1">
      <alignment horizontal="center" vertical="center"/>
    </xf>
    <xf numFmtId="0" fontId="23" fillId="0" borderId="6" xfId="4" applyNumberFormat="1" applyFont="1" applyBorder="1" applyAlignment="1">
      <alignment horizontal="center" vertical="center"/>
    </xf>
    <xf numFmtId="0" fontId="23" fillId="0" borderId="11" xfId="4" applyNumberFormat="1" applyFont="1" applyBorder="1" applyAlignment="1">
      <alignment horizontal="center" vertical="center"/>
    </xf>
    <xf numFmtId="166" fontId="23" fillId="0" borderId="11" xfId="4" applyNumberFormat="1" applyFont="1" applyBorder="1" applyAlignment="1">
      <alignment horizontal="center" vertical="center" wrapText="1"/>
    </xf>
    <xf numFmtId="166" fontId="23" fillId="0" borderId="13" xfId="4" applyNumberFormat="1" applyFont="1" applyBorder="1" applyAlignment="1">
      <alignment horizontal="center" vertical="center" wrapText="1"/>
    </xf>
    <xf numFmtId="166" fontId="23" fillId="0" borderId="6" xfId="4" applyNumberFormat="1" applyFont="1" applyBorder="1" applyAlignment="1">
      <alignment horizontal="center" vertical="center" wrapText="1"/>
    </xf>
    <xf numFmtId="0" fontId="23" fillId="0" borderId="59" xfId="24" applyFont="1" applyBorder="1" applyAlignment="1">
      <alignment horizontal="center"/>
    </xf>
    <xf numFmtId="0" fontId="23" fillId="0" borderId="5" xfId="24" applyFont="1" applyBorder="1" applyAlignment="1">
      <alignment horizontal="center"/>
    </xf>
    <xf numFmtId="0" fontId="23" fillId="0" borderId="10" xfId="24" applyFont="1" applyBorder="1" applyAlignment="1">
      <alignment horizontal="center"/>
    </xf>
    <xf numFmtId="4" fontId="3" fillId="5" borderId="11" xfId="0" applyNumberFormat="1" applyFont="1" applyFill="1" applyBorder="1" applyAlignment="1">
      <alignment horizontal="center" vertical="center" wrapText="1"/>
    </xf>
    <xf numFmtId="4" fontId="3" fillId="5" borderId="6" xfId="0" applyNumberFormat="1" applyFont="1" applyFill="1" applyBorder="1" applyAlignment="1">
      <alignment horizontal="center" vertical="center" wrapText="1"/>
    </xf>
    <xf numFmtId="9" fontId="3" fillId="5" borderId="11" xfId="2" applyFont="1" applyFill="1" applyBorder="1" applyAlignment="1">
      <alignment horizontal="center" vertical="center" wrapText="1"/>
    </xf>
    <xf numFmtId="9" fontId="3" fillId="5" borderId="6" xfId="2" applyFont="1" applyFill="1" applyBorder="1" applyAlignment="1">
      <alignment horizontal="center" vertical="center" wrapText="1"/>
    </xf>
    <xf numFmtId="0" fontId="4" fillId="5" borderId="8" xfId="0" applyFont="1" applyFill="1" applyBorder="1" applyAlignment="1">
      <alignment horizontal="center" vertical="center" textRotation="90" wrapText="1"/>
    </xf>
    <xf numFmtId="0" fontId="4" fillId="5" borderId="1" xfId="0" applyFont="1" applyFill="1" applyBorder="1" applyAlignment="1">
      <alignment horizontal="center" vertical="center" textRotation="90" wrapText="1"/>
    </xf>
    <xf numFmtId="0" fontId="4" fillId="5" borderId="7" xfId="0" applyFont="1" applyFill="1" applyBorder="1" applyAlignment="1">
      <alignment horizontal="center" vertical="center" textRotation="90" wrapText="1"/>
    </xf>
    <xf numFmtId="0" fontId="4" fillId="5" borderId="12" xfId="0" applyFont="1" applyFill="1" applyBorder="1" applyAlignment="1">
      <alignment horizontal="center" vertical="center" textRotation="90" wrapText="1"/>
    </xf>
    <xf numFmtId="0" fontId="30" fillId="4" borderId="4" xfId="0" applyFont="1" applyFill="1" applyBorder="1" applyAlignment="1">
      <alignment horizontal="center" vertical="center" textRotation="90" wrapText="1"/>
    </xf>
    <xf numFmtId="0" fontId="30" fillId="4" borderId="10" xfId="0" applyFont="1" applyFill="1" applyBorder="1" applyAlignment="1">
      <alignment horizontal="center" vertical="center" textRotation="90" wrapText="1"/>
    </xf>
    <xf numFmtId="0" fontId="30" fillId="4" borderId="7" xfId="0" applyFont="1" applyFill="1" applyBorder="1" applyAlignment="1">
      <alignment horizontal="center" vertical="center" textRotation="90" wrapText="1"/>
    </xf>
    <xf numFmtId="0" fontId="30" fillId="4" borderId="12" xfId="0" applyFont="1" applyFill="1" applyBorder="1" applyAlignment="1">
      <alignment horizontal="center" vertical="center" textRotation="90" wrapText="1"/>
    </xf>
    <xf numFmtId="0" fontId="30" fillId="3" borderId="2"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12" xfId="0" applyFont="1" applyFill="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9" xfId="0" applyFont="1" applyBorder="1" applyAlignment="1">
      <alignment horizontal="center" vertical="center"/>
    </xf>
    <xf numFmtId="0" fontId="4" fillId="0" borderId="10" xfId="0" applyFont="1" applyBorder="1" applyAlignment="1">
      <alignment horizontal="center" vertical="center"/>
    </xf>
    <xf numFmtId="0" fontId="4" fillId="0" borderId="58" xfId="0" applyFont="1" applyBorder="1" applyAlignment="1">
      <alignment horizontal="center" vertical="center"/>
    </xf>
    <xf numFmtId="0" fontId="4" fillId="0" borderId="4" xfId="0" applyFont="1" applyBorder="1" applyAlignment="1">
      <alignment horizontal="center" vertical="center"/>
    </xf>
    <xf numFmtId="0" fontId="4" fillId="0" borderId="62"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64" xfId="0" applyFont="1" applyBorder="1" applyAlignment="1">
      <alignment horizontal="center" vertical="center"/>
    </xf>
    <xf numFmtId="165" fontId="30" fillId="3" borderId="4" xfId="0" applyNumberFormat="1" applyFont="1" applyFill="1" applyBorder="1" applyAlignment="1">
      <alignment horizontal="center" vertical="center" wrapText="1"/>
    </xf>
    <xf numFmtId="165" fontId="30" fillId="3" borderId="10" xfId="0" applyNumberFormat="1" applyFont="1" applyFill="1" applyBorder="1" applyAlignment="1">
      <alignment horizontal="center" vertical="center" wrapText="1"/>
    </xf>
    <xf numFmtId="165" fontId="30" fillId="3" borderId="7" xfId="0" applyNumberFormat="1" applyFont="1" applyFill="1" applyBorder="1" applyAlignment="1">
      <alignment horizontal="center" vertical="center" wrapText="1"/>
    </xf>
    <xf numFmtId="165" fontId="30" fillId="3" borderId="12" xfId="0" applyNumberFormat="1" applyFont="1" applyFill="1" applyBorder="1" applyAlignment="1">
      <alignment horizontal="center" vertical="center" wrapText="1"/>
    </xf>
    <xf numFmtId="165" fontId="30" fillId="3" borderId="14" xfId="0" applyNumberFormat="1" applyFont="1" applyFill="1" applyBorder="1" applyAlignment="1">
      <alignment horizontal="center" vertical="center" wrapText="1"/>
    </xf>
    <xf numFmtId="165" fontId="30" fillId="3" borderId="15" xfId="0" applyNumberFormat="1" applyFont="1" applyFill="1" applyBorder="1" applyAlignment="1">
      <alignment horizontal="center" vertical="center" wrapText="1"/>
    </xf>
    <xf numFmtId="3" fontId="4" fillId="3" borderId="35" xfId="0" applyNumberFormat="1" applyFont="1" applyFill="1" applyBorder="1" applyAlignment="1">
      <alignment horizontal="center" vertical="center" wrapText="1"/>
    </xf>
    <xf numFmtId="3" fontId="4" fillId="3" borderId="36"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3" xfId="0" applyFont="1" applyFill="1" applyBorder="1" applyAlignment="1">
      <alignment horizontal="center" vertical="center" wrapText="1"/>
    </xf>
    <xf numFmtId="3" fontId="30" fillId="4" borderId="8" xfId="0" applyNumberFormat="1" applyFont="1" applyFill="1" applyBorder="1" applyAlignment="1">
      <alignment horizontal="center" vertical="center" wrapText="1"/>
    </xf>
    <xf numFmtId="3" fontId="30" fillId="4" borderId="9" xfId="0" applyNumberFormat="1"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4" borderId="2" xfId="0" applyFont="1" applyFill="1" applyBorder="1" applyAlignment="1">
      <alignment horizontal="center" vertical="center"/>
    </xf>
    <xf numFmtId="0" fontId="13" fillId="0" borderId="55"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15" fillId="0" borderId="6" xfId="0" applyFont="1" applyBorder="1" applyAlignment="1">
      <alignment horizontal="center" vertical="center"/>
    </xf>
    <xf numFmtId="1" fontId="15" fillId="11" borderId="61" xfId="0" applyNumberFormat="1" applyFont="1" applyFill="1" applyBorder="1" applyAlignment="1">
      <alignment horizontal="center" vertical="center" wrapText="1"/>
    </xf>
    <xf numFmtId="1" fontId="15" fillId="11" borderId="63" xfId="0" applyNumberFormat="1" applyFont="1" applyFill="1" applyBorder="1" applyAlignment="1">
      <alignment horizontal="center" vertical="center" wrapText="1"/>
    </xf>
    <xf numFmtId="3" fontId="7" fillId="12" borderId="1" xfId="0" applyNumberFormat="1" applyFont="1" applyFill="1" applyBorder="1" applyAlignment="1">
      <alignment horizontal="center" vertical="center" wrapText="1"/>
    </xf>
    <xf numFmtId="0" fontId="7" fillId="12" borderId="1" xfId="0" applyFont="1" applyFill="1" applyBorder="1" applyAlignment="1">
      <alignment horizontal="center" vertical="center"/>
    </xf>
    <xf numFmtId="0" fontId="7" fillId="12" borderId="4" xfId="0" applyFont="1" applyFill="1" applyBorder="1" applyAlignment="1">
      <alignment horizontal="center" vertical="center" textRotation="90" wrapText="1"/>
    </xf>
    <xf numFmtId="0" fontId="7" fillId="12" borderId="10" xfId="0" applyFont="1" applyFill="1" applyBorder="1" applyAlignment="1">
      <alignment horizontal="center" vertical="center" textRotation="90" wrapText="1"/>
    </xf>
    <xf numFmtId="0" fontId="7" fillId="12" borderId="14" xfId="0" applyFont="1" applyFill="1" applyBorder="1" applyAlignment="1">
      <alignment horizontal="center" vertical="center" textRotation="90" wrapText="1"/>
    </xf>
    <xf numFmtId="0" fontId="7" fillId="12" borderId="15" xfId="0" applyFont="1" applyFill="1" applyBorder="1" applyAlignment="1">
      <alignment horizontal="center" vertical="center" textRotation="90" wrapText="1"/>
    </xf>
    <xf numFmtId="0" fontId="7" fillId="12" borderId="7" xfId="0" applyFont="1" applyFill="1" applyBorder="1" applyAlignment="1">
      <alignment horizontal="center" vertical="center" textRotation="90" wrapText="1"/>
    </xf>
    <xf numFmtId="0" fontId="7" fillId="12" borderId="12" xfId="0" applyFont="1" applyFill="1" applyBorder="1" applyAlignment="1">
      <alignment horizontal="center" vertical="center" textRotation="90" wrapText="1"/>
    </xf>
    <xf numFmtId="0" fontId="14" fillId="0" borderId="11" xfId="0" applyFont="1" applyBorder="1" applyAlignment="1">
      <alignment horizontal="justify" vertical="center" wrapText="1"/>
    </xf>
    <xf numFmtId="0" fontId="14" fillId="0" borderId="6" xfId="0" applyFont="1" applyBorder="1" applyAlignment="1">
      <alignment horizontal="justify" vertical="center" wrapText="1"/>
    </xf>
    <xf numFmtId="0" fontId="3" fillId="5" borderId="13" xfId="0" applyFont="1" applyFill="1" applyBorder="1" applyAlignment="1">
      <alignment horizontal="center" vertical="center" wrapText="1"/>
    </xf>
    <xf numFmtId="0" fontId="4" fillId="17" borderId="11" xfId="0" applyFont="1" applyFill="1" applyBorder="1" applyAlignment="1">
      <alignment horizontal="center" vertical="center" wrapText="1"/>
    </xf>
    <xf numFmtId="0" fontId="4" fillId="17" borderId="13" xfId="0" applyFont="1" applyFill="1" applyBorder="1" applyAlignment="1">
      <alignment horizontal="center" vertical="center" wrapText="1"/>
    </xf>
    <xf numFmtId="0" fontId="4" fillId="17" borderId="6" xfId="0" applyFont="1" applyFill="1" applyBorder="1" applyAlignment="1">
      <alignment horizontal="center" vertical="center" wrapText="1"/>
    </xf>
    <xf numFmtId="170" fontId="6" fillId="3" borderId="6"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6" xfId="0" applyFont="1" applyFill="1" applyBorder="1" applyAlignment="1">
      <alignment horizontal="center" vertical="center" wrapText="1"/>
    </xf>
    <xf numFmtId="4" fontId="3" fillId="5" borderId="13" xfId="0" applyNumberFormat="1" applyFont="1" applyFill="1" applyBorder="1" applyAlignment="1">
      <alignment horizontal="center" vertical="center" wrapText="1"/>
    </xf>
    <xf numFmtId="9" fontId="3" fillId="5" borderId="13" xfId="2" applyFont="1" applyFill="1" applyBorder="1" applyAlignment="1">
      <alignment horizontal="center" vertical="center" wrapText="1"/>
    </xf>
    <xf numFmtId="43" fontId="9" fillId="7" borderId="11" xfId="7" applyFont="1" applyFill="1" applyBorder="1" applyAlignment="1" applyProtection="1">
      <alignment horizontal="center" vertical="center" wrapText="1"/>
    </xf>
    <xf numFmtId="43" fontId="9" fillId="7" borderId="6" xfId="7" applyFont="1" applyFill="1" applyBorder="1" applyAlignment="1" applyProtection="1">
      <alignment horizontal="center" vertical="center" wrapText="1"/>
    </xf>
    <xf numFmtId="0" fontId="14" fillId="7" borderId="11" xfId="0" applyFont="1" applyFill="1" applyBorder="1" applyAlignment="1">
      <alignment horizontal="center" vertical="center" wrapText="1"/>
    </xf>
    <xf numFmtId="0" fontId="14" fillId="7" borderId="6" xfId="0" applyFont="1" applyFill="1" applyBorder="1" applyAlignment="1">
      <alignment horizontal="center" vertical="center" wrapText="1"/>
    </xf>
    <xf numFmtId="9" fontId="9" fillId="0" borderId="11" xfId="6" applyFont="1" applyBorder="1" applyAlignment="1">
      <alignment horizontal="center" vertical="center" wrapText="1"/>
    </xf>
    <xf numFmtId="9" fontId="9" fillId="0" borderId="6" xfId="6" applyFont="1" applyBorder="1" applyAlignment="1">
      <alignment horizontal="center" vertical="center" wrapText="1"/>
    </xf>
    <xf numFmtId="43" fontId="14" fillId="0" borderId="11" xfId="7" applyFont="1" applyBorder="1" applyAlignment="1">
      <alignment horizontal="center" vertical="center" wrapText="1"/>
    </xf>
    <xf numFmtId="43" fontId="14" fillId="0" borderId="6" xfId="7" applyFont="1" applyBorder="1" applyAlignment="1">
      <alignment horizontal="center" vertical="center" wrapText="1"/>
    </xf>
    <xf numFmtId="3" fontId="14" fillId="0" borderId="11" xfId="0" applyNumberFormat="1" applyFont="1" applyBorder="1" applyAlignment="1">
      <alignment horizontal="justify" vertical="center" wrapText="1"/>
    </xf>
    <xf numFmtId="3" fontId="14" fillId="0" borderId="6" xfId="0" applyNumberFormat="1" applyFont="1" applyBorder="1" applyAlignment="1">
      <alignment horizontal="justify" vertical="center" wrapText="1"/>
    </xf>
    <xf numFmtId="165" fontId="14" fillId="0" borderId="4" xfId="0" applyNumberFormat="1" applyFont="1" applyBorder="1" applyAlignment="1">
      <alignment horizontal="center" vertical="center" wrapText="1"/>
    </xf>
    <xf numFmtId="165" fontId="14" fillId="0" borderId="7" xfId="0" applyNumberFormat="1" applyFont="1" applyBorder="1" applyAlignment="1">
      <alignment horizontal="center" vertical="center" wrapText="1"/>
    </xf>
    <xf numFmtId="3" fontId="18" fillId="0" borderId="34" xfId="0" applyNumberFormat="1" applyFont="1" applyBorder="1" applyAlignment="1">
      <alignment horizontal="center" vertical="center" wrapText="1"/>
    </xf>
    <xf numFmtId="3" fontId="18" fillId="0" borderId="35" xfId="0" applyNumberFormat="1" applyFont="1" applyBorder="1" applyAlignment="1">
      <alignment horizontal="center" vertical="center" wrapText="1"/>
    </xf>
    <xf numFmtId="0" fontId="14" fillId="0" borderId="46" xfId="0" applyFont="1" applyBorder="1" applyAlignment="1">
      <alignment horizontal="center" vertical="center" wrapText="1"/>
    </xf>
    <xf numFmtId="9" fontId="9" fillId="0" borderId="10" xfId="2" applyFont="1" applyBorder="1" applyAlignment="1">
      <alignment horizontal="center" vertical="center"/>
    </xf>
    <xf numFmtId="9" fontId="9" fillId="0" borderId="12" xfId="2" applyFont="1" applyBorder="1" applyAlignment="1">
      <alignment horizontal="center" vertical="center"/>
    </xf>
    <xf numFmtId="3" fontId="14" fillId="0" borderId="10" xfId="0" applyNumberFormat="1" applyFont="1" applyBorder="1" applyAlignment="1">
      <alignment horizontal="center" vertical="center" wrapText="1"/>
    </xf>
    <xf numFmtId="3" fontId="14" fillId="0" borderId="12" xfId="0" applyNumberFormat="1" applyFont="1" applyBorder="1" applyAlignment="1">
      <alignment horizontal="center" vertical="center" wrapText="1"/>
    </xf>
    <xf numFmtId="3" fontId="14" fillId="0" borderId="4" xfId="0" applyNumberFormat="1" applyFont="1" applyBorder="1" applyAlignment="1">
      <alignment horizontal="center" vertical="center"/>
    </xf>
    <xf numFmtId="3" fontId="14" fillId="0" borderId="7" xfId="0" applyNumberFormat="1" applyFont="1" applyBorder="1" applyAlignment="1">
      <alignment horizontal="center" vertical="center"/>
    </xf>
    <xf numFmtId="3" fontId="14" fillId="0" borderId="1" xfId="0" applyNumberFormat="1" applyFont="1" applyBorder="1" applyAlignment="1">
      <alignment horizontal="center" vertical="center"/>
    </xf>
    <xf numFmtId="3" fontId="14" fillId="0" borderId="10" xfId="0" applyNumberFormat="1" applyFont="1" applyBorder="1" applyAlignment="1">
      <alignment horizontal="center" vertical="center"/>
    </xf>
    <xf numFmtId="3" fontId="14" fillId="0" borderId="46" xfId="0" applyNumberFormat="1" applyFont="1" applyBorder="1" applyAlignment="1">
      <alignment horizontal="center" vertical="center"/>
    </xf>
    <xf numFmtId="9" fontId="9" fillId="0" borderId="2" xfId="6" applyNumberFormat="1" applyFont="1" applyBorder="1" applyAlignment="1">
      <alignment horizontal="center" vertical="center" wrapText="1"/>
    </xf>
    <xf numFmtId="9" fontId="9" fillId="0" borderId="11" xfId="6" applyNumberFormat="1" applyFont="1" applyBorder="1" applyAlignment="1">
      <alignment horizontal="center" vertical="center" wrapText="1"/>
    </xf>
    <xf numFmtId="4" fontId="14" fillId="7" borderId="2" xfId="7" applyNumberFormat="1" applyFont="1" applyFill="1" applyBorder="1" applyAlignment="1">
      <alignment horizontal="right" vertical="center" wrapText="1"/>
    </xf>
    <xf numFmtId="4" fontId="14" fillId="7" borderId="11" xfId="7" applyNumberFormat="1" applyFont="1" applyFill="1" applyBorder="1" applyAlignment="1">
      <alignment horizontal="right" vertical="center" wrapText="1"/>
    </xf>
    <xf numFmtId="0" fontId="14" fillId="0" borderId="11" xfId="0" applyFont="1" applyBorder="1" applyAlignment="1">
      <alignment horizontal="justify" vertical="center" wrapText="1" readingOrder="2"/>
    </xf>
    <xf numFmtId="0" fontId="14" fillId="0" borderId="13" xfId="0" applyFont="1" applyBorder="1" applyAlignment="1">
      <alignment horizontal="justify" vertical="center" wrapText="1" readingOrder="2"/>
    </xf>
    <xf numFmtId="0" fontId="14" fillId="0" borderId="14" xfId="0" applyFont="1" applyBorder="1" applyAlignment="1">
      <alignment horizontal="justify" vertical="center" wrapText="1" readingOrder="2"/>
    </xf>
    <xf numFmtId="0" fontId="9" fillId="0" borderId="4"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17" xfId="0" applyFont="1" applyBorder="1" applyAlignment="1">
      <alignment horizontal="justify" vertical="center" wrapText="1"/>
    </xf>
    <xf numFmtId="165" fontId="14" fillId="0" borderId="46" xfId="0" applyNumberFormat="1" applyFont="1" applyBorder="1" applyAlignment="1">
      <alignment horizontal="center" vertical="center" wrapText="1"/>
    </xf>
    <xf numFmtId="165" fontId="14" fillId="0" borderId="14" xfId="0" applyNumberFormat="1" applyFont="1" applyBorder="1" applyAlignment="1">
      <alignment horizontal="center" vertical="center" wrapText="1"/>
    </xf>
    <xf numFmtId="165" fontId="14" fillId="0" borderId="47" xfId="0" applyNumberFormat="1" applyFont="1" applyBorder="1" applyAlignment="1">
      <alignment horizontal="center" vertical="center" wrapText="1"/>
    </xf>
    <xf numFmtId="3" fontId="14" fillId="0" borderId="14" xfId="0" applyNumberFormat="1" applyFont="1" applyBorder="1" applyAlignment="1">
      <alignment horizontal="center" vertical="center"/>
    </xf>
    <xf numFmtId="3" fontId="14" fillId="0" borderId="47" xfId="0" applyNumberFormat="1" applyFont="1" applyBorder="1" applyAlignment="1">
      <alignment horizontal="center" vertical="center"/>
    </xf>
    <xf numFmtId="9" fontId="9" fillId="0" borderId="1" xfId="2" applyFont="1" applyBorder="1" applyAlignment="1">
      <alignment horizontal="center" vertical="center"/>
    </xf>
    <xf numFmtId="0" fontId="9" fillId="0" borderId="16"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52" xfId="0" applyFont="1" applyBorder="1" applyAlignment="1">
      <alignment horizontal="center" vertical="center" wrapText="1"/>
    </xf>
    <xf numFmtId="3" fontId="14" fillId="0" borderId="1" xfId="0" applyNumberFormat="1" applyFont="1" applyBorder="1" applyAlignment="1">
      <alignment horizontal="center" vertical="center" wrapText="1"/>
    </xf>
    <xf numFmtId="165" fontId="14" fillId="0" borderId="10" xfId="0" applyNumberFormat="1" applyFont="1" applyBorder="1" applyAlignment="1">
      <alignment horizontal="center" vertical="center" wrapText="1"/>
    </xf>
    <xf numFmtId="165" fontId="14" fillId="0" borderId="15" xfId="0" applyNumberFormat="1" applyFont="1" applyBorder="1" applyAlignment="1">
      <alignment horizontal="center" vertical="center" wrapText="1"/>
    </xf>
    <xf numFmtId="165" fontId="14" fillId="0" borderId="48" xfId="0" applyNumberFormat="1" applyFont="1" applyBorder="1" applyAlignment="1">
      <alignment horizontal="center" vertical="center" wrapText="1"/>
    </xf>
    <xf numFmtId="3" fontId="14" fillId="0" borderId="18" xfId="0" applyNumberFormat="1" applyFont="1" applyBorder="1" applyAlignment="1">
      <alignment horizontal="center" vertical="center"/>
    </xf>
    <xf numFmtId="3" fontId="14" fillId="0" borderId="70" xfId="0" applyNumberFormat="1" applyFont="1" applyBorder="1" applyAlignment="1">
      <alignment horizontal="center" vertical="center"/>
    </xf>
    <xf numFmtId="0" fontId="14" fillId="0" borderId="16" xfId="0" applyFont="1" applyBorder="1" applyAlignment="1">
      <alignment horizontal="justify" vertical="center" wrapText="1"/>
    </xf>
    <xf numFmtId="9" fontId="9" fillId="0" borderId="16" xfId="6" applyNumberFormat="1" applyFont="1" applyBorder="1" applyAlignment="1">
      <alignment horizontal="center" vertical="center" wrapText="1"/>
    </xf>
    <xf numFmtId="43" fontId="14" fillId="0" borderId="16" xfId="7" applyFont="1" applyBorder="1" applyAlignment="1">
      <alignment horizontal="center" vertical="center" wrapText="1"/>
    </xf>
    <xf numFmtId="14" fontId="14" fillId="0" borderId="49" xfId="0" applyNumberFormat="1" applyFont="1" applyBorder="1" applyAlignment="1">
      <alignment horizontal="center" vertical="center" wrapText="1"/>
    </xf>
    <xf numFmtId="0" fontId="14" fillId="0" borderId="49" xfId="0" applyFont="1" applyBorder="1" applyAlignment="1">
      <alignment horizontal="center" vertical="center" wrapText="1"/>
    </xf>
    <xf numFmtId="9" fontId="9" fillId="0" borderId="50" xfId="2" applyFont="1" applyBorder="1" applyAlignment="1">
      <alignment horizontal="center" vertical="center"/>
    </xf>
    <xf numFmtId="9" fontId="9" fillId="0" borderId="51" xfId="2" applyFont="1" applyBorder="1" applyAlignment="1">
      <alignment horizontal="center" vertical="center"/>
    </xf>
    <xf numFmtId="3" fontId="14" fillId="0" borderId="16" xfId="0" applyNumberFormat="1" applyFont="1" applyBorder="1" applyAlignment="1">
      <alignment horizontal="center" vertical="center" wrapText="1"/>
    </xf>
    <xf numFmtId="3" fontId="14" fillId="0" borderId="18" xfId="0" applyNumberFormat="1" applyFont="1" applyBorder="1" applyAlignment="1">
      <alignment horizontal="center" vertical="center" wrapText="1"/>
    </xf>
    <xf numFmtId="3" fontId="14" fillId="0" borderId="51" xfId="0" applyNumberFormat="1" applyFont="1" applyBorder="1" applyAlignment="1">
      <alignment horizontal="center" vertical="center" wrapText="1"/>
    </xf>
    <xf numFmtId="3" fontId="14" fillId="0" borderId="69" xfId="0" applyNumberFormat="1" applyFont="1" applyBorder="1" applyAlignment="1">
      <alignment horizontal="center" vertical="center"/>
    </xf>
    <xf numFmtId="165" fontId="14" fillId="0" borderId="18" xfId="0" applyNumberFormat="1" applyFont="1" applyBorder="1" applyAlignment="1">
      <alignment horizontal="center" vertical="center" wrapText="1"/>
    </xf>
    <xf numFmtId="165" fontId="14" fillId="0" borderId="70" xfId="0" applyNumberFormat="1" applyFont="1" applyBorder="1" applyAlignment="1">
      <alignment horizontal="center" vertical="center" wrapText="1"/>
    </xf>
    <xf numFmtId="165" fontId="14" fillId="0" borderId="16" xfId="0" applyNumberFormat="1" applyFont="1" applyBorder="1" applyAlignment="1">
      <alignment horizontal="center" vertical="center" wrapText="1"/>
    </xf>
    <xf numFmtId="3" fontId="14" fillId="0" borderId="19" xfId="0" applyNumberFormat="1" applyFont="1" applyBorder="1" applyAlignment="1">
      <alignment horizontal="center" vertical="center"/>
    </xf>
    <xf numFmtId="3" fontId="14" fillId="0" borderId="49" xfId="0" applyNumberFormat="1" applyFont="1" applyBorder="1" applyAlignment="1">
      <alignment horizontal="center" vertical="center"/>
    </xf>
    <xf numFmtId="0" fontId="7" fillId="0" borderId="45" xfId="0" applyFont="1" applyBorder="1" applyAlignment="1">
      <alignment horizontal="center" vertical="center" wrapText="1"/>
    </xf>
    <xf numFmtId="0" fontId="7" fillId="0" borderId="0" xfId="0" applyFont="1" applyAlignment="1">
      <alignment horizontal="center" vertical="center" wrapText="1"/>
    </xf>
    <xf numFmtId="0" fontId="7" fillId="0" borderId="15"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49" fontId="7" fillId="3" borderId="2" xfId="0" applyNumberFormat="1" applyFont="1" applyFill="1" applyBorder="1" applyAlignment="1">
      <alignment horizontal="center" vertical="center" textRotation="90" wrapText="1"/>
    </xf>
    <xf numFmtId="0" fontId="7" fillId="3" borderId="1" xfId="0" applyFont="1" applyFill="1" applyBorder="1" applyAlignment="1">
      <alignment horizontal="center" vertical="center" textRotation="90"/>
    </xf>
    <xf numFmtId="0" fontId="7" fillId="3" borderId="2" xfId="0" applyFont="1" applyFill="1" applyBorder="1" applyAlignment="1">
      <alignment horizontal="center" vertical="center" textRotation="90"/>
    </xf>
    <xf numFmtId="171" fontId="7" fillId="3" borderId="42" xfId="10" applyFont="1" applyFill="1" applyBorder="1" applyAlignment="1">
      <alignment horizontal="center" vertical="center"/>
    </xf>
    <xf numFmtId="171" fontId="7" fillId="3" borderId="43" xfId="10" applyFont="1" applyFill="1" applyBorder="1" applyAlignment="1">
      <alignment horizontal="center" vertical="center"/>
    </xf>
    <xf numFmtId="171" fontId="7" fillId="3" borderId="44" xfId="10" applyFont="1" applyFill="1" applyBorder="1" applyAlignment="1">
      <alignment horizontal="center" vertical="center"/>
    </xf>
    <xf numFmtId="3" fontId="9" fillId="7" borderId="11" xfId="0" applyNumberFormat="1" applyFont="1" applyFill="1" applyBorder="1" applyAlignment="1">
      <alignment horizontal="justify" vertical="center" wrapText="1"/>
    </xf>
    <xf numFmtId="3" fontId="9" fillId="7" borderId="13" xfId="0" applyNumberFormat="1" applyFont="1" applyFill="1" applyBorder="1" applyAlignment="1">
      <alignment horizontal="justify" vertical="center" wrapText="1"/>
    </xf>
    <xf numFmtId="3" fontId="9" fillId="7" borderId="6" xfId="0" applyNumberFormat="1" applyFont="1" applyFill="1" applyBorder="1" applyAlignment="1">
      <alignment horizontal="justify" vertical="center" wrapText="1"/>
    </xf>
    <xf numFmtId="2" fontId="9" fillId="7" borderId="8" xfId="0" applyNumberFormat="1" applyFont="1" applyFill="1" applyBorder="1" applyAlignment="1">
      <alignment horizontal="center" vertical="center" wrapText="1"/>
    </xf>
    <xf numFmtId="182" fontId="7" fillId="5" borderId="2" xfId="17" applyFont="1" applyFill="1" applyBorder="1" applyAlignment="1">
      <alignment horizontal="center" vertical="center" wrapText="1"/>
    </xf>
    <xf numFmtId="9" fontId="7" fillId="5" borderId="2" xfId="2" applyFont="1" applyFill="1" applyBorder="1" applyAlignment="1">
      <alignment horizontal="center" vertical="center" wrapText="1"/>
    </xf>
    <xf numFmtId="182" fontId="7" fillId="3" borderId="4" xfId="17" applyFont="1" applyFill="1" applyBorder="1" applyAlignment="1">
      <alignment horizontal="center" vertical="center" wrapText="1"/>
    </xf>
    <xf numFmtId="182" fontId="7" fillId="3" borderId="5" xfId="17" applyFont="1" applyFill="1" applyBorder="1" applyAlignment="1">
      <alignment horizontal="center" vertical="center" wrapText="1"/>
    </xf>
    <xf numFmtId="182" fontId="7" fillId="3" borderId="10" xfId="17" applyFont="1" applyFill="1" applyBorder="1" applyAlignment="1">
      <alignment horizontal="center" vertical="center" wrapText="1"/>
    </xf>
    <xf numFmtId="182" fontId="7" fillId="3" borderId="14" xfId="17" applyFont="1" applyFill="1" applyBorder="1" applyAlignment="1">
      <alignment horizontal="center" vertical="center" wrapText="1"/>
    </xf>
    <xf numFmtId="182" fontId="7" fillId="3" borderId="0" xfId="17" applyFont="1" applyFill="1" applyAlignment="1">
      <alignment horizontal="center" vertical="center" wrapText="1"/>
    </xf>
    <xf numFmtId="182" fontId="7" fillId="3" borderId="15" xfId="17" applyFont="1" applyFill="1" applyBorder="1" applyAlignment="1">
      <alignment horizontal="center" vertical="center" wrapText="1"/>
    </xf>
    <xf numFmtId="43" fontId="9" fillId="7" borderId="10" xfId="1" applyFont="1" applyFill="1" applyBorder="1" applyAlignment="1">
      <alignment horizontal="justify" vertical="center" wrapText="1"/>
    </xf>
    <xf numFmtId="43" fontId="9" fillId="7" borderId="12" xfId="1" applyFont="1" applyFill="1" applyBorder="1" applyAlignment="1">
      <alignment horizontal="justify" vertical="center" wrapText="1"/>
    </xf>
    <xf numFmtId="0" fontId="9" fillId="7" borderId="7" xfId="0" applyFont="1" applyFill="1" applyBorder="1" applyAlignment="1">
      <alignment horizontal="center" vertical="center" wrapText="1"/>
    </xf>
    <xf numFmtId="43" fontId="9" fillId="7" borderId="15" xfId="1" applyFont="1" applyFill="1" applyBorder="1" applyAlignment="1">
      <alignment horizontal="justify" vertical="center" wrapText="1"/>
    </xf>
    <xf numFmtId="43" fontId="9" fillId="7" borderId="11" xfId="1" applyFont="1" applyFill="1" applyBorder="1" applyAlignment="1">
      <alignment horizontal="justify" vertical="center" wrapText="1"/>
    </xf>
    <xf numFmtId="43" fontId="9" fillId="7" borderId="13" xfId="1" applyFont="1" applyFill="1" applyBorder="1" applyAlignment="1">
      <alignment horizontal="justify" vertical="center" wrapText="1"/>
    </xf>
    <xf numFmtId="43" fontId="9" fillId="7" borderId="6" xfId="1" applyFont="1" applyFill="1" applyBorder="1" applyAlignment="1">
      <alignment horizontal="justify" vertical="center" wrapText="1"/>
    </xf>
    <xf numFmtId="1" fontId="9" fillId="7" borderId="6" xfId="0" applyNumberFormat="1" applyFont="1" applyFill="1" applyBorder="1" applyAlignment="1">
      <alignment horizontal="center" vertical="center" wrapText="1"/>
    </xf>
    <xf numFmtId="0" fontId="9" fillId="7" borderId="2" xfId="0" applyFont="1" applyFill="1" applyBorder="1" applyAlignment="1">
      <alignment horizontal="center"/>
    </xf>
    <xf numFmtId="1" fontId="9" fillId="7" borderId="2" xfId="0" applyNumberFormat="1" applyFont="1" applyFill="1" applyBorder="1" applyAlignment="1">
      <alignment horizontal="center"/>
    </xf>
    <xf numFmtId="0" fontId="9" fillId="7" borderId="1" xfId="0" applyFont="1" applyFill="1" applyBorder="1" applyAlignment="1">
      <alignment horizontal="center" vertical="center" wrapText="1"/>
    </xf>
    <xf numFmtId="167" fontId="9" fillId="7" borderId="2" xfId="0" applyNumberFormat="1" applyFont="1" applyFill="1" applyBorder="1" applyAlignment="1">
      <alignment horizontal="center" vertical="center" wrapText="1"/>
    </xf>
    <xf numFmtId="3" fontId="9" fillId="7" borderId="2" xfId="0" applyNumberFormat="1" applyFont="1" applyFill="1" applyBorder="1" applyAlignment="1">
      <alignment horizontal="justify" vertical="center" wrapText="1"/>
    </xf>
    <xf numFmtId="0" fontId="9" fillId="7" borderId="7" xfId="0" applyFont="1" applyFill="1" applyBorder="1" applyAlignment="1">
      <alignment horizontal="center"/>
    </xf>
    <xf numFmtId="167" fontId="9" fillId="7" borderId="11" xfId="0" applyNumberFormat="1" applyFont="1" applyFill="1" applyBorder="1" applyAlignment="1">
      <alignment horizontal="justify" vertical="center" wrapText="1"/>
    </xf>
    <xf numFmtId="167" fontId="9" fillId="7" borderId="13" xfId="0" applyNumberFormat="1" applyFont="1" applyFill="1" applyBorder="1" applyAlignment="1">
      <alignment horizontal="justify" vertical="center" wrapText="1"/>
    </xf>
    <xf numFmtId="0" fontId="9" fillId="0" borderId="11" xfId="0" applyFont="1" applyBorder="1" applyAlignment="1">
      <alignment horizontal="justify" vertical="top" wrapText="1"/>
    </xf>
    <xf numFmtId="0" fontId="9" fillId="0" borderId="13" xfId="0" applyFont="1" applyBorder="1" applyAlignment="1">
      <alignment horizontal="justify" vertical="top" wrapText="1"/>
    </xf>
    <xf numFmtId="0" fontId="9" fillId="7" borderId="11" xfId="0" applyFont="1" applyFill="1" applyBorder="1" applyAlignment="1">
      <alignment horizontal="center" vertical="center"/>
    </xf>
    <xf numFmtId="0" fontId="9" fillId="7" borderId="13" xfId="0" applyFont="1" applyFill="1" applyBorder="1" applyAlignment="1">
      <alignment horizontal="center" vertical="center"/>
    </xf>
    <xf numFmtId="170" fontId="9" fillId="7" borderId="4" xfId="0" applyNumberFormat="1" applyFont="1" applyFill="1" applyBorder="1" applyAlignment="1">
      <alignment horizontal="center" vertical="center" wrapText="1"/>
    </xf>
    <xf numFmtId="170" fontId="9" fillId="7" borderId="14" xfId="0" applyNumberFormat="1" applyFont="1" applyFill="1" applyBorder="1" applyAlignment="1">
      <alignment horizontal="center" vertical="center" wrapText="1"/>
    </xf>
    <xf numFmtId="0" fontId="9" fillId="7" borderId="11" xfId="0" applyFont="1" applyFill="1" applyBorder="1" applyAlignment="1">
      <alignment horizontal="justify" vertical="top" wrapText="1"/>
    </xf>
    <xf numFmtId="0" fontId="9" fillId="7" borderId="13" xfId="0" applyFont="1" applyFill="1" applyBorder="1" applyAlignment="1">
      <alignment horizontal="justify" vertical="top" wrapText="1"/>
    </xf>
    <xf numFmtId="0" fontId="7" fillId="0" borderId="0" xfId="0" applyFont="1" applyBorder="1" applyAlignment="1">
      <alignment horizontal="center" vertical="top" wrapText="1"/>
    </xf>
    <xf numFmtId="0" fontId="9" fillId="0" borderId="0" xfId="0" applyFont="1" applyAlignment="1">
      <alignment horizontal="center" vertical="top" wrapText="1"/>
    </xf>
    <xf numFmtId="0" fontId="7" fillId="28" borderId="11" xfId="0" applyFont="1" applyFill="1" applyBorder="1" applyAlignment="1">
      <alignment horizontal="center" vertical="center" wrapText="1"/>
    </xf>
    <xf numFmtId="0" fontId="7" fillId="28" borderId="13" xfId="0" applyFont="1" applyFill="1" applyBorder="1" applyAlignment="1">
      <alignment horizontal="center" vertical="center" wrapText="1"/>
    </xf>
    <xf numFmtId="0" fontId="7" fillId="28" borderId="6" xfId="0" applyFont="1" applyFill="1" applyBorder="1" applyAlignment="1">
      <alignment horizontal="center" vertical="center" wrapText="1"/>
    </xf>
    <xf numFmtId="0" fontId="7" fillId="28" borderId="11" xfId="0" applyFont="1" applyFill="1" applyBorder="1" applyAlignment="1">
      <alignment horizontal="center" vertical="center"/>
    </xf>
    <xf numFmtId="0" fontId="7" fillId="28" borderId="13" xfId="0" applyFont="1" applyFill="1" applyBorder="1" applyAlignment="1">
      <alignment horizontal="center" vertical="center"/>
    </xf>
    <xf numFmtId="0" fontId="7" fillId="28" borderId="6" xfId="0" applyFont="1" applyFill="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justify" vertical="center"/>
    </xf>
    <xf numFmtId="0" fontId="7" fillId="0" borderId="9" xfId="0" applyFont="1" applyBorder="1" applyAlignment="1">
      <alignment horizontal="justify" vertical="center"/>
    </xf>
    <xf numFmtId="0" fontId="7" fillId="0" borderId="1" xfId="0" applyFont="1" applyBorder="1" applyAlignment="1">
      <alignment horizontal="justify" vertical="center"/>
    </xf>
    <xf numFmtId="14" fontId="7" fillId="28" borderId="4" xfId="0" applyNumberFormat="1" applyFont="1" applyFill="1" applyBorder="1" applyAlignment="1">
      <alignment horizontal="center" vertical="center" wrapText="1"/>
    </xf>
    <xf numFmtId="14" fontId="7" fillId="28" borderId="10" xfId="0" applyNumberFormat="1" applyFont="1" applyFill="1" applyBorder="1" applyAlignment="1">
      <alignment horizontal="center" vertical="center" wrapText="1"/>
    </xf>
    <xf numFmtId="14" fontId="7" fillId="28" borderId="14" xfId="0" applyNumberFormat="1" applyFont="1" applyFill="1" applyBorder="1" applyAlignment="1">
      <alignment horizontal="center" vertical="center" wrapText="1"/>
    </xf>
    <xf numFmtId="14" fontId="7" fillId="28" borderId="15" xfId="0" applyNumberFormat="1" applyFont="1" applyFill="1" applyBorder="1" applyAlignment="1">
      <alignment horizontal="center" vertical="center" wrapText="1"/>
    </xf>
    <xf numFmtId="14" fontId="7" fillId="28" borderId="7" xfId="0" applyNumberFormat="1" applyFont="1" applyFill="1" applyBorder="1" applyAlignment="1">
      <alignment horizontal="center" vertical="center" wrapText="1"/>
    </xf>
    <xf numFmtId="14" fontId="7" fillId="28" borderId="12" xfId="0" applyNumberFormat="1" applyFont="1" applyFill="1" applyBorder="1" applyAlignment="1">
      <alignment horizontal="center" vertical="center" wrapText="1"/>
    </xf>
    <xf numFmtId="3" fontId="7" fillId="28" borderId="11" xfId="0" applyNumberFormat="1" applyFont="1" applyFill="1" applyBorder="1" applyAlignment="1">
      <alignment horizontal="center" vertical="center" wrapText="1"/>
    </xf>
    <xf numFmtId="3" fontId="7" fillId="28" borderId="13" xfId="0" applyNumberFormat="1" applyFont="1" applyFill="1" applyBorder="1" applyAlignment="1">
      <alignment horizontal="center" vertical="center" wrapText="1"/>
    </xf>
    <xf numFmtId="3" fontId="7" fillId="28" borderId="6" xfId="0" applyNumberFormat="1" applyFont="1" applyFill="1" applyBorder="1" applyAlignment="1">
      <alignment horizontal="center" vertical="center" wrapText="1"/>
    </xf>
    <xf numFmtId="0" fontId="38" fillId="4" borderId="10" xfId="0" applyFont="1" applyFill="1" applyBorder="1" applyAlignment="1">
      <alignment horizontal="center" vertical="center" textRotation="90" wrapText="1"/>
    </xf>
    <xf numFmtId="0" fontId="38" fillId="4" borderId="12" xfId="0" applyFont="1" applyFill="1" applyBorder="1" applyAlignment="1">
      <alignment horizontal="center" vertical="center" textRotation="90" wrapText="1"/>
    </xf>
    <xf numFmtId="171" fontId="38" fillId="3" borderId="8" xfId="28" applyFont="1" applyFill="1" applyBorder="1" applyAlignment="1">
      <alignment horizontal="center" vertical="center"/>
    </xf>
    <xf numFmtId="171" fontId="38" fillId="3" borderId="9" xfId="28" applyFont="1" applyFill="1" applyBorder="1" applyAlignment="1">
      <alignment horizontal="center" vertical="center"/>
    </xf>
    <xf numFmtId="171" fontId="38" fillId="3" borderId="1" xfId="28" applyFont="1" applyFill="1" applyBorder="1" applyAlignment="1">
      <alignment horizontal="center" vertical="center"/>
    </xf>
    <xf numFmtId="49" fontId="7" fillId="3" borderId="8" xfId="0" applyNumberFormat="1" applyFont="1" applyFill="1" applyBorder="1" applyAlignment="1">
      <alignment horizontal="center" vertical="center" textRotation="90" wrapText="1"/>
    </xf>
    <xf numFmtId="49" fontId="7" fillId="3" borderId="1" xfId="0" applyNumberFormat="1" applyFont="1" applyFill="1" applyBorder="1" applyAlignment="1">
      <alignment horizontal="center" vertical="center" textRotation="90" wrapText="1"/>
    </xf>
    <xf numFmtId="9" fontId="7" fillId="5" borderId="11" xfId="6" applyFont="1" applyFill="1" applyBorder="1" applyAlignment="1">
      <alignment horizontal="center" vertical="center" wrapText="1"/>
    </xf>
    <xf numFmtId="9" fontId="7" fillId="5" borderId="6" xfId="6" applyFont="1" applyFill="1" applyBorder="1" applyAlignment="1">
      <alignment horizontal="center" vertical="center" wrapText="1"/>
    </xf>
    <xf numFmtId="0" fontId="7" fillId="6" borderId="8" xfId="0" applyFont="1" applyFill="1" applyBorder="1" applyAlignment="1">
      <alignment horizontal="left" vertical="center" wrapText="1"/>
    </xf>
    <xf numFmtId="0" fontId="7" fillId="6" borderId="9" xfId="0" applyFont="1" applyFill="1" applyBorder="1" applyAlignment="1">
      <alignment horizontal="left" vertical="center" wrapText="1"/>
    </xf>
    <xf numFmtId="0" fontId="7" fillId="16" borderId="8" xfId="0" applyFont="1" applyFill="1" applyBorder="1" applyAlignment="1">
      <alignment horizontal="left" vertical="center" wrapText="1"/>
    </xf>
    <xf numFmtId="0" fontId="7" fillId="16" borderId="9" xfId="0" applyFont="1" applyFill="1" applyBorder="1" applyAlignment="1">
      <alignment horizontal="left" vertical="center" wrapText="1"/>
    </xf>
    <xf numFmtId="0" fontId="7" fillId="16" borderId="1" xfId="0" applyFont="1" applyFill="1" applyBorder="1" applyAlignment="1">
      <alignment horizontal="left" vertical="center" wrapText="1"/>
    </xf>
    <xf numFmtId="3" fontId="7" fillId="5" borderId="6" xfId="0" applyNumberFormat="1" applyFont="1" applyFill="1" applyBorder="1" applyAlignment="1">
      <alignment horizontal="center" vertical="center" wrapText="1"/>
    </xf>
    <xf numFmtId="3" fontId="7" fillId="28" borderId="4" xfId="0" applyNumberFormat="1" applyFont="1" applyFill="1" applyBorder="1" applyAlignment="1">
      <alignment horizontal="center" vertical="center" wrapText="1"/>
    </xf>
    <xf numFmtId="3" fontId="7" fillId="28" borderId="5" xfId="0" applyNumberFormat="1" applyFont="1" applyFill="1" applyBorder="1" applyAlignment="1">
      <alignment horizontal="center" vertical="center" wrapText="1"/>
    </xf>
    <xf numFmtId="3" fontId="7" fillId="28" borderId="10" xfId="0" applyNumberFormat="1" applyFont="1" applyFill="1" applyBorder="1" applyAlignment="1">
      <alignment horizontal="center" vertical="center" wrapText="1"/>
    </xf>
    <xf numFmtId="3" fontId="7" fillId="28" borderId="7" xfId="0" applyNumberFormat="1" applyFont="1" applyFill="1" applyBorder="1" applyAlignment="1">
      <alignment horizontal="center" vertical="center" wrapText="1"/>
    </xf>
    <xf numFmtId="3" fontId="7" fillId="28" borderId="3" xfId="0" applyNumberFormat="1" applyFont="1" applyFill="1" applyBorder="1" applyAlignment="1">
      <alignment horizontal="center" vertical="center" wrapText="1"/>
    </xf>
    <xf numFmtId="3" fontId="7" fillId="28" borderId="12" xfId="0" applyNumberFormat="1" applyFont="1" applyFill="1" applyBorder="1" applyAlignment="1">
      <alignment horizontal="center" vertical="center" wrapText="1"/>
    </xf>
    <xf numFmtId="0" fontId="7" fillId="28" borderId="11" xfId="0" applyFont="1" applyFill="1" applyBorder="1" applyAlignment="1">
      <alignment horizontal="justify" vertical="center" wrapText="1"/>
    </xf>
    <xf numFmtId="0" fontId="7" fillId="28" borderId="13" xfId="0" applyFont="1" applyFill="1" applyBorder="1" applyAlignment="1">
      <alignment horizontal="justify" vertical="center" wrapText="1"/>
    </xf>
    <xf numFmtId="0" fontId="7" fillId="28" borderId="6" xfId="0" applyFont="1" applyFill="1" applyBorder="1" applyAlignment="1">
      <alignment horizontal="justify" vertical="center" wrapText="1"/>
    </xf>
    <xf numFmtId="0" fontId="7" fillId="28" borderId="4" xfId="0" applyFont="1" applyFill="1" applyBorder="1" applyAlignment="1">
      <alignment horizontal="center" vertical="center" wrapText="1"/>
    </xf>
    <xf numFmtId="0" fontId="7" fillId="28" borderId="10" xfId="0" applyFont="1" applyFill="1" applyBorder="1" applyAlignment="1">
      <alignment horizontal="center" vertical="center" wrapText="1"/>
    </xf>
    <xf numFmtId="0" fontId="7" fillId="28" borderId="7" xfId="0" applyFont="1" applyFill="1" applyBorder="1" applyAlignment="1">
      <alignment horizontal="center" vertical="center" wrapText="1"/>
    </xf>
    <xf numFmtId="0" fontId="7" fillId="28" borderId="12" xfId="0" applyFont="1" applyFill="1" applyBorder="1" applyAlignment="1">
      <alignment horizontal="center" vertical="center" wrapText="1"/>
    </xf>
    <xf numFmtId="0" fontId="7" fillId="9" borderId="4" xfId="0" applyFont="1" applyFill="1" applyBorder="1" applyAlignment="1">
      <alignment horizontal="left" vertical="center" wrapText="1"/>
    </xf>
    <xf numFmtId="0" fontId="7" fillId="9" borderId="5" xfId="0" applyFont="1" applyFill="1" applyBorder="1" applyAlignment="1">
      <alignment horizontal="left" vertical="center" wrapText="1"/>
    </xf>
    <xf numFmtId="0" fontId="7" fillId="9" borderId="10" xfId="0" applyFont="1" applyFill="1" applyBorder="1" applyAlignment="1">
      <alignment horizontal="left" vertical="center" wrapText="1"/>
    </xf>
    <xf numFmtId="49" fontId="9" fillId="7" borderId="11" xfId="0" applyNumberFormat="1" applyFont="1" applyFill="1" applyBorder="1" applyAlignment="1">
      <alignment horizontal="center" vertical="center" wrapText="1"/>
    </xf>
    <xf numFmtId="49" fontId="9" fillId="7" borderId="6" xfId="0" applyNumberFormat="1" applyFont="1" applyFill="1" applyBorder="1" applyAlignment="1">
      <alignment horizontal="center" vertical="center" wrapText="1"/>
    </xf>
    <xf numFmtId="0" fontId="9" fillId="0" borderId="11" xfId="1" applyNumberFormat="1" applyFont="1" applyBorder="1" applyAlignment="1">
      <alignment horizontal="center" vertical="center" wrapText="1"/>
    </xf>
    <xf numFmtId="0" fontId="9" fillId="0" borderId="6" xfId="1" applyNumberFormat="1" applyFont="1" applyBorder="1" applyAlignment="1">
      <alignment horizontal="center" vertical="center" wrapText="1"/>
    </xf>
    <xf numFmtId="41" fontId="9" fillId="0" borderId="11" xfId="9" applyFont="1" applyBorder="1" applyAlignment="1">
      <alignment horizontal="center" vertical="center" wrapText="1"/>
    </xf>
    <xf numFmtId="41" fontId="9" fillId="0" borderId="6" xfId="9" applyFont="1" applyBorder="1" applyAlignment="1">
      <alignment horizontal="center" vertical="center" wrapText="1"/>
    </xf>
    <xf numFmtId="43" fontId="9" fillId="0" borderId="11" xfId="1" applyFont="1" applyBorder="1" applyAlignment="1">
      <alignment horizontal="center" vertical="center" wrapText="1"/>
    </xf>
    <xf numFmtId="43" fontId="9" fillId="0" borderId="6" xfId="1" applyFont="1" applyBorder="1" applyAlignment="1">
      <alignment horizontal="center" vertical="center" wrapText="1"/>
    </xf>
    <xf numFmtId="0" fontId="9" fillId="0" borderId="76" xfId="0" applyFont="1" applyBorder="1" applyAlignment="1">
      <alignment horizontal="justify" vertical="center" wrapText="1"/>
    </xf>
    <xf numFmtId="0" fontId="9" fillId="0" borderId="80" xfId="0" applyFont="1" applyBorder="1" applyAlignment="1">
      <alignment horizontal="justify" vertical="center" wrapText="1"/>
    </xf>
    <xf numFmtId="0" fontId="9" fillId="7" borderId="88" xfId="0" applyFont="1" applyFill="1" applyBorder="1" applyAlignment="1">
      <alignment horizontal="justify" vertical="center" wrapText="1"/>
    </xf>
    <xf numFmtId="0" fontId="9" fillId="7" borderId="91" xfId="0" applyFont="1" applyFill="1" applyBorder="1" applyAlignment="1">
      <alignment horizontal="justify" vertical="center" wrapText="1"/>
    </xf>
    <xf numFmtId="41" fontId="9" fillId="0" borderId="11" xfId="9" applyFont="1" applyBorder="1" applyAlignment="1">
      <alignment vertical="center" wrapText="1"/>
    </xf>
    <xf numFmtId="41" fontId="9" fillId="0" borderId="6" xfId="9" applyFont="1" applyBorder="1" applyAlignment="1">
      <alignment vertical="center" wrapText="1"/>
    </xf>
    <xf numFmtId="0" fontId="7" fillId="9" borderId="8" xfId="0" applyFont="1" applyFill="1" applyBorder="1" applyAlignment="1">
      <alignment horizontal="left" vertical="center" wrapText="1"/>
    </xf>
    <xf numFmtId="0" fontId="7" fillId="9" borderId="9" xfId="0" applyFont="1" applyFill="1" applyBorder="1" applyAlignment="1">
      <alignment horizontal="left" vertical="center" wrapText="1"/>
    </xf>
    <xf numFmtId="0" fontId="7" fillId="9" borderId="1" xfId="0" applyFont="1" applyFill="1" applyBorder="1" applyAlignment="1">
      <alignment horizontal="left"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14" fontId="9" fillId="0" borderId="11" xfId="0" applyNumberFormat="1" applyFont="1" applyBorder="1" applyAlignment="1">
      <alignment horizontal="center" vertical="center" wrapText="1"/>
    </xf>
    <xf numFmtId="14" fontId="9" fillId="0" borderId="6" xfId="0" applyNumberFormat="1" applyFont="1" applyBorder="1" applyAlignment="1">
      <alignment horizontal="center" vertical="center" wrapText="1"/>
    </xf>
    <xf numFmtId="192" fontId="9" fillId="7" borderId="11" xfId="0" applyNumberFormat="1" applyFont="1" applyFill="1" applyBorder="1" applyAlignment="1">
      <alignment horizontal="center" vertical="center" wrapText="1"/>
    </xf>
    <xf numFmtId="192" fontId="9" fillId="7" borderId="6" xfId="0" applyNumberFormat="1" applyFont="1" applyFill="1" applyBorder="1" applyAlignment="1">
      <alignment horizontal="center" vertical="center" wrapText="1"/>
    </xf>
    <xf numFmtId="9" fontId="9" fillId="0" borderId="11" xfId="2" applyNumberFormat="1" applyFont="1" applyBorder="1" applyAlignment="1">
      <alignment horizontal="center" vertical="center" wrapText="1"/>
    </xf>
    <xf numFmtId="9" fontId="9" fillId="0" borderId="13" xfId="2" applyNumberFormat="1" applyFont="1" applyBorder="1" applyAlignment="1">
      <alignment horizontal="center" vertical="center" wrapText="1"/>
    </xf>
    <xf numFmtId="9" fontId="9" fillId="7" borderId="11" xfId="2" applyNumberFormat="1" applyFont="1" applyFill="1" applyBorder="1" applyAlignment="1">
      <alignment horizontal="center" vertical="center" wrapText="1"/>
    </xf>
    <xf numFmtId="9" fontId="9" fillId="7" borderId="13" xfId="2" applyNumberFormat="1" applyFont="1" applyFill="1" applyBorder="1" applyAlignment="1">
      <alignment horizontal="center" vertical="center" wrapText="1"/>
    </xf>
    <xf numFmtId="43" fontId="9" fillId="0" borderId="13" xfId="1" applyFont="1" applyBorder="1" applyAlignment="1">
      <alignment horizontal="center" vertical="center" wrapText="1"/>
    </xf>
    <xf numFmtId="41" fontId="9" fillId="7" borderId="11" xfId="9" applyFont="1" applyFill="1" applyBorder="1" applyAlignment="1">
      <alignment horizontal="center" vertical="center" wrapText="1"/>
    </xf>
    <xf numFmtId="41" fontId="9" fillId="7" borderId="11" xfId="9" applyFont="1" applyFill="1" applyBorder="1" applyAlignment="1">
      <alignment vertical="center" wrapText="1"/>
    </xf>
    <xf numFmtId="41" fontId="9" fillId="7" borderId="13" xfId="9" applyFont="1" applyFill="1" applyBorder="1" applyAlignment="1">
      <alignment vertical="center" wrapText="1"/>
    </xf>
    <xf numFmtId="41" fontId="9" fillId="0" borderId="13" xfId="9" applyFont="1" applyBorder="1" applyAlignment="1">
      <alignment horizontal="center" vertical="center" wrapText="1"/>
    </xf>
    <xf numFmtId="9" fontId="9" fillId="7" borderId="6" xfId="2" applyNumberFormat="1" applyFont="1" applyFill="1" applyBorder="1" applyAlignment="1">
      <alignment horizontal="center" vertical="center" wrapText="1"/>
    </xf>
    <xf numFmtId="14" fontId="9" fillId="0" borderId="13"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1" fontId="24" fillId="3" borderId="2" xfId="0"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49" fontId="24" fillId="3" borderId="2" xfId="0" applyNumberFormat="1" applyFont="1" applyFill="1" applyBorder="1" applyAlignment="1">
      <alignment horizontal="center" vertical="center" textRotation="90" wrapText="1"/>
    </xf>
    <xf numFmtId="0" fontId="24" fillId="3" borderId="2" xfId="0" applyFont="1" applyFill="1" applyBorder="1" applyAlignment="1">
      <alignment horizontal="center" vertical="center" textRotation="90" wrapText="1"/>
    </xf>
    <xf numFmtId="170" fontId="24" fillId="3" borderId="2" xfId="0" applyNumberFormat="1" applyFont="1" applyFill="1" applyBorder="1" applyAlignment="1">
      <alignment horizontal="center" vertical="center" wrapText="1"/>
    </xf>
    <xf numFmtId="169" fontId="24" fillId="3" borderId="2" xfId="0" applyNumberFormat="1" applyFont="1" applyFill="1" applyBorder="1" applyAlignment="1">
      <alignment horizontal="center" vertical="center" wrapText="1"/>
    </xf>
    <xf numFmtId="0" fontId="20" fillId="3" borderId="2" xfId="0" applyFont="1" applyFill="1" applyBorder="1" applyAlignment="1">
      <alignment horizontal="center" vertical="center" wrapText="1"/>
    </xf>
    <xf numFmtId="0" fontId="17" fillId="4" borderId="2" xfId="0" applyFont="1" applyFill="1" applyBorder="1" applyAlignment="1">
      <alignment horizontal="center" vertical="center" wrapText="1"/>
    </xf>
    <xf numFmtId="171" fontId="34" fillId="3" borderId="2" xfId="8" applyFont="1" applyFill="1" applyBorder="1" applyAlignment="1">
      <alignment horizontal="center" vertical="center"/>
    </xf>
    <xf numFmtId="167" fontId="24" fillId="3" borderId="2" xfId="0" applyNumberFormat="1" applyFont="1" applyFill="1" applyBorder="1" applyAlignment="1">
      <alignment horizontal="center" vertical="center" wrapText="1"/>
    </xf>
    <xf numFmtId="3" fontId="24" fillId="3" borderId="11" xfId="0" applyNumberFormat="1" applyFont="1" applyFill="1" applyBorder="1" applyAlignment="1">
      <alignment horizontal="center" vertical="center" wrapText="1"/>
    </xf>
    <xf numFmtId="3" fontId="24" fillId="3" borderId="13" xfId="0" applyNumberFormat="1" applyFont="1" applyFill="1" applyBorder="1" applyAlignment="1">
      <alignment horizontal="center" vertical="center" wrapText="1"/>
    </xf>
    <xf numFmtId="3" fontId="24" fillId="3" borderId="6" xfId="0" applyNumberFormat="1" applyFont="1" applyFill="1" applyBorder="1" applyAlignment="1">
      <alignment horizontal="center" vertical="center" wrapText="1"/>
    </xf>
    <xf numFmtId="0" fontId="21" fillId="5" borderId="2" xfId="0" applyFont="1" applyFill="1" applyBorder="1" applyAlignment="1">
      <alignment horizontal="center" vertical="center" wrapText="1"/>
    </xf>
    <xf numFmtId="3" fontId="21" fillId="5" borderId="2" xfId="0" applyNumberFormat="1" applyFont="1" applyFill="1" applyBorder="1" applyAlignment="1">
      <alignment horizontal="center" vertical="center" wrapText="1"/>
    </xf>
    <xf numFmtId="9" fontId="21" fillId="5" borderId="2" xfId="6" applyFont="1" applyFill="1" applyBorder="1" applyAlignment="1">
      <alignment horizontal="center" vertical="center" wrapText="1"/>
    </xf>
    <xf numFmtId="9" fontId="9" fillId="7" borderId="11" xfId="18" applyFont="1" applyFill="1" applyBorder="1" applyAlignment="1">
      <alignment horizontal="center" vertical="center" wrapText="1"/>
    </xf>
    <xf numFmtId="9" fontId="9" fillId="7" borderId="13" xfId="18" applyFont="1" applyFill="1" applyBorder="1" applyAlignment="1">
      <alignment horizontal="center" vertical="center" wrapText="1"/>
    </xf>
    <xf numFmtId="43" fontId="5" fillId="7" borderId="2" xfId="1" applyFont="1" applyFill="1" applyBorder="1" applyAlignment="1">
      <alignment horizontal="center" vertical="center"/>
    </xf>
    <xf numFmtId="2" fontId="5" fillId="0" borderId="11" xfId="0" applyNumberFormat="1" applyFont="1" applyBorder="1" applyAlignment="1">
      <alignment horizontal="justify" vertical="center" wrapText="1"/>
    </xf>
    <xf numFmtId="2" fontId="5" fillId="0" borderId="13" xfId="0" applyNumberFormat="1" applyFont="1" applyBorder="1" applyAlignment="1">
      <alignment horizontal="justify" vertical="center" wrapText="1"/>
    </xf>
    <xf numFmtId="1" fontId="5" fillId="7" borderId="11" xfId="0" applyNumberFormat="1" applyFont="1" applyFill="1" applyBorder="1" applyAlignment="1">
      <alignment horizontal="center" vertical="center" wrapText="1"/>
    </xf>
    <xf numFmtId="1" fontId="5" fillId="7" borderId="13" xfId="0" applyNumberFormat="1" applyFont="1" applyFill="1" applyBorder="1" applyAlignment="1">
      <alignment horizontal="center" vertical="center" wrapText="1"/>
    </xf>
    <xf numFmtId="1" fontId="5" fillId="7" borderId="6" xfId="0" applyNumberFormat="1" applyFont="1" applyFill="1" applyBorder="1" applyAlignment="1">
      <alignment horizontal="center" vertical="center" wrapText="1"/>
    </xf>
    <xf numFmtId="2" fontId="5" fillId="7" borderId="11" xfId="0" applyNumberFormat="1" applyFont="1" applyFill="1" applyBorder="1" applyAlignment="1">
      <alignment horizontal="justify" vertical="center" wrapText="1"/>
    </xf>
    <xf numFmtId="2" fontId="5" fillId="7" borderId="6" xfId="0" applyNumberFormat="1" applyFont="1" applyFill="1" applyBorder="1" applyAlignment="1">
      <alignment horizontal="justify" vertical="center" wrapText="1"/>
    </xf>
    <xf numFmtId="1" fontId="22" fillId="7" borderId="11" xfId="0" applyNumberFormat="1" applyFont="1" applyFill="1" applyBorder="1" applyAlignment="1">
      <alignment horizontal="center" vertical="center" wrapText="1"/>
    </xf>
    <xf numFmtId="1" fontId="22" fillId="7" borderId="13" xfId="0" applyNumberFormat="1" applyFont="1" applyFill="1" applyBorder="1" applyAlignment="1">
      <alignment horizontal="center" vertical="center" wrapText="1"/>
    </xf>
    <xf numFmtId="1" fontId="22" fillId="7" borderId="6" xfId="0" applyNumberFormat="1" applyFont="1" applyFill="1" applyBorder="1" applyAlignment="1">
      <alignment horizontal="center" vertical="center" wrapText="1"/>
    </xf>
    <xf numFmtId="167" fontId="22" fillId="7" borderId="11" xfId="0" applyNumberFormat="1" applyFont="1" applyFill="1" applyBorder="1" applyAlignment="1">
      <alignment horizontal="center" vertical="center" wrapText="1"/>
    </xf>
    <xf numFmtId="167" fontId="22" fillId="7" borderId="13" xfId="0" applyNumberFormat="1" applyFont="1" applyFill="1" applyBorder="1" applyAlignment="1">
      <alignment horizontal="center" vertical="center" wrapText="1"/>
    </xf>
    <xf numFmtId="167" fontId="22" fillId="7" borderId="6" xfId="0" applyNumberFormat="1" applyFont="1" applyFill="1" applyBorder="1" applyAlignment="1">
      <alignment horizontal="center" vertical="center" wrapText="1"/>
    </xf>
    <xf numFmtId="14" fontId="22" fillId="7" borderId="11" xfId="0" applyNumberFormat="1" applyFont="1" applyFill="1" applyBorder="1" applyAlignment="1">
      <alignment horizontal="center" vertical="center"/>
    </xf>
    <xf numFmtId="14" fontId="22" fillId="7" borderId="13" xfId="0" applyNumberFormat="1" applyFont="1" applyFill="1" applyBorder="1" applyAlignment="1">
      <alignment horizontal="center" vertical="center"/>
    </xf>
    <xf numFmtId="14" fontId="22" fillId="7" borderId="6" xfId="0" applyNumberFormat="1" applyFont="1" applyFill="1" applyBorder="1" applyAlignment="1">
      <alignment horizontal="center" vertical="center"/>
    </xf>
    <xf numFmtId="3" fontId="22" fillId="7" borderId="11" xfId="0" applyNumberFormat="1" applyFont="1" applyFill="1" applyBorder="1" applyAlignment="1">
      <alignment horizontal="justify" vertical="center" wrapText="1"/>
    </xf>
    <xf numFmtId="3" fontId="22" fillId="7" borderId="13" xfId="0" applyNumberFormat="1" applyFont="1" applyFill="1" applyBorder="1" applyAlignment="1">
      <alignment horizontal="justify" vertical="center" wrapText="1"/>
    </xf>
    <xf numFmtId="3" fontId="22" fillId="7" borderId="6" xfId="0" applyNumberFormat="1" applyFont="1" applyFill="1" applyBorder="1" applyAlignment="1">
      <alignment horizontal="justify" vertical="center" wrapText="1"/>
    </xf>
    <xf numFmtId="174" fontId="22" fillId="7" borderId="11" xfId="11" applyFont="1" applyFill="1" applyBorder="1" applyAlignment="1">
      <alignment horizontal="center" vertical="center" wrapText="1"/>
    </xf>
    <xf numFmtId="174" fontId="22" fillId="7" borderId="13" xfId="11" applyFont="1" applyFill="1" applyBorder="1" applyAlignment="1">
      <alignment horizontal="center" vertical="center" wrapText="1"/>
    </xf>
    <xf numFmtId="174" fontId="22" fillId="7" borderId="6" xfId="11" applyFont="1" applyFill="1" applyBorder="1" applyAlignment="1">
      <alignment horizontal="center" vertical="center" wrapText="1"/>
    </xf>
    <xf numFmtId="10" fontId="22" fillId="7" borderId="11" xfId="2" applyNumberFormat="1" applyFont="1" applyFill="1" applyBorder="1" applyAlignment="1">
      <alignment horizontal="center" vertical="center" wrapText="1"/>
    </xf>
    <xf numFmtId="10" fontId="22" fillId="7" borderId="13" xfId="2" applyNumberFormat="1" applyFont="1" applyFill="1" applyBorder="1" applyAlignment="1">
      <alignment horizontal="center" vertical="center" wrapText="1"/>
    </xf>
    <xf numFmtId="10" fontId="22" fillId="7" borderId="6" xfId="2" applyNumberFormat="1" applyFont="1" applyFill="1" applyBorder="1" applyAlignment="1">
      <alignment horizontal="center" vertical="center" wrapText="1"/>
    </xf>
    <xf numFmtId="1" fontId="24" fillId="0" borderId="2" xfId="0" applyNumberFormat="1" applyFont="1" applyBorder="1" applyAlignment="1">
      <alignment horizontal="center"/>
    </xf>
  </cellXfs>
  <cellStyles count="29">
    <cellStyle name="Excel Built-in Normal" xfId="20"/>
    <cellStyle name="Excel Built-in Normal 2" xfId="25"/>
    <cellStyle name="Millares" xfId="1" builtinId="3"/>
    <cellStyle name="Millares [0] 2" xfId="11"/>
    <cellStyle name="Millares [0] 3" xfId="9"/>
    <cellStyle name="Millares 2" xfId="7"/>
    <cellStyle name="Millares 2 2" xfId="4"/>
    <cellStyle name="Millares 3" xfId="14"/>
    <cellStyle name="Millares 3 2" xfId="26"/>
    <cellStyle name="Millares 3 3" xfId="13"/>
    <cellStyle name="Millares 4" xfId="16"/>
    <cellStyle name="Moneda" xfId="5" builtinId="4"/>
    <cellStyle name="Moneda [0] 2" xfId="17"/>
    <cellStyle name="Moneda [0] 2 3" xfId="23"/>
    <cellStyle name="Moneda 2" xfId="12"/>
    <cellStyle name="Normal" xfId="0" builtinId="0"/>
    <cellStyle name="Normal 2" xfId="8"/>
    <cellStyle name="Normal 2 2" xfId="19"/>
    <cellStyle name="Normal 2 2 2" xfId="10"/>
    <cellStyle name="Normal 2 2 2 2" xfId="28"/>
    <cellStyle name="Normal 3" xfId="15"/>
    <cellStyle name="Normal 4" xfId="21"/>
    <cellStyle name="Normal 7" xfId="24"/>
    <cellStyle name="Porcentaje" xfId="2" builtinId="5"/>
    <cellStyle name="Porcentaje 2 2" xfId="6"/>
    <cellStyle name="Porcentaje 2 2 2" xfId="3"/>
    <cellStyle name="Porcentaje 2 2 2 2" xfId="22"/>
    <cellStyle name="Porcentaje 2 3" xfId="18"/>
    <cellStyle name="Porcentual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361951</xdr:colOff>
      <xdr:row>0</xdr:row>
      <xdr:rowOff>0</xdr:rowOff>
    </xdr:from>
    <xdr:to>
      <xdr:col>2</xdr:col>
      <xdr:colOff>498408</xdr:colOff>
      <xdr:row>3</xdr:row>
      <xdr:rowOff>190499</xdr:rowOff>
    </xdr:to>
    <xdr:pic>
      <xdr:nvPicPr>
        <xdr:cNvPr id="2" name="Imagen 1" descr="C:\Users\AUXPLANEACION03\Desktop\Gobernacion_del_quindio.jpg">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0"/>
          <a:ext cx="1265850" cy="1006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274864</xdr:colOff>
      <xdr:row>0</xdr:row>
      <xdr:rowOff>0</xdr:rowOff>
    </xdr:from>
    <xdr:to>
      <xdr:col>0</xdr:col>
      <xdr:colOff>1174750</xdr:colOff>
      <xdr:row>3</xdr:row>
      <xdr:rowOff>130628</xdr:rowOff>
    </xdr:to>
    <xdr:pic>
      <xdr:nvPicPr>
        <xdr:cNvPr id="2" name="Imagen 1" descr="C:\Users\AUXPLANEACION03\Desktop\Gobernacion_del_quindio.jpg">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64" y="0"/>
          <a:ext cx="899886" cy="759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217714</xdr:colOff>
      <xdr:row>0</xdr:row>
      <xdr:rowOff>95250</xdr:rowOff>
    </xdr:from>
    <xdr:to>
      <xdr:col>1</xdr:col>
      <xdr:colOff>376918</xdr:colOff>
      <xdr:row>4</xdr:row>
      <xdr:rowOff>85725</xdr:rowOff>
    </xdr:to>
    <xdr:pic>
      <xdr:nvPicPr>
        <xdr:cNvPr id="2" name="Imagen 1" descr="C:\Users\AUXPLANEACION03\Desktop\Gobernacion_del_quindio.jpg">
          <a:extLst>
            <a:ext uri="{FF2B5EF4-FFF2-40B4-BE49-F238E27FC236}">
              <a16:creationId xmlns:a16="http://schemas.microsoft.com/office/drawing/2014/main" xmlns="" id="{4664D591-6C33-42BF-8513-6F4379C7DE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714" y="95250"/>
          <a:ext cx="940254" cy="9048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QUINDIO%202019/EJECUCIONES%202019/SEPTIEMBRE%202019/Planeacion%20sep/rps%2030-09-2019%20plane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XPLANEACION03/Downloads/RECIBIDO%20PROMOTOR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DIEGO%20RAMIREZ\Dropbox\Edades_Simples_1985-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PLANEACION"/>
      <sheetName val="PROYECTO 9"/>
      <sheetName val="PROYECTO 14"/>
      <sheetName val="Recuperado_Hoja1"/>
    </sheetNames>
    <sheetDataSet>
      <sheetData sheetId="0"/>
      <sheetData sheetId="1"/>
      <sheetData sheetId="2">
        <row r="26">
          <cell r="L26">
            <v>17915000</v>
          </cell>
        </row>
        <row r="27">
          <cell r="L27">
            <v>18751400</v>
          </cell>
        </row>
        <row r="35">
          <cell r="L35">
            <v>17915000</v>
          </cell>
        </row>
        <row r="36">
          <cell r="L36">
            <v>18751400</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PROMOTORA"/>
      <sheetName val="POAI SEP 30"/>
      <sheetName val="PLAN DE ACCION SEP 30"/>
      <sheetName val="SEGUIMIENTO PLAN DE ACCIÓN"/>
      <sheetName val="ejeGastos"/>
    </sheetNames>
    <sheetDataSet>
      <sheetData sheetId="0">
        <row r="16">
          <cell r="J16">
            <v>3</v>
          </cell>
        </row>
        <row r="18">
          <cell r="J18">
            <v>4</v>
          </cell>
        </row>
        <row r="19">
          <cell r="J19">
            <v>3</v>
          </cell>
        </row>
        <row r="20">
          <cell r="J20">
            <v>4</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 de edad"/>
      <sheetName val="Edades simples Total"/>
      <sheetName val="Mpios creados &gt; 1985"/>
      <sheetName val="Hoja1"/>
    </sheetNames>
    <sheetDataSet>
      <sheetData sheetId="0" refreshError="1"/>
      <sheetData sheetId="1" refreshError="1"/>
      <sheetData sheetId="2" refreshError="1"/>
      <sheetData sheetId="3" refreshError="1">
        <row r="11">
          <cell r="H11">
            <v>111093.8</v>
          </cell>
        </row>
        <row r="12">
          <cell r="D12">
            <v>271068.87199999997</v>
          </cell>
          <cell r="E12">
            <v>284400.12800000003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7"/>
  <sheetViews>
    <sheetView showGridLines="0" tabSelected="1" topLeftCell="V9" zoomScale="70" zoomScaleNormal="70" workbookViewId="0">
      <selection activeCell="W25" sqref="W25"/>
    </sheetView>
  </sheetViews>
  <sheetFormatPr baseColWidth="10" defaultColWidth="11.42578125" defaultRowHeight="15" x14ac:dyDescent="0.2"/>
  <cols>
    <col min="1" max="1" width="11.5703125" style="134" customWidth="1"/>
    <col min="2" max="2" width="9" style="134" customWidth="1"/>
    <col min="3" max="3" width="14.28515625" style="134" customWidth="1"/>
    <col min="4" max="4" width="14.42578125" style="134" customWidth="1"/>
    <col min="5" max="5" width="6.42578125" style="134" customWidth="1"/>
    <col min="6" max="6" width="16.140625" style="134" customWidth="1"/>
    <col min="7" max="7" width="18.42578125" style="134" customWidth="1"/>
    <col min="8" max="8" width="8.140625" style="134" customWidth="1"/>
    <col min="9" max="9" width="16.140625" style="134" customWidth="1"/>
    <col min="10" max="10" width="11.85546875" style="253" customWidth="1"/>
    <col min="11" max="11" width="29" style="253" customWidth="1"/>
    <col min="12" max="12" width="21.85546875" style="253" customWidth="1"/>
    <col min="13" max="13" width="18.7109375" style="253" customWidth="1"/>
    <col min="14" max="14" width="18.28515625" style="253" customWidth="1"/>
    <col min="15" max="15" width="35" style="253" customWidth="1"/>
    <col min="16" max="16" width="24.7109375" style="253" customWidth="1"/>
    <col min="17" max="17" width="32" style="253" customWidth="1"/>
    <col min="18" max="18" width="13.28515625" style="254" customWidth="1"/>
    <col min="19" max="19" width="27.85546875" style="253" customWidth="1"/>
    <col min="20" max="20" width="40.28515625" style="253" customWidth="1"/>
    <col min="21" max="21" width="49.140625" style="253" customWidth="1"/>
    <col min="22" max="22" width="44.140625" style="253" customWidth="1"/>
    <col min="23" max="25" width="28.7109375" style="134" customWidth="1"/>
    <col min="26" max="26" width="13.28515625" style="134" customWidth="1"/>
    <col min="27" max="27" width="34.7109375" style="134" customWidth="1"/>
    <col min="28" max="30" width="10.7109375" style="134" customWidth="1"/>
    <col min="31" max="31" width="11" style="134" bestFit="1" customWidth="1"/>
    <col min="32" max="32" width="11" style="134" customWidth="1"/>
    <col min="33" max="33" width="9.5703125" style="134" bestFit="1" customWidth="1"/>
    <col min="34" max="34" width="9.5703125" style="134" customWidth="1"/>
    <col min="35" max="35" width="8.7109375" style="134" bestFit="1" customWidth="1"/>
    <col min="36" max="36" width="8.7109375" style="134" customWidth="1"/>
    <col min="37" max="38" width="9.5703125" style="134" customWidth="1"/>
    <col min="39" max="39" width="9" style="134" bestFit="1" customWidth="1"/>
    <col min="40" max="40" width="9" style="134" customWidth="1"/>
    <col min="41" max="41" width="7.28515625" style="134" bestFit="1" customWidth="1"/>
    <col min="42" max="42" width="7.28515625" style="134" customWidth="1"/>
    <col min="43" max="43" width="8.28515625" style="134" bestFit="1" customWidth="1"/>
    <col min="44" max="44" width="8.28515625" style="134" customWidth="1"/>
    <col min="45" max="51" width="6.42578125" style="134" customWidth="1"/>
    <col min="52" max="52" width="9.28515625" style="134" customWidth="1"/>
    <col min="53" max="53" width="8.7109375" style="134" bestFit="1" customWidth="1"/>
    <col min="54" max="54" width="8.7109375" style="134" customWidth="1"/>
    <col min="55" max="55" width="9" style="134" bestFit="1" customWidth="1"/>
    <col min="56" max="56" width="9" style="134" customWidth="1"/>
    <col min="57" max="57" width="9" style="134" bestFit="1" customWidth="1"/>
    <col min="58" max="58" width="10.140625" style="134" customWidth="1"/>
    <col min="59" max="59" width="12.28515625" style="134" customWidth="1"/>
    <col min="60" max="60" width="18.7109375" style="256" customWidth="1"/>
    <col min="61" max="61" width="25.85546875" style="134" customWidth="1"/>
    <col min="62" max="62" width="26.140625" style="134" customWidth="1"/>
    <col min="63" max="63" width="20" style="134" customWidth="1"/>
    <col min="64" max="64" width="25.42578125" style="134" customWidth="1"/>
    <col min="65" max="65" width="19.85546875" style="134" customWidth="1"/>
    <col min="66" max="66" width="15.5703125" style="134" customWidth="1"/>
    <col min="67" max="67" width="17.42578125" style="134" customWidth="1"/>
    <col min="68" max="68" width="18" style="134" customWidth="1"/>
    <col min="69" max="69" width="18.5703125" style="134" customWidth="1"/>
    <col min="70" max="70" width="24.85546875" style="134" customWidth="1"/>
    <col min="71" max="71" width="22.5703125" style="134" customWidth="1"/>
    <col min="72" max="16384" width="11.42578125" style="134"/>
  </cols>
  <sheetData>
    <row r="1" spans="1:70" ht="18" customHeight="1" x14ac:dyDescent="0.25">
      <c r="A1" s="2963" t="s">
        <v>311</v>
      </c>
      <c r="B1" s="2964"/>
      <c r="C1" s="2964"/>
      <c r="D1" s="2964"/>
      <c r="E1" s="2964"/>
      <c r="F1" s="2964"/>
      <c r="G1" s="2964"/>
      <c r="H1" s="2964"/>
      <c r="I1" s="2964"/>
      <c r="J1" s="2964"/>
      <c r="K1" s="2964"/>
      <c r="L1" s="2964"/>
      <c r="M1" s="2964"/>
      <c r="N1" s="2964"/>
      <c r="O1" s="2964"/>
      <c r="P1" s="2964"/>
      <c r="Q1" s="2964"/>
      <c r="R1" s="2964"/>
      <c r="S1" s="2964"/>
      <c r="T1" s="2964"/>
      <c r="U1" s="2964"/>
      <c r="V1" s="2964"/>
      <c r="W1" s="2964"/>
      <c r="X1" s="2964"/>
      <c r="Y1" s="2964"/>
      <c r="Z1" s="2964"/>
      <c r="AA1" s="2964"/>
      <c r="AB1" s="2964"/>
      <c r="AC1" s="2964"/>
      <c r="AD1" s="2964"/>
      <c r="AE1" s="2964"/>
      <c r="AF1" s="2964"/>
      <c r="AG1" s="2964"/>
      <c r="AH1" s="2964"/>
      <c r="AI1" s="2964"/>
      <c r="AJ1" s="2964"/>
      <c r="AK1" s="2964"/>
      <c r="AL1" s="2964"/>
      <c r="AM1" s="2964"/>
      <c r="AN1" s="2964"/>
      <c r="AO1" s="2964"/>
      <c r="AP1" s="2964"/>
      <c r="AQ1" s="2964"/>
      <c r="AR1" s="2964"/>
      <c r="AS1" s="2964"/>
      <c r="AT1" s="2964"/>
      <c r="AU1" s="2964"/>
      <c r="AV1" s="2964"/>
      <c r="AW1" s="2964"/>
      <c r="AX1" s="2964"/>
      <c r="AY1" s="2964"/>
      <c r="AZ1" s="2964"/>
      <c r="BA1" s="2964"/>
      <c r="BB1" s="2964"/>
      <c r="BC1" s="2964"/>
      <c r="BD1" s="2964"/>
      <c r="BE1" s="2964"/>
      <c r="BF1" s="2964"/>
      <c r="BG1" s="2964"/>
      <c r="BH1" s="2964"/>
      <c r="BI1" s="2964"/>
      <c r="BJ1" s="2964"/>
      <c r="BK1" s="2964"/>
      <c r="BL1" s="2964"/>
      <c r="BM1" s="2964"/>
      <c r="BN1" s="2964"/>
      <c r="BO1" s="513"/>
      <c r="BP1" s="514"/>
      <c r="BQ1" s="515" t="s">
        <v>0</v>
      </c>
      <c r="BR1" s="516" t="s">
        <v>1</v>
      </c>
    </row>
    <row r="2" spans="1:70" ht="20.25" customHeight="1" x14ac:dyDescent="0.25">
      <c r="A2" s="2965"/>
      <c r="B2" s="2966"/>
      <c r="C2" s="2966"/>
      <c r="D2" s="2966"/>
      <c r="E2" s="2966"/>
      <c r="F2" s="2966"/>
      <c r="G2" s="2966"/>
      <c r="H2" s="2966"/>
      <c r="I2" s="2966"/>
      <c r="J2" s="2966"/>
      <c r="K2" s="2966"/>
      <c r="L2" s="2966"/>
      <c r="M2" s="2966"/>
      <c r="N2" s="2966"/>
      <c r="O2" s="2966"/>
      <c r="P2" s="2966"/>
      <c r="Q2" s="2966"/>
      <c r="R2" s="2966"/>
      <c r="S2" s="2966"/>
      <c r="T2" s="2966"/>
      <c r="U2" s="2966"/>
      <c r="V2" s="2966"/>
      <c r="W2" s="2966"/>
      <c r="X2" s="2966"/>
      <c r="Y2" s="2966"/>
      <c r="Z2" s="2966"/>
      <c r="AA2" s="2966"/>
      <c r="AB2" s="2966"/>
      <c r="AC2" s="2966"/>
      <c r="AD2" s="2966"/>
      <c r="AE2" s="2966"/>
      <c r="AF2" s="2966"/>
      <c r="AG2" s="2966"/>
      <c r="AH2" s="2966"/>
      <c r="AI2" s="2966"/>
      <c r="AJ2" s="2966"/>
      <c r="AK2" s="2966"/>
      <c r="AL2" s="2966"/>
      <c r="AM2" s="2966"/>
      <c r="AN2" s="2966"/>
      <c r="AO2" s="2966"/>
      <c r="AP2" s="2966"/>
      <c r="AQ2" s="2966"/>
      <c r="AR2" s="2966"/>
      <c r="AS2" s="2966"/>
      <c r="AT2" s="2966"/>
      <c r="AU2" s="2966"/>
      <c r="AV2" s="2966"/>
      <c r="AW2" s="2966"/>
      <c r="AX2" s="2966"/>
      <c r="AY2" s="2966"/>
      <c r="AZ2" s="2966"/>
      <c r="BA2" s="2966"/>
      <c r="BB2" s="2966"/>
      <c r="BC2" s="2966"/>
      <c r="BD2" s="2966"/>
      <c r="BE2" s="2966"/>
      <c r="BF2" s="2966"/>
      <c r="BG2" s="2966"/>
      <c r="BH2" s="2966"/>
      <c r="BI2" s="2966"/>
      <c r="BJ2" s="2966"/>
      <c r="BK2" s="2966"/>
      <c r="BL2" s="2966"/>
      <c r="BM2" s="2966"/>
      <c r="BN2" s="2966"/>
      <c r="BO2" s="517"/>
      <c r="BP2" s="518"/>
      <c r="BQ2" s="133" t="s">
        <v>2</v>
      </c>
      <c r="BR2" s="519">
        <v>6</v>
      </c>
    </row>
    <row r="3" spans="1:70" ht="22.5" customHeight="1" x14ac:dyDescent="0.25">
      <c r="A3" s="2965"/>
      <c r="B3" s="2966"/>
      <c r="C3" s="2966"/>
      <c r="D3" s="2966"/>
      <c r="E3" s="2966"/>
      <c r="F3" s="2966"/>
      <c r="G3" s="2966"/>
      <c r="H3" s="2966"/>
      <c r="I3" s="2966"/>
      <c r="J3" s="2966"/>
      <c r="K3" s="2966"/>
      <c r="L3" s="2966"/>
      <c r="M3" s="2966"/>
      <c r="N3" s="2966"/>
      <c r="O3" s="2966"/>
      <c r="P3" s="2966"/>
      <c r="Q3" s="2966"/>
      <c r="R3" s="2966"/>
      <c r="S3" s="2966"/>
      <c r="T3" s="2966"/>
      <c r="U3" s="2966"/>
      <c r="V3" s="2966"/>
      <c r="W3" s="2966"/>
      <c r="X3" s="2966"/>
      <c r="Y3" s="2966"/>
      <c r="Z3" s="2966"/>
      <c r="AA3" s="2966"/>
      <c r="AB3" s="2966"/>
      <c r="AC3" s="2966"/>
      <c r="AD3" s="2966"/>
      <c r="AE3" s="2966"/>
      <c r="AF3" s="2966"/>
      <c r="AG3" s="2966"/>
      <c r="AH3" s="2966"/>
      <c r="AI3" s="2966"/>
      <c r="AJ3" s="2966"/>
      <c r="AK3" s="2966"/>
      <c r="AL3" s="2966"/>
      <c r="AM3" s="2966"/>
      <c r="AN3" s="2966"/>
      <c r="AO3" s="2966"/>
      <c r="AP3" s="2966"/>
      <c r="AQ3" s="2966"/>
      <c r="AR3" s="2966"/>
      <c r="AS3" s="2966"/>
      <c r="AT3" s="2966"/>
      <c r="AU3" s="2966"/>
      <c r="AV3" s="2966"/>
      <c r="AW3" s="2966"/>
      <c r="AX3" s="2966"/>
      <c r="AY3" s="2966"/>
      <c r="AZ3" s="2966"/>
      <c r="BA3" s="2966"/>
      <c r="BB3" s="2966"/>
      <c r="BC3" s="2966"/>
      <c r="BD3" s="2966"/>
      <c r="BE3" s="2966"/>
      <c r="BF3" s="2966"/>
      <c r="BG3" s="2966"/>
      <c r="BH3" s="2966"/>
      <c r="BI3" s="2966"/>
      <c r="BJ3" s="2966"/>
      <c r="BK3" s="2966"/>
      <c r="BL3" s="2966"/>
      <c r="BM3" s="2966"/>
      <c r="BN3" s="2966"/>
      <c r="BO3" s="517"/>
      <c r="BP3" s="518"/>
      <c r="BQ3" s="132" t="s">
        <v>3</v>
      </c>
      <c r="BR3" s="520" t="s">
        <v>4</v>
      </c>
    </row>
    <row r="4" spans="1:70" ht="17.25" customHeight="1" x14ac:dyDescent="0.2">
      <c r="A4" s="2967"/>
      <c r="B4" s="2968"/>
      <c r="C4" s="2968"/>
      <c r="D4" s="2968"/>
      <c r="E4" s="2968"/>
      <c r="F4" s="2968"/>
      <c r="G4" s="2968"/>
      <c r="H4" s="2968"/>
      <c r="I4" s="2968"/>
      <c r="J4" s="2968"/>
      <c r="K4" s="2968"/>
      <c r="L4" s="2968"/>
      <c r="M4" s="2968"/>
      <c r="N4" s="2968"/>
      <c r="O4" s="2968"/>
      <c r="P4" s="2968"/>
      <c r="Q4" s="2968"/>
      <c r="R4" s="2968"/>
      <c r="S4" s="2968"/>
      <c r="T4" s="2968"/>
      <c r="U4" s="2968"/>
      <c r="V4" s="2968"/>
      <c r="W4" s="2968"/>
      <c r="X4" s="2968"/>
      <c r="Y4" s="2968"/>
      <c r="Z4" s="2968"/>
      <c r="AA4" s="2968"/>
      <c r="AB4" s="2968"/>
      <c r="AC4" s="2968"/>
      <c r="AD4" s="2968"/>
      <c r="AE4" s="2968"/>
      <c r="AF4" s="2968"/>
      <c r="AG4" s="2968"/>
      <c r="AH4" s="2968"/>
      <c r="AI4" s="2968"/>
      <c r="AJ4" s="2968"/>
      <c r="AK4" s="2968"/>
      <c r="AL4" s="2968"/>
      <c r="AM4" s="2968"/>
      <c r="AN4" s="2968"/>
      <c r="AO4" s="2968"/>
      <c r="AP4" s="2968"/>
      <c r="AQ4" s="2968"/>
      <c r="AR4" s="2968"/>
      <c r="AS4" s="2968"/>
      <c r="AT4" s="2968"/>
      <c r="AU4" s="2968"/>
      <c r="AV4" s="2968"/>
      <c r="AW4" s="2968"/>
      <c r="AX4" s="2968"/>
      <c r="AY4" s="2968"/>
      <c r="AZ4" s="2968"/>
      <c r="BA4" s="2968"/>
      <c r="BB4" s="2968"/>
      <c r="BC4" s="2968"/>
      <c r="BD4" s="2968"/>
      <c r="BE4" s="2968"/>
      <c r="BF4" s="2968"/>
      <c r="BG4" s="2968"/>
      <c r="BH4" s="2968"/>
      <c r="BI4" s="2968"/>
      <c r="BJ4" s="2968"/>
      <c r="BK4" s="2968"/>
      <c r="BL4" s="2968"/>
      <c r="BM4" s="2968"/>
      <c r="BN4" s="2968"/>
      <c r="BO4" s="471"/>
      <c r="BP4" s="518"/>
      <c r="BQ4" s="132" t="s">
        <v>5</v>
      </c>
      <c r="BR4" s="521" t="s">
        <v>6</v>
      </c>
    </row>
    <row r="5" spans="1:70" ht="17.25" customHeight="1" x14ac:dyDescent="0.2">
      <c r="A5" s="2969" t="s">
        <v>7</v>
      </c>
      <c r="B5" s="2970"/>
      <c r="C5" s="2970"/>
      <c r="D5" s="2970"/>
      <c r="E5" s="2970"/>
      <c r="F5" s="2970"/>
      <c r="G5" s="2970"/>
      <c r="H5" s="2970"/>
      <c r="I5" s="2970"/>
      <c r="J5" s="2970"/>
      <c r="K5" s="2970"/>
      <c r="L5" s="2970"/>
      <c r="M5" s="2970"/>
      <c r="N5" s="472"/>
      <c r="O5" s="2973" t="s">
        <v>8</v>
      </c>
      <c r="P5" s="2973"/>
      <c r="Q5" s="2973"/>
      <c r="R5" s="2973"/>
      <c r="S5" s="2973"/>
      <c r="T5" s="2973"/>
      <c r="U5" s="2973"/>
      <c r="V5" s="2973"/>
      <c r="W5" s="2973"/>
      <c r="X5" s="2973"/>
      <c r="Y5" s="2973"/>
      <c r="Z5" s="2973"/>
      <c r="AA5" s="2973"/>
      <c r="AB5" s="2973"/>
      <c r="AC5" s="2973"/>
      <c r="AD5" s="2973"/>
      <c r="AE5" s="2973"/>
      <c r="AF5" s="2973"/>
      <c r="AG5" s="2973"/>
      <c r="AH5" s="2973"/>
      <c r="AI5" s="2973"/>
      <c r="AJ5" s="2973"/>
      <c r="AK5" s="2973"/>
      <c r="AL5" s="2973"/>
      <c r="AM5" s="2973"/>
      <c r="AN5" s="2973"/>
      <c r="AO5" s="2973"/>
      <c r="AP5" s="2973"/>
      <c r="AQ5" s="2973"/>
      <c r="AR5" s="2973"/>
      <c r="AS5" s="2973"/>
      <c r="AT5" s="2973"/>
      <c r="AU5" s="2973"/>
      <c r="AV5" s="2973"/>
      <c r="AW5" s="2973"/>
      <c r="AX5" s="2973"/>
      <c r="AY5" s="2973"/>
      <c r="AZ5" s="2973"/>
      <c r="BA5" s="2973"/>
      <c r="BB5" s="2973"/>
      <c r="BC5" s="2973"/>
      <c r="BD5" s="2973"/>
      <c r="BE5" s="2973"/>
      <c r="BF5" s="2973"/>
      <c r="BG5" s="2973"/>
      <c r="BH5" s="2973"/>
      <c r="BI5" s="2973"/>
      <c r="BJ5" s="2973"/>
      <c r="BK5" s="2973"/>
      <c r="BL5" s="2973"/>
      <c r="BM5" s="2973"/>
      <c r="BN5" s="2973"/>
      <c r="BO5" s="2973"/>
      <c r="BP5" s="2973"/>
      <c r="BQ5" s="2973"/>
      <c r="BR5" s="2974"/>
    </row>
    <row r="6" spans="1:70" ht="12.75" customHeight="1" x14ac:dyDescent="0.2">
      <c r="A6" s="2971"/>
      <c r="B6" s="2972"/>
      <c r="C6" s="2972"/>
      <c r="D6" s="2972"/>
      <c r="E6" s="2972"/>
      <c r="F6" s="2972"/>
      <c r="G6" s="2972"/>
      <c r="H6" s="2972"/>
      <c r="I6" s="2972"/>
      <c r="J6" s="2972"/>
      <c r="K6" s="2972"/>
      <c r="L6" s="2972"/>
      <c r="M6" s="2972"/>
      <c r="N6" s="473"/>
      <c r="O6" s="135"/>
      <c r="P6" s="136"/>
      <c r="Q6" s="136"/>
      <c r="R6" s="137"/>
      <c r="S6" s="136"/>
      <c r="T6" s="136"/>
      <c r="U6" s="136"/>
      <c r="V6" s="136"/>
      <c r="W6" s="138"/>
      <c r="X6" s="138"/>
      <c r="Y6" s="138"/>
      <c r="Z6" s="138"/>
      <c r="AA6" s="138"/>
      <c r="AB6" s="2975" t="s">
        <v>107</v>
      </c>
      <c r="AC6" s="2972"/>
      <c r="AD6" s="2972"/>
      <c r="AE6" s="2972"/>
      <c r="AF6" s="2972"/>
      <c r="AG6" s="2972"/>
      <c r="AH6" s="2972"/>
      <c r="AI6" s="2972"/>
      <c r="AJ6" s="2972"/>
      <c r="AK6" s="2972"/>
      <c r="AL6" s="2972"/>
      <c r="AM6" s="2972"/>
      <c r="AN6" s="2972"/>
      <c r="AO6" s="2972"/>
      <c r="AP6" s="2972"/>
      <c r="AQ6" s="2972"/>
      <c r="AR6" s="2972"/>
      <c r="AS6" s="2972"/>
      <c r="AT6" s="2972"/>
      <c r="AU6" s="2972"/>
      <c r="AV6" s="2972"/>
      <c r="AW6" s="2972"/>
      <c r="AX6" s="2972"/>
      <c r="AY6" s="2972"/>
      <c r="AZ6" s="2972"/>
      <c r="BA6" s="2972"/>
      <c r="BB6" s="2972"/>
      <c r="BC6" s="2972"/>
      <c r="BD6" s="2972"/>
      <c r="BE6" s="2976"/>
      <c r="BF6" s="473"/>
      <c r="BG6" s="473"/>
      <c r="BH6" s="473"/>
      <c r="BI6" s="473"/>
      <c r="BJ6" s="473"/>
      <c r="BK6" s="473"/>
      <c r="BL6" s="473"/>
      <c r="BM6" s="473"/>
      <c r="BN6" s="138"/>
      <c r="BO6" s="138"/>
      <c r="BP6" s="138"/>
      <c r="BQ6" s="138"/>
      <c r="BR6" s="522"/>
    </row>
    <row r="7" spans="1:70" ht="15.75" customHeight="1" x14ac:dyDescent="0.2">
      <c r="A7" s="2977" t="s">
        <v>0</v>
      </c>
      <c r="B7" s="2930" t="s">
        <v>9</v>
      </c>
      <c r="C7" s="2954"/>
      <c r="D7" s="2924" t="s">
        <v>0</v>
      </c>
      <c r="E7" s="2930" t="s">
        <v>10</v>
      </c>
      <c r="F7" s="2954"/>
      <c r="G7" s="2930" t="s">
        <v>0</v>
      </c>
      <c r="H7" s="2930" t="s">
        <v>11</v>
      </c>
      <c r="I7" s="2954"/>
      <c r="J7" s="2924" t="s">
        <v>0</v>
      </c>
      <c r="K7" s="2930" t="s">
        <v>12</v>
      </c>
      <c r="L7" s="2924" t="s">
        <v>13</v>
      </c>
      <c r="M7" s="2930" t="s">
        <v>14</v>
      </c>
      <c r="N7" s="2955"/>
      <c r="O7" s="2930" t="s">
        <v>15</v>
      </c>
      <c r="P7" s="2924" t="s">
        <v>108</v>
      </c>
      <c r="Q7" s="2924" t="s">
        <v>8</v>
      </c>
      <c r="R7" s="2926" t="s">
        <v>17</v>
      </c>
      <c r="S7" s="2928" t="s">
        <v>18</v>
      </c>
      <c r="T7" s="2924" t="s">
        <v>19</v>
      </c>
      <c r="U7" s="2924" t="s">
        <v>20</v>
      </c>
      <c r="V7" s="2924" t="s">
        <v>21</v>
      </c>
      <c r="W7" s="2930" t="s">
        <v>18</v>
      </c>
      <c r="X7" s="2954"/>
      <c r="Y7" s="2955"/>
      <c r="Z7" s="2960" t="s">
        <v>0</v>
      </c>
      <c r="AA7" s="2924" t="s">
        <v>22</v>
      </c>
      <c r="AB7" s="2940" t="s">
        <v>23</v>
      </c>
      <c r="AC7" s="2941"/>
      <c r="AD7" s="2941"/>
      <c r="AE7" s="2941"/>
      <c r="AF7" s="2942" t="s">
        <v>24</v>
      </c>
      <c r="AG7" s="2943"/>
      <c r="AH7" s="2943"/>
      <c r="AI7" s="2943"/>
      <c r="AJ7" s="2943"/>
      <c r="AK7" s="2943"/>
      <c r="AL7" s="2943"/>
      <c r="AM7" s="2943"/>
      <c r="AN7" s="2944" t="s">
        <v>25</v>
      </c>
      <c r="AO7" s="2945"/>
      <c r="AP7" s="2945"/>
      <c r="AQ7" s="2945"/>
      <c r="AR7" s="2945"/>
      <c r="AS7" s="2945"/>
      <c r="AT7" s="2945"/>
      <c r="AU7" s="2945"/>
      <c r="AV7" s="2945"/>
      <c r="AW7" s="2945"/>
      <c r="AX7" s="2945"/>
      <c r="AY7" s="2945"/>
      <c r="AZ7" s="2943" t="s">
        <v>26</v>
      </c>
      <c r="BA7" s="2943"/>
      <c r="BB7" s="2943"/>
      <c r="BC7" s="2943"/>
      <c r="BD7" s="2943"/>
      <c r="BE7" s="2946"/>
      <c r="BF7" s="2947" t="s">
        <v>27</v>
      </c>
      <c r="BG7" s="2948"/>
      <c r="BH7" s="2979" t="s">
        <v>28</v>
      </c>
      <c r="BI7" s="2980"/>
      <c r="BJ7" s="2980"/>
      <c r="BK7" s="2980"/>
      <c r="BL7" s="2980"/>
      <c r="BM7" s="2981"/>
      <c r="BN7" s="2982" t="s">
        <v>29</v>
      </c>
      <c r="BO7" s="2983"/>
      <c r="BP7" s="2982" t="s">
        <v>30</v>
      </c>
      <c r="BQ7" s="2983"/>
      <c r="BR7" s="2988" t="s">
        <v>31</v>
      </c>
    </row>
    <row r="8" spans="1:70" ht="15" customHeight="1" x14ac:dyDescent="0.2">
      <c r="A8" s="2978"/>
      <c r="B8" s="2931"/>
      <c r="C8" s="2956"/>
      <c r="D8" s="2925"/>
      <c r="E8" s="2931"/>
      <c r="F8" s="2956"/>
      <c r="G8" s="2931"/>
      <c r="H8" s="2931"/>
      <c r="I8" s="2956"/>
      <c r="J8" s="2925"/>
      <c r="K8" s="2931"/>
      <c r="L8" s="2925"/>
      <c r="M8" s="2931"/>
      <c r="N8" s="2939"/>
      <c r="O8" s="2931"/>
      <c r="P8" s="2925"/>
      <c r="Q8" s="2925"/>
      <c r="R8" s="2927"/>
      <c r="S8" s="2929"/>
      <c r="T8" s="2925"/>
      <c r="U8" s="2925"/>
      <c r="V8" s="2925"/>
      <c r="W8" s="2931"/>
      <c r="X8" s="2956"/>
      <c r="Y8" s="2939"/>
      <c r="Z8" s="2961"/>
      <c r="AA8" s="2939"/>
      <c r="AB8" s="2933" t="s">
        <v>37</v>
      </c>
      <c r="AC8" s="2934"/>
      <c r="AD8" s="2991" t="s">
        <v>38</v>
      </c>
      <c r="AE8" s="2992"/>
      <c r="AF8" s="2933" t="s">
        <v>39</v>
      </c>
      <c r="AG8" s="2934"/>
      <c r="AH8" s="2933" t="s">
        <v>109</v>
      </c>
      <c r="AI8" s="2934"/>
      <c r="AJ8" s="2933" t="s">
        <v>110</v>
      </c>
      <c r="AK8" s="2934"/>
      <c r="AL8" s="2933" t="s">
        <v>111</v>
      </c>
      <c r="AM8" s="2934"/>
      <c r="AN8" s="2933" t="s">
        <v>43</v>
      </c>
      <c r="AO8" s="2934"/>
      <c r="AP8" s="2933" t="s">
        <v>44</v>
      </c>
      <c r="AQ8" s="2934"/>
      <c r="AR8" s="2933" t="s">
        <v>45</v>
      </c>
      <c r="AS8" s="2934"/>
      <c r="AT8" s="2933" t="s">
        <v>46</v>
      </c>
      <c r="AU8" s="2934"/>
      <c r="AV8" s="2933" t="s">
        <v>47</v>
      </c>
      <c r="AW8" s="2934"/>
      <c r="AX8" s="2933" t="s">
        <v>48</v>
      </c>
      <c r="AY8" s="2934"/>
      <c r="AZ8" s="2933" t="s">
        <v>49</v>
      </c>
      <c r="BA8" s="2934"/>
      <c r="BB8" s="2933" t="s">
        <v>50</v>
      </c>
      <c r="BC8" s="2934"/>
      <c r="BD8" s="2933" t="s">
        <v>51</v>
      </c>
      <c r="BE8" s="2934"/>
      <c r="BF8" s="2949"/>
      <c r="BG8" s="2950"/>
      <c r="BH8" s="2919" t="s">
        <v>112</v>
      </c>
      <c r="BI8" s="2932" t="s">
        <v>53</v>
      </c>
      <c r="BJ8" s="2932" t="s">
        <v>54</v>
      </c>
      <c r="BK8" s="2918" t="s">
        <v>55</v>
      </c>
      <c r="BL8" s="2919" t="s">
        <v>56</v>
      </c>
      <c r="BM8" s="2919" t="s">
        <v>57</v>
      </c>
      <c r="BN8" s="2984"/>
      <c r="BO8" s="2985"/>
      <c r="BP8" s="2984"/>
      <c r="BQ8" s="2985"/>
      <c r="BR8" s="2989"/>
    </row>
    <row r="9" spans="1:70" ht="32.25" customHeight="1" x14ac:dyDescent="0.2">
      <c r="A9" s="2978"/>
      <c r="B9" s="2931"/>
      <c r="C9" s="2956"/>
      <c r="D9" s="2925"/>
      <c r="E9" s="2931"/>
      <c r="F9" s="2956"/>
      <c r="G9" s="2931"/>
      <c r="H9" s="2931"/>
      <c r="I9" s="2956"/>
      <c r="J9" s="2925"/>
      <c r="K9" s="2931"/>
      <c r="L9" s="2925"/>
      <c r="M9" s="2931"/>
      <c r="N9" s="2939"/>
      <c r="O9" s="2931"/>
      <c r="P9" s="2925"/>
      <c r="Q9" s="2925"/>
      <c r="R9" s="2927"/>
      <c r="S9" s="2929"/>
      <c r="T9" s="2925"/>
      <c r="U9" s="2925"/>
      <c r="V9" s="2925"/>
      <c r="W9" s="2957"/>
      <c r="X9" s="2958"/>
      <c r="Y9" s="2959"/>
      <c r="Z9" s="2961"/>
      <c r="AA9" s="2939"/>
      <c r="AB9" s="2935"/>
      <c r="AC9" s="2936"/>
      <c r="AD9" s="2993"/>
      <c r="AE9" s="2994"/>
      <c r="AF9" s="2935"/>
      <c r="AG9" s="2936"/>
      <c r="AH9" s="2935"/>
      <c r="AI9" s="2936"/>
      <c r="AJ9" s="2935"/>
      <c r="AK9" s="2936"/>
      <c r="AL9" s="2935"/>
      <c r="AM9" s="2936"/>
      <c r="AN9" s="2935"/>
      <c r="AO9" s="2936"/>
      <c r="AP9" s="2935"/>
      <c r="AQ9" s="2936"/>
      <c r="AR9" s="2935"/>
      <c r="AS9" s="2936"/>
      <c r="AT9" s="2935"/>
      <c r="AU9" s="2936"/>
      <c r="AV9" s="2935"/>
      <c r="AW9" s="2936"/>
      <c r="AX9" s="2935"/>
      <c r="AY9" s="2936"/>
      <c r="AZ9" s="2935"/>
      <c r="BA9" s="2936"/>
      <c r="BB9" s="2935"/>
      <c r="BC9" s="2936"/>
      <c r="BD9" s="2935"/>
      <c r="BE9" s="2936"/>
      <c r="BF9" s="2949"/>
      <c r="BG9" s="2950"/>
      <c r="BH9" s="2919"/>
      <c r="BI9" s="2932"/>
      <c r="BJ9" s="2932"/>
      <c r="BK9" s="2918"/>
      <c r="BL9" s="2919"/>
      <c r="BM9" s="2919"/>
      <c r="BN9" s="2984"/>
      <c r="BO9" s="2985"/>
      <c r="BP9" s="2984"/>
      <c r="BQ9" s="2985"/>
      <c r="BR9" s="2989"/>
    </row>
    <row r="10" spans="1:70" ht="38.25" customHeight="1" x14ac:dyDescent="0.2">
      <c r="A10" s="2978"/>
      <c r="B10" s="2931"/>
      <c r="C10" s="2956"/>
      <c r="D10" s="2925"/>
      <c r="E10" s="2931"/>
      <c r="F10" s="2956"/>
      <c r="G10" s="2931"/>
      <c r="H10" s="2931"/>
      <c r="I10" s="2956"/>
      <c r="J10" s="2925"/>
      <c r="K10" s="2931"/>
      <c r="L10" s="2925"/>
      <c r="M10" s="2931"/>
      <c r="N10" s="2939"/>
      <c r="O10" s="2931"/>
      <c r="P10" s="2925"/>
      <c r="Q10" s="2925"/>
      <c r="R10" s="2927"/>
      <c r="S10" s="2929"/>
      <c r="T10" s="2925"/>
      <c r="U10" s="2925"/>
      <c r="V10" s="2925"/>
      <c r="W10" s="2953" t="s">
        <v>34</v>
      </c>
      <c r="X10" s="2919" t="s">
        <v>35</v>
      </c>
      <c r="Y10" s="2919" t="s">
        <v>36</v>
      </c>
      <c r="Z10" s="2961"/>
      <c r="AA10" s="2939"/>
      <c r="AB10" s="2935"/>
      <c r="AC10" s="2936"/>
      <c r="AD10" s="2993"/>
      <c r="AE10" s="2994"/>
      <c r="AF10" s="2935"/>
      <c r="AG10" s="2936"/>
      <c r="AH10" s="2935"/>
      <c r="AI10" s="2936"/>
      <c r="AJ10" s="2935"/>
      <c r="AK10" s="2936"/>
      <c r="AL10" s="2935"/>
      <c r="AM10" s="2936"/>
      <c r="AN10" s="2935"/>
      <c r="AO10" s="2936"/>
      <c r="AP10" s="2935"/>
      <c r="AQ10" s="2936"/>
      <c r="AR10" s="2935"/>
      <c r="AS10" s="2936"/>
      <c r="AT10" s="2935"/>
      <c r="AU10" s="2936"/>
      <c r="AV10" s="2935"/>
      <c r="AW10" s="2936"/>
      <c r="AX10" s="2935"/>
      <c r="AY10" s="2936"/>
      <c r="AZ10" s="2935"/>
      <c r="BA10" s="2936"/>
      <c r="BB10" s="2935"/>
      <c r="BC10" s="2936"/>
      <c r="BD10" s="2935"/>
      <c r="BE10" s="2936"/>
      <c r="BF10" s="2949"/>
      <c r="BG10" s="2950"/>
      <c r="BH10" s="2919"/>
      <c r="BI10" s="2932"/>
      <c r="BJ10" s="2932"/>
      <c r="BK10" s="2918"/>
      <c r="BL10" s="2919"/>
      <c r="BM10" s="2919"/>
      <c r="BN10" s="2984"/>
      <c r="BO10" s="2985"/>
      <c r="BP10" s="2984"/>
      <c r="BQ10" s="2985"/>
      <c r="BR10" s="2989"/>
    </row>
    <row r="11" spans="1:70" ht="15" customHeight="1" x14ac:dyDescent="0.2">
      <c r="A11" s="2978"/>
      <c r="B11" s="2931"/>
      <c r="C11" s="2956"/>
      <c r="D11" s="2925"/>
      <c r="E11" s="2931"/>
      <c r="F11" s="2956"/>
      <c r="G11" s="2931"/>
      <c r="H11" s="2931"/>
      <c r="I11" s="2956"/>
      <c r="J11" s="2925"/>
      <c r="K11" s="2931"/>
      <c r="L11" s="2925"/>
      <c r="M11" s="2931"/>
      <c r="N11" s="2939"/>
      <c r="O11" s="2931"/>
      <c r="P11" s="2925"/>
      <c r="Q11" s="2925"/>
      <c r="R11" s="2927"/>
      <c r="S11" s="2929"/>
      <c r="T11" s="2925"/>
      <c r="U11" s="2925"/>
      <c r="V11" s="2925"/>
      <c r="W11" s="2953"/>
      <c r="X11" s="2919"/>
      <c r="Y11" s="2919"/>
      <c r="Z11" s="2961"/>
      <c r="AA11" s="2939"/>
      <c r="AB11" s="2935"/>
      <c r="AC11" s="2936"/>
      <c r="AD11" s="2993"/>
      <c r="AE11" s="2994"/>
      <c r="AF11" s="2935"/>
      <c r="AG11" s="2936"/>
      <c r="AH11" s="2935"/>
      <c r="AI11" s="2936"/>
      <c r="AJ11" s="2935"/>
      <c r="AK11" s="2936"/>
      <c r="AL11" s="2935"/>
      <c r="AM11" s="2936"/>
      <c r="AN11" s="2935"/>
      <c r="AO11" s="2936"/>
      <c r="AP11" s="2935"/>
      <c r="AQ11" s="2936"/>
      <c r="AR11" s="2935"/>
      <c r="AS11" s="2936"/>
      <c r="AT11" s="2935"/>
      <c r="AU11" s="2936"/>
      <c r="AV11" s="2935"/>
      <c r="AW11" s="2936"/>
      <c r="AX11" s="2935"/>
      <c r="AY11" s="2936"/>
      <c r="AZ11" s="2935"/>
      <c r="BA11" s="2936"/>
      <c r="BB11" s="2935"/>
      <c r="BC11" s="2936"/>
      <c r="BD11" s="2935"/>
      <c r="BE11" s="2936"/>
      <c r="BF11" s="2949"/>
      <c r="BG11" s="2950"/>
      <c r="BH11" s="2919"/>
      <c r="BI11" s="2932"/>
      <c r="BJ11" s="2932"/>
      <c r="BK11" s="2918"/>
      <c r="BL11" s="2919"/>
      <c r="BM11" s="2919"/>
      <c r="BN11" s="2984"/>
      <c r="BO11" s="2985"/>
      <c r="BP11" s="2984"/>
      <c r="BQ11" s="2985"/>
      <c r="BR11" s="2989"/>
    </row>
    <row r="12" spans="1:70" ht="15" customHeight="1" x14ac:dyDescent="0.2">
      <c r="A12" s="2978"/>
      <c r="B12" s="2931"/>
      <c r="C12" s="2956"/>
      <c r="D12" s="2925"/>
      <c r="E12" s="2931"/>
      <c r="F12" s="2956"/>
      <c r="G12" s="2931"/>
      <c r="H12" s="2931"/>
      <c r="I12" s="2956"/>
      <c r="J12" s="2925"/>
      <c r="K12" s="2931"/>
      <c r="L12" s="2925"/>
      <c r="M12" s="2957"/>
      <c r="N12" s="2959"/>
      <c r="O12" s="2931"/>
      <c r="P12" s="2925"/>
      <c r="Q12" s="2925"/>
      <c r="R12" s="2927"/>
      <c r="S12" s="2929"/>
      <c r="T12" s="2925"/>
      <c r="U12" s="2925"/>
      <c r="V12" s="2925"/>
      <c r="W12" s="2953"/>
      <c r="X12" s="2919"/>
      <c r="Y12" s="2919"/>
      <c r="Z12" s="2961"/>
      <c r="AA12" s="2939"/>
      <c r="AB12" s="2937"/>
      <c r="AC12" s="2938"/>
      <c r="AD12" s="2995"/>
      <c r="AE12" s="2996"/>
      <c r="AF12" s="2937"/>
      <c r="AG12" s="2938"/>
      <c r="AH12" s="2937"/>
      <c r="AI12" s="2938"/>
      <c r="AJ12" s="2937"/>
      <c r="AK12" s="2938"/>
      <c r="AL12" s="2937"/>
      <c r="AM12" s="2938"/>
      <c r="AN12" s="2937"/>
      <c r="AO12" s="2938"/>
      <c r="AP12" s="2937"/>
      <c r="AQ12" s="2938"/>
      <c r="AR12" s="2937"/>
      <c r="AS12" s="2938"/>
      <c r="AT12" s="2937"/>
      <c r="AU12" s="2938"/>
      <c r="AV12" s="2937"/>
      <c r="AW12" s="2938"/>
      <c r="AX12" s="2937"/>
      <c r="AY12" s="2938"/>
      <c r="AZ12" s="2937"/>
      <c r="BA12" s="2938"/>
      <c r="BB12" s="2937"/>
      <c r="BC12" s="2938"/>
      <c r="BD12" s="2937"/>
      <c r="BE12" s="2938"/>
      <c r="BF12" s="2951"/>
      <c r="BG12" s="2952"/>
      <c r="BH12" s="2919"/>
      <c r="BI12" s="2932"/>
      <c r="BJ12" s="2932"/>
      <c r="BK12" s="2918"/>
      <c r="BL12" s="2919"/>
      <c r="BM12" s="2919"/>
      <c r="BN12" s="2986"/>
      <c r="BO12" s="2987"/>
      <c r="BP12" s="2986"/>
      <c r="BQ12" s="2987"/>
      <c r="BR12" s="2990"/>
    </row>
    <row r="13" spans="1:70" ht="15" customHeight="1" x14ac:dyDescent="0.2">
      <c r="A13" s="523"/>
      <c r="B13" s="509"/>
      <c r="C13" s="510"/>
      <c r="D13" s="505"/>
      <c r="E13" s="509"/>
      <c r="F13" s="510"/>
      <c r="G13" s="509"/>
      <c r="H13" s="509"/>
      <c r="I13" s="510"/>
      <c r="J13" s="505"/>
      <c r="K13" s="509"/>
      <c r="L13" s="505"/>
      <c r="M13" s="508" t="s">
        <v>32</v>
      </c>
      <c r="N13" s="508" t="s">
        <v>33</v>
      </c>
      <c r="O13" s="501"/>
      <c r="P13" s="505"/>
      <c r="Q13" s="505"/>
      <c r="R13" s="507"/>
      <c r="S13" s="506"/>
      <c r="T13" s="505"/>
      <c r="U13" s="505"/>
      <c r="V13" s="505"/>
      <c r="W13" s="2953"/>
      <c r="X13" s="2919"/>
      <c r="Y13" s="2919"/>
      <c r="Z13" s="2962"/>
      <c r="AA13" s="501"/>
      <c r="AB13" s="504" t="s">
        <v>32</v>
      </c>
      <c r="AC13" s="504" t="s">
        <v>33</v>
      </c>
      <c r="AD13" s="504" t="s">
        <v>32</v>
      </c>
      <c r="AE13" s="504" t="s">
        <v>33</v>
      </c>
      <c r="AF13" s="504" t="s">
        <v>32</v>
      </c>
      <c r="AG13" s="504" t="s">
        <v>33</v>
      </c>
      <c r="AH13" s="504" t="s">
        <v>32</v>
      </c>
      <c r="AI13" s="504" t="s">
        <v>33</v>
      </c>
      <c r="AJ13" s="504" t="s">
        <v>32</v>
      </c>
      <c r="AK13" s="504" t="s">
        <v>33</v>
      </c>
      <c r="AL13" s="504" t="s">
        <v>32</v>
      </c>
      <c r="AM13" s="504" t="s">
        <v>33</v>
      </c>
      <c r="AN13" s="504" t="s">
        <v>32</v>
      </c>
      <c r="AO13" s="504" t="s">
        <v>33</v>
      </c>
      <c r="AP13" s="504" t="s">
        <v>32</v>
      </c>
      <c r="AQ13" s="504" t="s">
        <v>33</v>
      </c>
      <c r="AR13" s="504" t="s">
        <v>32</v>
      </c>
      <c r="AS13" s="504" t="s">
        <v>33</v>
      </c>
      <c r="AT13" s="504" t="s">
        <v>32</v>
      </c>
      <c r="AU13" s="504" t="s">
        <v>33</v>
      </c>
      <c r="AV13" s="504" t="s">
        <v>32</v>
      </c>
      <c r="AW13" s="504" t="s">
        <v>33</v>
      </c>
      <c r="AX13" s="504" t="s">
        <v>32</v>
      </c>
      <c r="AY13" s="504" t="s">
        <v>33</v>
      </c>
      <c r="AZ13" s="504" t="s">
        <v>32</v>
      </c>
      <c r="BA13" s="504" t="s">
        <v>33</v>
      </c>
      <c r="BB13" s="504" t="s">
        <v>32</v>
      </c>
      <c r="BC13" s="504" t="s">
        <v>32</v>
      </c>
      <c r="BD13" s="504" t="s">
        <v>32</v>
      </c>
      <c r="BE13" s="504" t="s">
        <v>33</v>
      </c>
      <c r="BF13" s="504" t="s">
        <v>32</v>
      </c>
      <c r="BG13" s="504" t="s">
        <v>33</v>
      </c>
      <c r="BH13" s="2919"/>
      <c r="BI13" s="2932"/>
      <c r="BJ13" s="2932"/>
      <c r="BK13" s="2918"/>
      <c r="BL13" s="2919"/>
      <c r="BM13" s="2919"/>
      <c r="BN13" s="504" t="s">
        <v>32</v>
      </c>
      <c r="BO13" s="504" t="s">
        <v>33</v>
      </c>
      <c r="BP13" s="504" t="s">
        <v>32</v>
      </c>
      <c r="BQ13" s="504" t="s">
        <v>33</v>
      </c>
      <c r="BR13" s="524"/>
    </row>
    <row r="14" spans="1:70" ht="22.5" customHeight="1" x14ac:dyDescent="0.2">
      <c r="A14" s="525">
        <v>5</v>
      </c>
      <c r="B14" s="141" t="s">
        <v>58</v>
      </c>
      <c r="C14" s="141"/>
      <c r="D14" s="141"/>
      <c r="E14" s="141"/>
      <c r="F14" s="141"/>
      <c r="G14" s="141"/>
      <c r="H14" s="141"/>
      <c r="I14" s="141"/>
      <c r="J14" s="142"/>
      <c r="K14" s="142"/>
      <c r="L14" s="143"/>
      <c r="M14" s="142"/>
      <c r="N14" s="142"/>
      <c r="O14" s="142"/>
      <c r="P14" s="142"/>
      <c r="Q14" s="142"/>
      <c r="R14" s="144"/>
      <c r="S14" s="145"/>
      <c r="T14" s="142"/>
      <c r="U14" s="142"/>
      <c r="V14" s="142"/>
      <c r="W14" s="146"/>
      <c r="X14" s="146"/>
      <c r="Y14" s="146"/>
      <c r="Z14" s="147"/>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526"/>
    </row>
    <row r="15" spans="1:70" ht="21.75" customHeight="1" x14ac:dyDescent="0.2">
      <c r="A15" s="527"/>
      <c r="B15" s="149"/>
      <c r="C15" s="150"/>
      <c r="D15" s="151">
        <v>28</v>
      </c>
      <c r="E15" s="152" t="s">
        <v>113</v>
      </c>
      <c r="F15" s="152"/>
      <c r="G15" s="152"/>
      <c r="H15" s="152"/>
      <c r="I15" s="152"/>
      <c r="J15" s="153"/>
      <c r="K15" s="153"/>
      <c r="L15" s="153"/>
      <c r="M15" s="153"/>
      <c r="N15" s="153"/>
      <c r="O15" s="153"/>
      <c r="P15" s="153"/>
      <c r="Q15" s="153"/>
      <c r="R15" s="154"/>
      <c r="S15" s="155"/>
      <c r="T15" s="153"/>
      <c r="U15" s="153"/>
      <c r="V15" s="153"/>
      <c r="W15" s="156"/>
      <c r="X15" s="156"/>
      <c r="Y15" s="156"/>
      <c r="Z15" s="157"/>
      <c r="AA15" s="158"/>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8"/>
      <c r="BI15" s="152"/>
      <c r="BJ15" s="152"/>
      <c r="BK15" s="152"/>
      <c r="BL15" s="152"/>
      <c r="BM15" s="152"/>
      <c r="BN15" s="159"/>
      <c r="BO15" s="159"/>
      <c r="BP15" s="159"/>
      <c r="BQ15" s="159"/>
      <c r="BR15" s="528"/>
    </row>
    <row r="16" spans="1:70" ht="15.75" x14ac:dyDescent="0.2">
      <c r="A16" s="529"/>
      <c r="B16" s="278"/>
      <c r="C16" s="160"/>
      <c r="D16" s="161"/>
      <c r="E16" s="162"/>
      <c r="F16" s="163"/>
      <c r="G16" s="164">
        <v>89</v>
      </c>
      <c r="H16" s="165" t="s">
        <v>114</v>
      </c>
      <c r="I16" s="165"/>
      <c r="J16" s="166"/>
      <c r="K16" s="166"/>
      <c r="L16" s="166"/>
      <c r="M16" s="166"/>
      <c r="N16" s="166"/>
      <c r="O16" s="166"/>
      <c r="P16" s="166"/>
      <c r="Q16" s="166"/>
      <c r="R16" s="167"/>
      <c r="S16" s="168"/>
      <c r="T16" s="166"/>
      <c r="U16" s="166"/>
      <c r="V16" s="166"/>
      <c r="W16" s="169"/>
      <c r="X16" s="170"/>
      <c r="Y16" s="170"/>
      <c r="Z16" s="171"/>
      <c r="AA16" s="172"/>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73"/>
      <c r="BI16" s="165"/>
      <c r="BJ16" s="165"/>
      <c r="BK16" s="165"/>
      <c r="BL16" s="165"/>
      <c r="BM16" s="165"/>
      <c r="BN16" s="174"/>
      <c r="BO16" s="174"/>
      <c r="BP16" s="174"/>
      <c r="BQ16" s="174"/>
      <c r="BR16" s="530"/>
    </row>
    <row r="17" spans="1:71" ht="95.25" customHeight="1" x14ac:dyDescent="0.2">
      <c r="A17" s="531"/>
      <c r="B17" s="532"/>
      <c r="C17" s="175"/>
      <c r="D17" s="176"/>
      <c r="E17" s="533"/>
      <c r="F17" s="177"/>
      <c r="G17" s="178"/>
      <c r="H17" s="179"/>
      <c r="I17" s="180"/>
      <c r="J17" s="477">
        <v>282</v>
      </c>
      <c r="K17" s="493" t="s">
        <v>115</v>
      </c>
      <c r="L17" s="493" t="s">
        <v>116</v>
      </c>
      <c r="M17" s="477">
        <v>2</v>
      </c>
      <c r="N17" s="477">
        <v>2</v>
      </c>
      <c r="O17" s="477" t="s">
        <v>117</v>
      </c>
      <c r="P17" s="496" t="s">
        <v>118</v>
      </c>
      <c r="Q17" s="489" t="s">
        <v>119</v>
      </c>
      <c r="R17" s="497">
        <f>+(W17)/S17</f>
        <v>1</v>
      </c>
      <c r="S17" s="498">
        <f>W17</f>
        <v>79103800</v>
      </c>
      <c r="T17" s="499" t="s">
        <v>120</v>
      </c>
      <c r="U17" s="499" t="s">
        <v>121</v>
      </c>
      <c r="V17" s="476" t="s">
        <v>122</v>
      </c>
      <c r="W17" s="181">
        <f>79500000-396200</f>
        <v>79103800</v>
      </c>
      <c r="X17" s="181">
        <v>79103800</v>
      </c>
      <c r="Y17" s="181">
        <v>79103800</v>
      </c>
      <c r="Z17" s="182" t="s">
        <v>123</v>
      </c>
      <c r="AA17" s="475" t="s">
        <v>124</v>
      </c>
      <c r="AB17" s="485">
        <v>292684</v>
      </c>
      <c r="AC17" s="485">
        <v>292684</v>
      </c>
      <c r="AD17" s="485">
        <v>282326</v>
      </c>
      <c r="AE17" s="485">
        <v>282326</v>
      </c>
      <c r="AF17" s="485">
        <v>135912</v>
      </c>
      <c r="AG17" s="485">
        <v>135912</v>
      </c>
      <c r="AH17" s="485">
        <v>45122</v>
      </c>
      <c r="AI17" s="485">
        <v>45122</v>
      </c>
      <c r="AJ17" s="485">
        <v>307101</v>
      </c>
      <c r="AK17" s="485">
        <v>307101</v>
      </c>
      <c r="AL17" s="485">
        <v>86875</v>
      </c>
      <c r="AM17" s="485">
        <v>86875</v>
      </c>
      <c r="AN17" s="485">
        <v>2145</v>
      </c>
      <c r="AO17" s="485">
        <v>2145</v>
      </c>
      <c r="AP17" s="485">
        <v>12718</v>
      </c>
      <c r="AQ17" s="485">
        <v>12718</v>
      </c>
      <c r="AR17" s="485">
        <v>26</v>
      </c>
      <c r="AS17" s="485">
        <v>26</v>
      </c>
      <c r="AT17" s="485">
        <v>37</v>
      </c>
      <c r="AU17" s="485">
        <v>37</v>
      </c>
      <c r="AV17" s="485">
        <v>0</v>
      </c>
      <c r="AW17" s="485">
        <v>0</v>
      </c>
      <c r="AX17" s="485">
        <v>0</v>
      </c>
      <c r="AY17" s="485">
        <v>0</v>
      </c>
      <c r="AZ17" s="485">
        <v>53164</v>
      </c>
      <c r="BA17" s="485">
        <v>53164</v>
      </c>
      <c r="BB17" s="480">
        <v>16982</v>
      </c>
      <c r="BC17" s="480">
        <v>16982</v>
      </c>
      <c r="BD17" s="480">
        <v>60013</v>
      </c>
      <c r="BE17" s="480">
        <v>60013</v>
      </c>
      <c r="BF17" s="480">
        <v>575010</v>
      </c>
      <c r="BG17" s="480">
        <v>575010</v>
      </c>
      <c r="BH17" s="183">
        <v>1</v>
      </c>
      <c r="BI17" s="511">
        <v>79103800</v>
      </c>
      <c r="BJ17" s="511">
        <v>79103800</v>
      </c>
      <c r="BK17" s="184">
        <f>+BJ17/BI17</f>
        <v>1</v>
      </c>
      <c r="BL17" s="183" t="s">
        <v>125</v>
      </c>
      <c r="BM17" s="185" t="s">
        <v>126</v>
      </c>
      <c r="BN17" s="486">
        <v>43467</v>
      </c>
      <c r="BO17" s="486">
        <v>43511</v>
      </c>
      <c r="BP17" s="486">
        <v>43830</v>
      </c>
      <c r="BQ17" s="486">
        <v>43660</v>
      </c>
      <c r="BR17" s="534" t="s">
        <v>127</v>
      </c>
      <c r="BS17" s="186"/>
    </row>
    <row r="18" spans="1:71" ht="75" x14ac:dyDescent="0.2">
      <c r="A18" s="531"/>
      <c r="B18" s="532"/>
      <c r="C18" s="175"/>
      <c r="D18" s="176"/>
      <c r="E18" s="533"/>
      <c r="F18" s="177"/>
      <c r="G18" s="187"/>
      <c r="H18" s="535"/>
      <c r="I18" s="188"/>
      <c r="J18" s="2876">
        <v>283</v>
      </c>
      <c r="K18" s="2868" t="s">
        <v>128</v>
      </c>
      <c r="L18" s="2868" t="s">
        <v>129</v>
      </c>
      <c r="M18" s="2876">
        <v>1</v>
      </c>
      <c r="N18" s="2920">
        <v>0.7</v>
      </c>
      <c r="O18" s="2868" t="s">
        <v>130</v>
      </c>
      <c r="P18" s="2923" t="s">
        <v>131</v>
      </c>
      <c r="Q18" s="2868" t="s">
        <v>132</v>
      </c>
      <c r="R18" s="2909">
        <f>+(W18+W19+W20)/S18</f>
        <v>1</v>
      </c>
      <c r="S18" s="2910">
        <f>SUM(W18:W20)</f>
        <v>44007000</v>
      </c>
      <c r="T18" s="2868" t="s">
        <v>133</v>
      </c>
      <c r="U18" s="189" t="s">
        <v>134</v>
      </c>
      <c r="V18" s="476" t="s">
        <v>135</v>
      </c>
      <c r="W18" s="181">
        <f>30550000+8750000+4707000</f>
        <v>44007000</v>
      </c>
      <c r="X18" s="190">
        <v>43203667</v>
      </c>
      <c r="Y18" s="190">
        <v>31353500</v>
      </c>
      <c r="Z18" s="191">
        <v>20</v>
      </c>
      <c r="AA18" s="479" t="s">
        <v>124</v>
      </c>
      <c r="AB18" s="2902">
        <v>850</v>
      </c>
      <c r="AC18" s="2902">
        <v>850</v>
      </c>
      <c r="AD18" s="2902">
        <v>550</v>
      </c>
      <c r="AE18" s="2902">
        <v>550</v>
      </c>
      <c r="AF18" s="2902">
        <v>400</v>
      </c>
      <c r="AG18" s="2902">
        <v>400</v>
      </c>
      <c r="AH18" s="2902">
        <v>0</v>
      </c>
      <c r="AI18" s="2902">
        <v>0</v>
      </c>
      <c r="AJ18" s="2902">
        <v>950</v>
      </c>
      <c r="AK18" s="2902">
        <v>950</v>
      </c>
      <c r="AL18" s="2902">
        <v>50</v>
      </c>
      <c r="AM18" s="2902">
        <v>50</v>
      </c>
      <c r="AN18" s="2902">
        <v>0</v>
      </c>
      <c r="AO18" s="2902">
        <v>0</v>
      </c>
      <c r="AP18" s="2902">
        <v>30</v>
      </c>
      <c r="AQ18" s="2902">
        <v>30</v>
      </c>
      <c r="AR18" s="2902">
        <v>0</v>
      </c>
      <c r="AS18" s="2902">
        <v>0</v>
      </c>
      <c r="AT18" s="2895">
        <v>0</v>
      </c>
      <c r="AU18" s="2895">
        <v>0</v>
      </c>
      <c r="AV18" s="2895">
        <v>0</v>
      </c>
      <c r="AW18" s="2895">
        <v>0</v>
      </c>
      <c r="AX18" s="2895">
        <v>0</v>
      </c>
      <c r="AY18" s="2895">
        <v>0</v>
      </c>
      <c r="AZ18" s="2895">
        <v>0</v>
      </c>
      <c r="BA18" s="2895">
        <v>0</v>
      </c>
      <c r="BB18" s="2895">
        <v>0</v>
      </c>
      <c r="BC18" s="2895">
        <v>0</v>
      </c>
      <c r="BD18" s="2895">
        <v>0</v>
      </c>
      <c r="BE18" s="2902">
        <v>0</v>
      </c>
      <c r="BF18" s="2902">
        <v>1400</v>
      </c>
      <c r="BG18" s="2902">
        <v>1400</v>
      </c>
      <c r="BH18" s="2903">
        <v>2</v>
      </c>
      <c r="BI18" s="2898">
        <v>43203667</v>
      </c>
      <c r="BJ18" s="2898">
        <v>31353500</v>
      </c>
      <c r="BK18" s="2900">
        <f>+BJ18/BI18</f>
        <v>0.72571386127941406</v>
      </c>
      <c r="BL18" s="2903" t="s">
        <v>125</v>
      </c>
      <c r="BM18" s="2876" t="s">
        <v>136</v>
      </c>
      <c r="BN18" s="2915">
        <v>43467</v>
      </c>
      <c r="BO18" s="2915">
        <v>43636</v>
      </c>
      <c r="BP18" s="2911">
        <v>43830</v>
      </c>
      <c r="BQ18" s="2911">
        <v>43809</v>
      </c>
      <c r="BR18" s="2914" t="s">
        <v>137</v>
      </c>
      <c r="BS18" s="192"/>
    </row>
    <row r="19" spans="1:71" ht="79.5" customHeight="1" x14ac:dyDescent="0.2">
      <c r="A19" s="531"/>
      <c r="B19" s="532"/>
      <c r="C19" s="175"/>
      <c r="D19" s="176"/>
      <c r="E19" s="533"/>
      <c r="F19" s="177"/>
      <c r="G19" s="187"/>
      <c r="H19" s="535"/>
      <c r="I19" s="188"/>
      <c r="J19" s="2876"/>
      <c r="K19" s="2868"/>
      <c r="L19" s="2868"/>
      <c r="M19" s="2876"/>
      <c r="N19" s="2921"/>
      <c r="O19" s="2868"/>
      <c r="P19" s="2923"/>
      <c r="Q19" s="2868"/>
      <c r="R19" s="2909"/>
      <c r="S19" s="2910"/>
      <c r="T19" s="2868"/>
      <c r="U19" s="476" t="s">
        <v>138</v>
      </c>
      <c r="V19" s="476" t="s">
        <v>139</v>
      </c>
      <c r="W19" s="181">
        <f>7000000-7000000</f>
        <v>0</v>
      </c>
      <c r="X19" s="190"/>
      <c r="Y19" s="190"/>
      <c r="Z19" s="191">
        <v>20</v>
      </c>
      <c r="AA19" s="479" t="s">
        <v>124</v>
      </c>
      <c r="AB19" s="2902"/>
      <c r="AC19" s="2902"/>
      <c r="AD19" s="2902"/>
      <c r="AE19" s="2902"/>
      <c r="AF19" s="2902"/>
      <c r="AG19" s="2902"/>
      <c r="AH19" s="2902"/>
      <c r="AI19" s="2902"/>
      <c r="AJ19" s="2902"/>
      <c r="AK19" s="2902"/>
      <c r="AL19" s="2902"/>
      <c r="AM19" s="2902"/>
      <c r="AN19" s="2902"/>
      <c r="AO19" s="2902"/>
      <c r="AP19" s="2902"/>
      <c r="AQ19" s="2902"/>
      <c r="AR19" s="2902"/>
      <c r="AS19" s="2902"/>
      <c r="AT19" s="2896"/>
      <c r="AU19" s="2896"/>
      <c r="AV19" s="2896"/>
      <c r="AW19" s="2896"/>
      <c r="AX19" s="2896"/>
      <c r="AY19" s="2896"/>
      <c r="AZ19" s="2896"/>
      <c r="BA19" s="2896"/>
      <c r="BB19" s="2896"/>
      <c r="BC19" s="2896"/>
      <c r="BD19" s="2896"/>
      <c r="BE19" s="2902"/>
      <c r="BF19" s="2902"/>
      <c r="BG19" s="2902"/>
      <c r="BH19" s="2904"/>
      <c r="BI19" s="2899"/>
      <c r="BJ19" s="2899"/>
      <c r="BK19" s="2901"/>
      <c r="BL19" s="2904"/>
      <c r="BM19" s="2876"/>
      <c r="BN19" s="2916"/>
      <c r="BO19" s="2916"/>
      <c r="BP19" s="2912"/>
      <c r="BQ19" s="2912"/>
      <c r="BR19" s="2914"/>
      <c r="BS19" s="192"/>
    </row>
    <row r="20" spans="1:71" ht="57.75" customHeight="1" x14ac:dyDescent="0.2">
      <c r="A20" s="531"/>
      <c r="B20" s="532"/>
      <c r="C20" s="175"/>
      <c r="D20" s="176"/>
      <c r="E20" s="533"/>
      <c r="F20" s="177"/>
      <c r="G20" s="187"/>
      <c r="H20" s="535"/>
      <c r="I20" s="188"/>
      <c r="J20" s="2876"/>
      <c r="K20" s="2868"/>
      <c r="L20" s="2868"/>
      <c r="M20" s="2876"/>
      <c r="N20" s="2922"/>
      <c r="O20" s="2868"/>
      <c r="P20" s="2923"/>
      <c r="Q20" s="2868"/>
      <c r="R20" s="2909"/>
      <c r="S20" s="2910"/>
      <c r="T20" s="2868"/>
      <c r="U20" s="476" t="s">
        <v>140</v>
      </c>
      <c r="V20" s="476" t="s">
        <v>141</v>
      </c>
      <c r="W20" s="181">
        <f>1750000-1750000</f>
        <v>0</v>
      </c>
      <c r="X20" s="181"/>
      <c r="Y20" s="181"/>
      <c r="Z20" s="193">
        <v>20</v>
      </c>
      <c r="AA20" s="478" t="s">
        <v>124</v>
      </c>
      <c r="AB20" s="2902"/>
      <c r="AC20" s="2902"/>
      <c r="AD20" s="2902"/>
      <c r="AE20" s="2902"/>
      <c r="AF20" s="2902"/>
      <c r="AG20" s="2902"/>
      <c r="AH20" s="2902"/>
      <c r="AI20" s="2902"/>
      <c r="AJ20" s="2902"/>
      <c r="AK20" s="2902"/>
      <c r="AL20" s="2902"/>
      <c r="AM20" s="2902"/>
      <c r="AN20" s="2902"/>
      <c r="AO20" s="2902"/>
      <c r="AP20" s="2902"/>
      <c r="AQ20" s="2902"/>
      <c r="AR20" s="2902"/>
      <c r="AS20" s="2902"/>
      <c r="AT20" s="2908"/>
      <c r="AU20" s="2908"/>
      <c r="AV20" s="2908"/>
      <c r="AW20" s="2908"/>
      <c r="AX20" s="2908"/>
      <c r="AY20" s="2908"/>
      <c r="AZ20" s="2908"/>
      <c r="BA20" s="2908"/>
      <c r="BB20" s="2908"/>
      <c r="BC20" s="2908"/>
      <c r="BD20" s="2908"/>
      <c r="BE20" s="2902"/>
      <c r="BF20" s="2902"/>
      <c r="BG20" s="2902"/>
      <c r="BH20" s="2905"/>
      <c r="BI20" s="2906"/>
      <c r="BJ20" s="2906"/>
      <c r="BK20" s="2907"/>
      <c r="BL20" s="2905"/>
      <c r="BM20" s="2876"/>
      <c r="BN20" s="2917"/>
      <c r="BO20" s="2917"/>
      <c r="BP20" s="2913"/>
      <c r="BQ20" s="2913"/>
      <c r="BR20" s="2914"/>
      <c r="BS20" s="192"/>
    </row>
    <row r="21" spans="1:71" ht="106.5" customHeight="1" x14ac:dyDescent="0.2">
      <c r="A21" s="529"/>
      <c r="B21" s="278"/>
      <c r="C21" s="160"/>
      <c r="D21" s="194"/>
      <c r="E21" s="274"/>
      <c r="F21" s="195"/>
      <c r="G21" s="196"/>
      <c r="H21" s="276"/>
      <c r="I21" s="197"/>
      <c r="J21" s="488">
        <v>285</v>
      </c>
      <c r="K21" s="495" t="s">
        <v>142</v>
      </c>
      <c r="L21" s="476" t="s">
        <v>143</v>
      </c>
      <c r="M21" s="475">
        <v>1</v>
      </c>
      <c r="N21" s="477">
        <v>0.9</v>
      </c>
      <c r="O21" s="493" t="s">
        <v>144</v>
      </c>
      <c r="P21" s="475" t="s">
        <v>145</v>
      </c>
      <c r="Q21" s="476" t="s">
        <v>146</v>
      </c>
      <c r="R21" s="198">
        <f>+W21/S21</f>
        <v>1</v>
      </c>
      <c r="S21" s="481">
        <f>W21</f>
        <v>78604667</v>
      </c>
      <c r="T21" s="495" t="s">
        <v>147</v>
      </c>
      <c r="U21" s="495" t="s">
        <v>148</v>
      </c>
      <c r="V21" s="495" t="s">
        <v>149</v>
      </c>
      <c r="W21" s="181">
        <f>89600000-10995333</f>
        <v>78604667</v>
      </c>
      <c r="X21" s="181">
        <v>73568267</v>
      </c>
      <c r="Y21" s="181">
        <v>73568267</v>
      </c>
      <c r="Z21" s="193">
        <v>20</v>
      </c>
      <c r="AA21" s="478" t="s">
        <v>124</v>
      </c>
      <c r="AB21" s="480">
        <v>292684</v>
      </c>
      <c r="AC21" s="480">
        <v>292684</v>
      </c>
      <c r="AD21" s="480">
        <v>282326</v>
      </c>
      <c r="AE21" s="480">
        <v>282326</v>
      </c>
      <c r="AF21" s="480">
        <v>135912</v>
      </c>
      <c r="AG21" s="480">
        <v>135912</v>
      </c>
      <c r="AH21" s="480">
        <v>45122</v>
      </c>
      <c r="AI21" s="480">
        <v>45122</v>
      </c>
      <c r="AJ21" s="480">
        <v>307101</v>
      </c>
      <c r="AK21" s="480">
        <v>307101</v>
      </c>
      <c r="AL21" s="480">
        <v>86875</v>
      </c>
      <c r="AM21" s="480">
        <v>86875</v>
      </c>
      <c r="AN21" s="480">
        <v>2145</v>
      </c>
      <c r="AO21" s="480">
        <v>2145</v>
      </c>
      <c r="AP21" s="480">
        <v>12718</v>
      </c>
      <c r="AQ21" s="480">
        <v>12718</v>
      </c>
      <c r="AR21" s="480">
        <v>26</v>
      </c>
      <c r="AS21" s="199">
        <v>26</v>
      </c>
      <c r="AT21" s="480">
        <v>37</v>
      </c>
      <c r="AU21" s="480">
        <v>37</v>
      </c>
      <c r="AV21" s="480">
        <v>0</v>
      </c>
      <c r="AW21" s="480">
        <v>0</v>
      </c>
      <c r="AX21" s="480">
        <v>0</v>
      </c>
      <c r="AY21" s="480">
        <v>0</v>
      </c>
      <c r="AZ21" s="480">
        <v>53164</v>
      </c>
      <c r="BA21" s="480">
        <v>53164</v>
      </c>
      <c r="BB21" s="480">
        <v>16982</v>
      </c>
      <c r="BC21" s="480">
        <v>16982</v>
      </c>
      <c r="BD21" s="480">
        <v>60013</v>
      </c>
      <c r="BE21" s="480">
        <v>60013</v>
      </c>
      <c r="BF21" s="480">
        <v>575010</v>
      </c>
      <c r="BG21" s="480">
        <v>575010</v>
      </c>
      <c r="BH21" s="183">
        <v>7</v>
      </c>
      <c r="BI21" s="511">
        <v>73568267</v>
      </c>
      <c r="BJ21" s="511">
        <v>73568267</v>
      </c>
      <c r="BK21" s="184">
        <f>+BJ21/BI21</f>
        <v>1</v>
      </c>
      <c r="BL21" s="183" t="s">
        <v>125</v>
      </c>
      <c r="BM21" s="536" t="s">
        <v>126</v>
      </c>
      <c r="BN21" s="200">
        <v>43467</v>
      </c>
      <c r="BO21" s="200">
        <v>43481</v>
      </c>
      <c r="BP21" s="200">
        <v>43830</v>
      </c>
      <c r="BQ21" s="201">
        <v>42921</v>
      </c>
      <c r="BR21" s="482" t="s">
        <v>127</v>
      </c>
      <c r="BS21" s="186"/>
    </row>
    <row r="22" spans="1:71" ht="132" customHeight="1" x14ac:dyDescent="0.2">
      <c r="A22" s="529"/>
      <c r="B22" s="278"/>
      <c r="C22" s="160"/>
      <c r="D22" s="194"/>
      <c r="E22" s="274"/>
      <c r="F22" s="195"/>
      <c r="G22" s="196"/>
      <c r="H22" s="276"/>
      <c r="I22" s="197"/>
      <c r="J22" s="488">
        <v>280</v>
      </c>
      <c r="K22" s="495" t="s">
        <v>150</v>
      </c>
      <c r="L22" s="476" t="s">
        <v>151</v>
      </c>
      <c r="M22" s="490">
        <v>1</v>
      </c>
      <c r="N22" s="475">
        <v>0.6</v>
      </c>
      <c r="O22" s="202"/>
      <c r="P22" s="2878" t="s">
        <v>152</v>
      </c>
      <c r="Q22" s="2880" t="s">
        <v>153</v>
      </c>
      <c r="R22" s="203">
        <f>+(W22)/S22</f>
        <v>2.9053308782970842E-3</v>
      </c>
      <c r="S22" s="2883">
        <f>SUM(W22:W26)</f>
        <v>5212143000</v>
      </c>
      <c r="T22" s="2880" t="s">
        <v>154</v>
      </c>
      <c r="U22" s="476" t="s">
        <v>155</v>
      </c>
      <c r="V22" s="476" t="s">
        <v>156</v>
      </c>
      <c r="W22" s="204">
        <f>24850000-5000000-4707000</f>
        <v>15143000</v>
      </c>
      <c r="X22" s="204">
        <v>14540000</v>
      </c>
      <c r="Y22" s="204">
        <v>4707000</v>
      </c>
      <c r="Z22" s="205">
        <v>20</v>
      </c>
      <c r="AA22" s="206" t="s">
        <v>124</v>
      </c>
      <c r="AB22" s="2895">
        <v>292684</v>
      </c>
      <c r="AC22" s="2895">
        <v>292684</v>
      </c>
      <c r="AD22" s="2895">
        <v>282326</v>
      </c>
      <c r="AE22" s="2895">
        <v>282326</v>
      </c>
      <c r="AF22" s="2895">
        <v>135912</v>
      </c>
      <c r="AG22" s="2895">
        <v>135912</v>
      </c>
      <c r="AH22" s="2895">
        <v>45122</v>
      </c>
      <c r="AI22" s="2895">
        <v>45122</v>
      </c>
      <c r="AJ22" s="2895">
        <v>307101</v>
      </c>
      <c r="AK22" s="2895">
        <v>307101</v>
      </c>
      <c r="AL22" s="2895">
        <v>86875</v>
      </c>
      <c r="AM22" s="2895">
        <v>86875</v>
      </c>
      <c r="AN22" s="2895">
        <v>2145</v>
      </c>
      <c r="AO22" s="2895">
        <v>2145</v>
      </c>
      <c r="AP22" s="2895">
        <v>12718</v>
      </c>
      <c r="AQ22" s="2895">
        <v>12718</v>
      </c>
      <c r="AR22" s="2895">
        <v>26</v>
      </c>
      <c r="AS22" s="2895">
        <v>26</v>
      </c>
      <c r="AT22" s="2895">
        <v>37</v>
      </c>
      <c r="AU22" s="2895">
        <v>37</v>
      </c>
      <c r="AV22" s="2895">
        <v>0</v>
      </c>
      <c r="AW22" s="2895">
        <v>0</v>
      </c>
      <c r="AX22" s="2895">
        <v>0</v>
      </c>
      <c r="AY22" s="2895">
        <v>0</v>
      </c>
      <c r="AZ22" s="2895">
        <v>53164</v>
      </c>
      <c r="BA22" s="2895">
        <v>53.164000000000001</v>
      </c>
      <c r="BB22" s="2895">
        <v>16982</v>
      </c>
      <c r="BC22" s="2895">
        <v>16.981999999999999</v>
      </c>
      <c r="BD22" s="2895">
        <v>60013</v>
      </c>
      <c r="BE22" s="2895">
        <v>60.012999999999998</v>
      </c>
      <c r="BF22" s="2895">
        <v>575010</v>
      </c>
      <c r="BG22" s="2895">
        <v>575010</v>
      </c>
      <c r="BH22" s="2895">
        <v>8</v>
      </c>
      <c r="BI22" s="2898">
        <v>947731346</v>
      </c>
      <c r="BJ22" s="2898">
        <v>905815579</v>
      </c>
      <c r="BK22" s="2900">
        <f>+BJ22/BI22</f>
        <v>0.95577252226919585</v>
      </c>
      <c r="BL22" s="2886" t="s">
        <v>157</v>
      </c>
      <c r="BM22" s="2886" t="s">
        <v>158</v>
      </c>
      <c r="BN22" s="2889">
        <v>43466</v>
      </c>
      <c r="BO22" s="2889">
        <v>43733</v>
      </c>
      <c r="BP22" s="2889">
        <v>43830</v>
      </c>
      <c r="BQ22" s="2889">
        <v>43809</v>
      </c>
      <c r="BR22" s="2892" t="s">
        <v>159</v>
      </c>
    </row>
    <row r="23" spans="1:71" ht="57.75" customHeight="1" x14ac:dyDescent="0.2">
      <c r="A23" s="529"/>
      <c r="B23" s="278"/>
      <c r="C23" s="160"/>
      <c r="D23" s="194"/>
      <c r="E23" s="274"/>
      <c r="F23" s="195"/>
      <c r="G23" s="196"/>
      <c r="H23" s="276"/>
      <c r="I23" s="197"/>
      <c r="J23" s="2872">
        <v>281</v>
      </c>
      <c r="K23" s="2873" t="s">
        <v>160</v>
      </c>
      <c r="L23" s="2868" t="s">
        <v>161</v>
      </c>
      <c r="M23" s="2875">
        <v>1</v>
      </c>
      <c r="N23" s="2876">
        <v>0</v>
      </c>
      <c r="O23" s="2877" t="s">
        <v>162</v>
      </c>
      <c r="P23" s="2877"/>
      <c r="Q23" s="2881"/>
      <c r="R23" s="2866">
        <f>+(W23+W24)/S22</f>
        <v>1.6020281868705445E-2</v>
      </c>
      <c r="S23" s="2884"/>
      <c r="T23" s="2881"/>
      <c r="U23" s="2868" t="s">
        <v>163</v>
      </c>
      <c r="V23" s="476" t="s">
        <v>164</v>
      </c>
      <c r="W23" s="207">
        <f>83500000-83500000</f>
        <v>0</v>
      </c>
      <c r="X23" s="208"/>
      <c r="Y23" s="208"/>
      <c r="Z23" s="205">
        <v>20</v>
      </c>
      <c r="AA23" s="206" t="s">
        <v>87</v>
      </c>
      <c r="AB23" s="2896"/>
      <c r="AC23" s="2896"/>
      <c r="AD23" s="2896"/>
      <c r="AE23" s="2896"/>
      <c r="AF23" s="2896"/>
      <c r="AG23" s="2896"/>
      <c r="AH23" s="2896"/>
      <c r="AI23" s="2896"/>
      <c r="AJ23" s="2896"/>
      <c r="AK23" s="2896"/>
      <c r="AL23" s="2896"/>
      <c r="AM23" s="2896"/>
      <c r="AN23" s="2896"/>
      <c r="AO23" s="2896"/>
      <c r="AP23" s="2896"/>
      <c r="AQ23" s="2896"/>
      <c r="AR23" s="2896"/>
      <c r="AS23" s="2896"/>
      <c r="AT23" s="2896"/>
      <c r="AU23" s="2896"/>
      <c r="AV23" s="2896"/>
      <c r="AW23" s="2896"/>
      <c r="AX23" s="2896"/>
      <c r="AY23" s="2896"/>
      <c r="AZ23" s="2896"/>
      <c r="BA23" s="2896"/>
      <c r="BB23" s="2896"/>
      <c r="BC23" s="2896"/>
      <c r="BD23" s="2896"/>
      <c r="BE23" s="2896"/>
      <c r="BF23" s="2896"/>
      <c r="BG23" s="2896"/>
      <c r="BH23" s="2896"/>
      <c r="BI23" s="2899"/>
      <c r="BJ23" s="2899"/>
      <c r="BK23" s="2901"/>
      <c r="BL23" s="2887"/>
      <c r="BM23" s="2887"/>
      <c r="BN23" s="2890"/>
      <c r="BO23" s="2890"/>
      <c r="BP23" s="2890"/>
      <c r="BQ23" s="2890"/>
      <c r="BR23" s="2893"/>
    </row>
    <row r="24" spans="1:71" ht="48" customHeight="1" x14ac:dyDescent="0.2">
      <c r="A24" s="529"/>
      <c r="B24" s="278"/>
      <c r="C24" s="160"/>
      <c r="D24" s="194"/>
      <c r="E24" s="274"/>
      <c r="F24" s="195"/>
      <c r="G24" s="196"/>
      <c r="H24" s="276"/>
      <c r="I24" s="197"/>
      <c r="J24" s="2872"/>
      <c r="K24" s="2874"/>
      <c r="L24" s="2868"/>
      <c r="M24" s="2875"/>
      <c r="N24" s="2876"/>
      <c r="O24" s="2877"/>
      <c r="P24" s="2877"/>
      <c r="Q24" s="2881"/>
      <c r="R24" s="2867"/>
      <c r="S24" s="2884"/>
      <c r="T24" s="2881"/>
      <c r="U24" s="2868"/>
      <c r="V24" s="493" t="s">
        <v>165</v>
      </c>
      <c r="W24" s="207">
        <f>0+83500000</f>
        <v>83500000</v>
      </c>
      <c r="X24" s="207">
        <v>0</v>
      </c>
      <c r="Y24" s="207">
        <v>0</v>
      </c>
      <c r="Z24" s="205">
        <v>20</v>
      </c>
      <c r="AA24" s="206" t="s">
        <v>87</v>
      </c>
      <c r="AB24" s="2896"/>
      <c r="AC24" s="2896"/>
      <c r="AD24" s="2896"/>
      <c r="AE24" s="2896"/>
      <c r="AF24" s="2896"/>
      <c r="AG24" s="2896"/>
      <c r="AH24" s="2896"/>
      <c r="AI24" s="2896"/>
      <c r="AJ24" s="2896"/>
      <c r="AK24" s="2896"/>
      <c r="AL24" s="2896"/>
      <c r="AM24" s="2896"/>
      <c r="AN24" s="2896"/>
      <c r="AO24" s="2896"/>
      <c r="AP24" s="2896"/>
      <c r="AQ24" s="2896"/>
      <c r="AR24" s="2896"/>
      <c r="AS24" s="2896"/>
      <c r="AT24" s="2896"/>
      <c r="AU24" s="2896"/>
      <c r="AV24" s="2896"/>
      <c r="AW24" s="2896"/>
      <c r="AX24" s="2896"/>
      <c r="AY24" s="2896"/>
      <c r="AZ24" s="2896"/>
      <c r="BA24" s="2896"/>
      <c r="BB24" s="2896"/>
      <c r="BC24" s="2896"/>
      <c r="BD24" s="2896"/>
      <c r="BE24" s="2896"/>
      <c r="BF24" s="2896"/>
      <c r="BG24" s="2896"/>
      <c r="BH24" s="2896"/>
      <c r="BI24" s="2899"/>
      <c r="BJ24" s="2899"/>
      <c r="BK24" s="2901"/>
      <c r="BL24" s="2887"/>
      <c r="BM24" s="2887"/>
      <c r="BN24" s="2890"/>
      <c r="BO24" s="2890"/>
      <c r="BP24" s="2890"/>
      <c r="BQ24" s="2890"/>
      <c r="BR24" s="2893"/>
      <c r="BS24" s="209"/>
    </row>
    <row r="25" spans="1:71" ht="83.25" customHeight="1" x14ac:dyDescent="0.2">
      <c r="A25" s="529"/>
      <c r="B25" s="278"/>
      <c r="C25" s="160"/>
      <c r="D25" s="194"/>
      <c r="E25" s="274"/>
      <c r="F25" s="195"/>
      <c r="G25" s="196"/>
      <c r="H25" s="276"/>
      <c r="I25" s="197"/>
      <c r="J25" s="488">
        <v>287</v>
      </c>
      <c r="K25" s="495" t="s">
        <v>166</v>
      </c>
      <c r="L25" s="476" t="s">
        <v>167</v>
      </c>
      <c r="M25" s="490">
        <v>1</v>
      </c>
      <c r="N25" s="475">
        <v>0.7</v>
      </c>
      <c r="O25" s="210"/>
      <c r="P25" s="2877"/>
      <c r="Q25" s="2881"/>
      <c r="R25" s="203">
        <f>+W25/S22</f>
        <v>2.1776071761653509E-2</v>
      </c>
      <c r="S25" s="2884"/>
      <c r="T25" s="2881"/>
      <c r="U25" s="476" t="s">
        <v>168</v>
      </c>
      <c r="V25" s="500" t="s">
        <v>169</v>
      </c>
      <c r="W25" s="181">
        <f>108500000+5000000</f>
        <v>113500000</v>
      </c>
      <c r="X25" s="181">
        <v>112316767</v>
      </c>
      <c r="Y25" s="181">
        <v>80234000</v>
      </c>
      <c r="Z25" s="205">
        <v>20</v>
      </c>
      <c r="AA25" s="206" t="s">
        <v>87</v>
      </c>
      <c r="AB25" s="2896"/>
      <c r="AC25" s="2896"/>
      <c r="AD25" s="2896"/>
      <c r="AE25" s="2896"/>
      <c r="AF25" s="2896"/>
      <c r="AG25" s="2896"/>
      <c r="AH25" s="2896"/>
      <c r="AI25" s="2896"/>
      <c r="AJ25" s="2896"/>
      <c r="AK25" s="2896"/>
      <c r="AL25" s="2896"/>
      <c r="AM25" s="2896"/>
      <c r="AN25" s="2896"/>
      <c r="AO25" s="2896"/>
      <c r="AP25" s="2896"/>
      <c r="AQ25" s="2896"/>
      <c r="AR25" s="2896"/>
      <c r="AS25" s="2896"/>
      <c r="AT25" s="2896"/>
      <c r="AU25" s="2896"/>
      <c r="AV25" s="2896"/>
      <c r="AW25" s="2896"/>
      <c r="AX25" s="2896"/>
      <c r="AY25" s="2896"/>
      <c r="AZ25" s="2896"/>
      <c r="BA25" s="2896"/>
      <c r="BB25" s="2896"/>
      <c r="BC25" s="2896"/>
      <c r="BD25" s="2896"/>
      <c r="BE25" s="2896"/>
      <c r="BF25" s="2896"/>
      <c r="BG25" s="2896"/>
      <c r="BH25" s="2896"/>
      <c r="BI25" s="2899"/>
      <c r="BJ25" s="2899"/>
      <c r="BK25" s="2901"/>
      <c r="BL25" s="2887"/>
      <c r="BM25" s="2887"/>
      <c r="BN25" s="2890"/>
      <c r="BO25" s="2890"/>
      <c r="BP25" s="2890"/>
      <c r="BQ25" s="2890"/>
      <c r="BR25" s="2893"/>
    </row>
    <row r="26" spans="1:71" ht="105.75" thickBot="1" x14ac:dyDescent="0.25">
      <c r="A26" s="537"/>
      <c r="B26" s="538"/>
      <c r="C26" s="211"/>
      <c r="D26" s="212"/>
      <c r="E26" s="539"/>
      <c r="F26" s="213"/>
      <c r="G26" s="214"/>
      <c r="H26" s="540"/>
      <c r="I26" s="215"/>
      <c r="J26" s="477">
        <v>289</v>
      </c>
      <c r="K26" s="493" t="s">
        <v>170</v>
      </c>
      <c r="L26" s="493" t="s">
        <v>171</v>
      </c>
      <c r="M26" s="216">
        <v>1</v>
      </c>
      <c r="N26" s="217">
        <v>1</v>
      </c>
      <c r="O26" s="484" t="s">
        <v>172</v>
      </c>
      <c r="P26" s="2879"/>
      <c r="Q26" s="2882"/>
      <c r="R26" s="487">
        <f>+W26/S22</f>
        <v>0.95929831549134392</v>
      </c>
      <c r="S26" s="2885"/>
      <c r="T26" s="2882"/>
      <c r="U26" s="493" t="s">
        <v>173</v>
      </c>
      <c r="V26" s="476" t="s">
        <v>174</v>
      </c>
      <c r="W26" s="218">
        <v>5000000000</v>
      </c>
      <c r="X26" s="218">
        <v>820874579</v>
      </c>
      <c r="Y26" s="218">
        <v>820874579</v>
      </c>
      <c r="Z26" s="219">
        <v>46</v>
      </c>
      <c r="AA26" s="483" t="s">
        <v>175</v>
      </c>
      <c r="AB26" s="2897"/>
      <c r="AC26" s="2897"/>
      <c r="AD26" s="2897"/>
      <c r="AE26" s="2897"/>
      <c r="AF26" s="2897"/>
      <c r="AG26" s="2897"/>
      <c r="AH26" s="2897"/>
      <c r="AI26" s="2897"/>
      <c r="AJ26" s="2897"/>
      <c r="AK26" s="2897"/>
      <c r="AL26" s="2897"/>
      <c r="AM26" s="2897"/>
      <c r="AN26" s="2897"/>
      <c r="AO26" s="2897"/>
      <c r="AP26" s="2897"/>
      <c r="AQ26" s="2897"/>
      <c r="AR26" s="2897"/>
      <c r="AS26" s="2897"/>
      <c r="AT26" s="2897"/>
      <c r="AU26" s="2897"/>
      <c r="AV26" s="2897"/>
      <c r="AW26" s="2897"/>
      <c r="AX26" s="2897"/>
      <c r="AY26" s="2897"/>
      <c r="AZ26" s="2897"/>
      <c r="BA26" s="2897"/>
      <c r="BB26" s="2897"/>
      <c r="BC26" s="2897"/>
      <c r="BD26" s="2897"/>
      <c r="BE26" s="2897"/>
      <c r="BF26" s="2897"/>
      <c r="BG26" s="2897"/>
      <c r="BH26" s="2897"/>
      <c r="BI26" s="2899"/>
      <c r="BJ26" s="2899"/>
      <c r="BK26" s="2901"/>
      <c r="BL26" s="2887"/>
      <c r="BM26" s="2888"/>
      <c r="BN26" s="2891"/>
      <c r="BO26" s="2891"/>
      <c r="BP26" s="2891"/>
      <c r="BQ26" s="2891"/>
      <c r="BR26" s="2894"/>
    </row>
    <row r="27" spans="1:71" ht="27" customHeight="1" thickBot="1" x14ac:dyDescent="0.3">
      <c r="A27" s="220" t="s">
        <v>176</v>
      </c>
      <c r="B27" s="221"/>
      <c r="C27" s="221"/>
      <c r="D27" s="221"/>
      <c r="E27" s="221"/>
      <c r="F27" s="221"/>
      <c r="G27" s="221"/>
      <c r="H27" s="221"/>
      <c r="I27" s="221"/>
      <c r="J27" s="222"/>
      <c r="K27" s="223"/>
      <c r="L27" s="224"/>
      <c r="M27" s="225"/>
      <c r="N27" s="226"/>
      <c r="O27" s="223"/>
      <c r="P27" s="224"/>
      <c r="Q27" s="224"/>
      <c r="R27" s="227"/>
      <c r="S27" s="228">
        <f>SUM(S17:S26)</f>
        <v>5413858467</v>
      </c>
      <c r="T27" s="229"/>
      <c r="U27" s="223"/>
      <c r="V27" s="230"/>
      <c r="W27" s="231">
        <f>SUM(W17:W26)</f>
        <v>5413858467</v>
      </c>
      <c r="X27" s="231">
        <f t="shared" ref="X27:Y27" si="0">SUM(X17:X26)</f>
        <v>1143607080</v>
      </c>
      <c r="Y27" s="231">
        <f t="shared" si="0"/>
        <v>1089841146</v>
      </c>
      <c r="Z27" s="232"/>
      <c r="AA27" s="233"/>
      <c r="AB27" s="234"/>
      <c r="AC27" s="234"/>
      <c r="AD27" s="234"/>
      <c r="AE27" s="234"/>
      <c r="AF27" s="234"/>
      <c r="AG27" s="234"/>
      <c r="AH27" s="234"/>
      <c r="AI27" s="234"/>
      <c r="AJ27" s="234"/>
      <c r="AK27" s="234"/>
      <c r="AL27" s="234"/>
      <c r="AM27" s="234"/>
      <c r="AN27" s="234"/>
      <c r="AO27" s="233"/>
      <c r="AP27" s="233"/>
      <c r="AQ27" s="233"/>
      <c r="AR27" s="233"/>
      <c r="AS27" s="233"/>
      <c r="AT27" s="233"/>
      <c r="AU27" s="233"/>
      <c r="AV27" s="233"/>
      <c r="AW27" s="233"/>
      <c r="AX27" s="233"/>
      <c r="AY27" s="233"/>
      <c r="AZ27" s="233"/>
      <c r="BA27" s="233"/>
      <c r="BB27" s="235"/>
      <c r="BC27" s="235"/>
      <c r="BD27" s="235"/>
      <c r="BE27" s="235"/>
      <c r="BF27" s="235"/>
      <c r="BG27" s="235"/>
      <c r="BH27" s="235"/>
      <c r="BI27" s="512">
        <f>SUM(BI17:BI26)</f>
        <v>1143607080</v>
      </c>
      <c r="BJ27" s="512">
        <f>SUM(BJ17:BJ26)</f>
        <v>1089841146</v>
      </c>
      <c r="BK27" s="236"/>
      <c r="BL27" s="236"/>
      <c r="BM27" s="237"/>
      <c r="BN27" s="238"/>
      <c r="BO27" s="238"/>
      <c r="BP27" s="239"/>
      <c r="BQ27" s="239"/>
      <c r="BR27" s="240"/>
    </row>
    <row r="28" spans="1:71" x14ac:dyDescent="0.2">
      <c r="A28" s="241"/>
      <c r="B28" s="241"/>
      <c r="C28" s="241"/>
      <c r="D28" s="241"/>
      <c r="E28" s="241"/>
      <c r="F28" s="241"/>
      <c r="G28" s="241"/>
      <c r="H28" s="241"/>
      <c r="I28" s="241"/>
      <c r="J28" s="242"/>
      <c r="K28" s="243"/>
      <c r="L28" s="242"/>
      <c r="M28" s="242"/>
      <c r="N28" s="242"/>
      <c r="O28" s="242"/>
      <c r="P28" s="242"/>
      <c r="Q28" s="243"/>
      <c r="R28" s="244"/>
      <c r="S28" s="245"/>
      <c r="T28" s="243"/>
      <c r="U28" s="243"/>
      <c r="V28" s="243"/>
      <c r="W28" s="246"/>
      <c r="X28" s="246"/>
      <c r="Y28" s="246"/>
      <c r="Z28" s="247"/>
      <c r="AA28" s="248"/>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row>
    <row r="29" spans="1:71" x14ac:dyDescent="0.2">
      <c r="A29" s="241"/>
      <c r="B29" s="241"/>
      <c r="C29" s="241"/>
      <c r="D29" s="241"/>
      <c r="E29" s="241"/>
      <c r="F29" s="241"/>
      <c r="G29" s="241"/>
      <c r="H29" s="241"/>
      <c r="I29" s="241"/>
      <c r="J29" s="242"/>
      <c r="K29" s="243"/>
      <c r="L29" s="242"/>
      <c r="M29" s="242"/>
      <c r="N29" s="242"/>
      <c r="O29" s="242"/>
      <c r="P29" s="242"/>
      <c r="Q29" s="243"/>
      <c r="R29" s="244"/>
      <c r="S29" s="250"/>
      <c r="T29" s="243"/>
      <c r="U29" s="243"/>
      <c r="V29" s="243"/>
      <c r="W29" s="251"/>
      <c r="X29" s="251"/>
      <c r="Y29" s="251"/>
      <c r="Z29" s="247"/>
      <c r="AA29" s="248"/>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row>
    <row r="30" spans="1:71" ht="15.75" x14ac:dyDescent="0.25">
      <c r="A30" s="252"/>
      <c r="B30" s="252" t="s">
        <v>177</v>
      </c>
      <c r="C30" s="252"/>
      <c r="D30" s="252"/>
      <c r="E30" s="252"/>
      <c r="F30" s="241"/>
      <c r="G30" s="241"/>
      <c r="H30" s="241"/>
      <c r="I30" s="241"/>
      <c r="J30" s="242"/>
      <c r="K30" s="243"/>
      <c r="L30" s="242"/>
      <c r="M30" s="242"/>
      <c r="N30" s="242"/>
      <c r="O30" s="242"/>
      <c r="P30" s="242"/>
      <c r="Q30" s="243"/>
      <c r="R30" s="244"/>
      <c r="S30" s="250"/>
      <c r="T30" s="243"/>
      <c r="U30" s="243"/>
      <c r="V30" s="243"/>
      <c r="W30" s="249"/>
      <c r="X30" s="249"/>
      <c r="Y30" s="249"/>
      <c r="Z30" s="247"/>
      <c r="AA30" s="248"/>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row>
    <row r="31" spans="1:71" x14ac:dyDescent="0.2">
      <c r="B31" s="134" t="s">
        <v>178</v>
      </c>
      <c r="W31" s="255"/>
      <c r="X31" s="255"/>
      <c r="Y31" s="255"/>
    </row>
    <row r="33" spans="10:17" ht="15.75" x14ac:dyDescent="0.25">
      <c r="M33" s="2869" t="s">
        <v>177</v>
      </c>
      <c r="N33" s="2869"/>
      <c r="O33" s="2869"/>
      <c r="P33" s="2869"/>
    </row>
    <row r="34" spans="10:17" x14ac:dyDescent="0.2">
      <c r="M34" s="2870" t="s">
        <v>178</v>
      </c>
      <c r="N34" s="2870"/>
      <c r="O34" s="2870"/>
      <c r="P34" s="2870"/>
    </row>
    <row r="37" spans="10:17" ht="15.75" x14ac:dyDescent="0.2">
      <c r="J37" s="2871"/>
      <c r="K37" s="2871"/>
      <c r="L37" s="2871"/>
      <c r="M37" s="2871"/>
      <c r="N37" s="2871"/>
      <c r="O37" s="2871"/>
      <c r="P37" s="2871"/>
      <c r="Q37" s="2871"/>
    </row>
  </sheetData>
  <sheetProtection password="A60F" sheet="1" objects="1" scenarios="1"/>
  <mergeCells count="170">
    <mergeCell ref="Y10:Y13"/>
    <mergeCell ref="X10:X13"/>
    <mergeCell ref="W10:W13"/>
    <mergeCell ref="W7:Y9"/>
    <mergeCell ref="Z7:Z13"/>
    <mergeCell ref="M7:N12"/>
    <mergeCell ref="A1:BN4"/>
    <mergeCell ref="A5:M6"/>
    <mergeCell ref="O5:BR5"/>
    <mergeCell ref="AB6:BE6"/>
    <mergeCell ref="A7:A12"/>
    <mergeCell ref="B7:C12"/>
    <mergeCell ref="D7:D12"/>
    <mergeCell ref="E7:F12"/>
    <mergeCell ref="G7:G12"/>
    <mergeCell ref="H7:I12"/>
    <mergeCell ref="BH7:BM7"/>
    <mergeCell ref="BN7:BO12"/>
    <mergeCell ref="BP7:BQ12"/>
    <mergeCell ref="BR7:BR12"/>
    <mergeCell ref="AB8:AC12"/>
    <mergeCell ref="AD8:AE12"/>
    <mergeCell ref="AF8:AG12"/>
    <mergeCell ref="AH8:AI12"/>
    <mergeCell ref="AJ8:AK12"/>
    <mergeCell ref="AA7:AA12"/>
    <mergeCell ref="AB7:AE7"/>
    <mergeCell ref="AF7:AM7"/>
    <mergeCell ref="AN7:AY7"/>
    <mergeCell ref="AZ7:BE7"/>
    <mergeCell ref="BF7:BG12"/>
    <mergeCell ref="AL8:AM12"/>
    <mergeCell ref="AN8:AO12"/>
    <mergeCell ref="AP8:AQ12"/>
    <mergeCell ref="AR8:AS12"/>
    <mergeCell ref="BH8:BH13"/>
    <mergeCell ref="BI8:BI13"/>
    <mergeCell ref="BJ8:BJ13"/>
    <mergeCell ref="AT8:AU12"/>
    <mergeCell ref="AV8:AW12"/>
    <mergeCell ref="AX8:AY12"/>
    <mergeCell ref="AZ8:BA12"/>
    <mergeCell ref="BB8:BC12"/>
    <mergeCell ref="BD8:BE12"/>
    <mergeCell ref="BK8:BK13"/>
    <mergeCell ref="BL8:BL13"/>
    <mergeCell ref="BM8:BM13"/>
    <mergeCell ref="J18:J20"/>
    <mergeCell ref="K18:K20"/>
    <mergeCell ref="L18:L20"/>
    <mergeCell ref="M18:M20"/>
    <mergeCell ref="N18:N20"/>
    <mergeCell ref="O18:O20"/>
    <mergeCell ref="P18:P20"/>
    <mergeCell ref="Q7:Q12"/>
    <mergeCell ref="R7:R12"/>
    <mergeCell ref="S7:S12"/>
    <mergeCell ref="T7:T12"/>
    <mergeCell ref="U7:U12"/>
    <mergeCell ref="V7:V12"/>
    <mergeCell ref="J7:J12"/>
    <mergeCell ref="K7:K12"/>
    <mergeCell ref="L7:L12"/>
    <mergeCell ref="O7:O12"/>
    <mergeCell ref="P7:P12"/>
    <mergeCell ref="AF18:AF20"/>
    <mergeCell ref="AG18:AG20"/>
    <mergeCell ref="AH18:AH20"/>
    <mergeCell ref="Q18:Q20"/>
    <mergeCell ref="R18:R20"/>
    <mergeCell ref="S18:S20"/>
    <mergeCell ref="T18:T20"/>
    <mergeCell ref="AB18:AB20"/>
    <mergeCell ref="AC18:AC20"/>
    <mergeCell ref="BQ18:BQ20"/>
    <mergeCell ref="BR18:BR20"/>
    <mergeCell ref="BL18:BL20"/>
    <mergeCell ref="BM18:BM20"/>
    <mergeCell ref="AD18:AD20"/>
    <mergeCell ref="AE18:AE20"/>
    <mergeCell ref="BN18:BN20"/>
    <mergeCell ref="BO18:BO20"/>
    <mergeCell ref="BP18:BP20"/>
    <mergeCell ref="AP18:AP20"/>
    <mergeCell ref="AQ18:AQ20"/>
    <mergeCell ref="AR18:AR20"/>
    <mergeCell ref="AS18:AS20"/>
    <mergeCell ref="AT18:AT20"/>
    <mergeCell ref="AU18:AU20"/>
    <mergeCell ref="AJ18:AJ20"/>
    <mergeCell ref="AK18:AK20"/>
    <mergeCell ref="AL18:AL20"/>
    <mergeCell ref="AB22:AB26"/>
    <mergeCell ref="BH18:BH20"/>
    <mergeCell ref="BI18:BI20"/>
    <mergeCell ref="BJ18:BJ20"/>
    <mergeCell ref="BK18:BK20"/>
    <mergeCell ref="BB18:BB20"/>
    <mergeCell ref="BC18:BC20"/>
    <mergeCell ref="BD18:BD20"/>
    <mergeCell ref="BE18:BE20"/>
    <mergeCell ref="BF18:BF20"/>
    <mergeCell ref="BG18:BG20"/>
    <mergeCell ref="AV18:AV20"/>
    <mergeCell ref="AW18:AW20"/>
    <mergeCell ref="AX18:AX20"/>
    <mergeCell ref="AY18:AY20"/>
    <mergeCell ref="AZ18:AZ20"/>
    <mergeCell ref="AC22:AC26"/>
    <mergeCell ref="AD22:AD26"/>
    <mergeCell ref="AE22:AE26"/>
    <mergeCell ref="AF22:AF26"/>
    <mergeCell ref="AI18:AI20"/>
    <mergeCell ref="AG22:AG26"/>
    <mergeCell ref="AH22:AH26"/>
    <mergeCell ref="BA18:BA20"/>
    <mergeCell ref="AM18:AM20"/>
    <mergeCell ref="AN18:AN20"/>
    <mergeCell ref="AO18:AO20"/>
    <mergeCell ref="AO22:AO26"/>
    <mergeCell ref="AP22:AP26"/>
    <mergeCell ref="AQ22:AQ26"/>
    <mergeCell ref="AR22:AR26"/>
    <mergeCell ref="AS22:AS26"/>
    <mergeCell ref="AT22:AT26"/>
    <mergeCell ref="AI22:AI26"/>
    <mergeCell ref="AJ22:AJ26"/>
    <mergeCell ref="AK22:AK26"/>
    <mergeCell ref="AL22:AL26"/>
    <mergeCell ref="AM22:AM26"/>
    <mergeCell ref="AN22:AN26"/>
    <mergeCell ref="BA22:BA26"/>
    <mergeCell ref="BB22:BB26"/>
    <mergeCell ref="BC22:BC26"/>
    <mergeCell ref="BD22:BD26"/>
    <mergeCell ref="BE22:BE26"/>
    <mergeCell ref="BF22:BF26"/>
    <mergeCell ref="AU22:AU26"/>
    <mergeCell ref="AV22:AV26"/>
    <mergeCell ref="AW22:AW26"/>
    <mergeCell ref="AX22:AX26"/>
    <mergeCell ref="AY22:AY26"/>
    <mergeCell ref="AZ22:AZ26"/>
    <mergeCell ref="BM22:BM26"/>
    <mergeCell ref="BN22:BN26"/>
    <mergeCell ref="BO22:BO26"/>
    <mergeCell ref="BP22:BP26"/>
    <mergeCell ref="BQ22:BQ26"/>
    <mergeCell ref="BR22:BR26"/>
    <mergeCell ref="BG22:BG26"/>
    <mergeCell ref="BH22:BH26"/>
    <mergeCell ref="BI22:BI26"/>
    <mergeCell ref="BJ22:BJ26"/>
    <mergeCell ref="BK22:BK26"/>
    <mergeCell ref="BL22:BL26"/>
    <mergeCell ref="R23:R24"/>
    <mergeCell ref="U23:U24"/>
    <mergeCell ref="M33:P33"/>
    <mergeCell ref="M34:P34"/>
    <mergeCell ref="J37:Q37"/>
    <mergeCell ref="J23:J24"/>
    <mergeCell ref="K23:K24"/>
    <mergeCell ref="L23:L24"/>
    <mergeCell ref="M23:M24"/>
    <mergeCell ref="N23:N24"/>
    <mergeCell ref="O23:O24"/>
    <mergeCell ref="P22:P26"/>
    <mergeCell ref="Q22:Q26"/>
    <mergeCell ref="S22:S26"/>
    <mergeCell ref="T22:T26"/>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12"/>
  <sheetViews>
    <sheetView showGridLines="0" zoomScale="50" zoomScaleNormal="50" workbookViewId="0">
      <selection sqref="A1:BP4"/>
    </sheetView>
  </sheetViews>
  <sheetFormatPr baseColWidth="10" defaultColWidth="11.42578125" defaultRowHeight="15" x14ac:dyDescent="0.2"/>
  <cols>
    <col min="1" max="1" width="17.5703125" style="4" customWidth="1"/>
    <col min="2" max="2" width="5.28515625" style="4" customWidth="1"/>
    <col min="3" max="3" width="13.7109375" style="4" customWidth="1"/>
    <col min="4" max="4" width="14.42578125" style="4" customWidth="1"/>
    <col min="5" max="5" width="7.5703125" style="4" customWidth="1"/>
    <col min="6" max="6" width="10.28515625" style="4" customWidth="1"/>
    <col min="7" max="7" width="19.5703125" style="4" customWidth="1"/>
    <col min="8" max="8" width="12.140625" style="4" customWidth="1"/>
    <col min="9" max="9" width="22.42578125" style="4" customWidth="1"/>
    <col min="10" max="10" width="12.85546875" style="4" customWidth="1"/>
    <col min="11" max="11" width="45.28515625" style="4" customWidth="1"/>
    <col min="12" max="12" width="28.7109375" style="4" customWidth="1"/>
    <col min="13" max="13" width="17.140625" style="4" customWidth="1"/>
    <col min="14" max="14" width="19" style="2100" customWidth="1"/>
    <col min="15" max="15" width="42.42578125" style="1920" customWidth="1"/>
    <col min="16" max="16" width="33.85546875" style="4" customWidth="1"/>
    <col min="17" max="17" width="38.140625" style="4" customWidth="1"/>
    <col min="18" max="18" width="17.85546875" style="4" customWidth="1"/>
    <col min="19" max="19" width="30.5703125" style="4" customWidth="1"/>
    <col min="20" max="20" width="34.28515625" style="4" customWidth="1"/>
    <col min="21" max="21" width="50.85546875" style="1771" customWidth="1"/>
    <col min="22" max="22" width="55.140625" style="1771" customWidth="1"/>
    <col min="23" max="23" width="30.42578125" style="4" bestFit="1" customWidth="1"/>
    <col min="24" max="25" width="30.42578125" style="4" customWidth="1"/>
    <col min="26" max="26" width="16.140625" style="1490" customWidth="1"/>
    <col min="27" max="27" width="24.140625" style="2084" customWidth="1"/>
    <col min="28" max="34" width="8.7109375" style="4" bestFit="1" customWidth="1"/>
    <col min="35" max="35" width="8.28515625" style="4" bestFit="1" customWidth="1"/>
    <col min="36" max="36" width="8.7109375" style="4" bestFit="1" customWidth="1"/>
    <col min="37" max="37" width="7.7109375" style="4" bestFit="1" customWidth="1"/>
    <col min="38" max="38" width="8.7109375" style="4" bestFit="1" customWidth="1"/>
    <col min="39" max="39" width="8.28515625" style="4" bestFit="1" customWidth="1"/>
    <col min="40" max="43" width="5.85546875" style="4" bestFit="1" customWidth="1"/>
    <col min="44" max="44" width="4" style="4" bestFit="1" customWidth="1"/>
    <col min="45" max="45" width="3.7109375" style="4" bestFit="1" customWidth="1"/>
    <col min="46" max="46" width="4" style="4" bestFit="1" customWidth="1"/>
    <col min="47" max="47" width="5.5703125" style="4" customWidth="1"/>
    <col min="48" max="48" width="7.5703125" style="4" customWidth="1"/>
    <col min="49" max="49" width="3.7109375" style="4" bestFit="1" customWidth="1"/>
    <col min="50" max="50" width="5.42578125" style="4" customWidth="1"/>
    <col min="51" max="51" width="5.85546875" style="4" customWidth="1"/>
    <col min="52" max="57" width="7.28515625" style="4" bestFit="1" customWidth="1"/>
    <col min="58" max="58" width="8.7109375" style="4" bestFit="1" customWidth="1"/>
    <col min="59" max="59" width="9.28515625" style="4" customWidth="1"/>
    <col min="60" max="60" width="22.85546875" style="4" customWidth="1"/>
    <col min="61" max="61" width="38.140625" style="4" customWidth="1"/>
    <col min="62" max="62" width="29.7109375" style="4" customWidth="1"/>
    <col min="63" max="63" width="17" style="4" customWidth="1"/>
    <col min="64" max="64" width="24.85546875" style="4" customWidth="1"/>
    <col min="65" max="65" width="20.42578125" style="4" customWidth="1"/>
    <col min="66" max="66" width="14.28515625" style="4" customWidth="1"/>
    <col min="67" max="67" width="15" style="4" customWidth="1"/>
    <col min="68" max="68" width="19.42578125" style="4" customWidth="1"/>
    <col min="69" max="69" width="17.42578125" style="4" customWidth="1"/>
    <col min="70" max="70" width="24.42578125" style="4" customWidth="1"/>
    <col min="71" max="78" width="14.85546875" style="4" customWidth="1"/>
    <col min="79" max="16384" width="11.42578125" style="4"/>
  </cols>
  <sheetData>
    <row r="1" spans="1:85" ht="22.5" customHeight="1" x14ac:dyDescent="0.25">
      <c r="A1" s="3310" t="s">
        <v>1246</v>
      </c>
      <c r="B1" s="3310"/>
      <c r="C1" s="3310"/>
      <c r="D1" s="3310"/>
      <c r="E1" s="3310"/>
      <c r="F1" s="3310"/>
      <c r="G1" s="3310"/>
      <c r="H1" s="3310"/>
      <c r="I1" s="3310"/>
      <c r="J1" s="3310"/>
      <c r="K1" s="3310"/>
      <c r="L1" s="3310"/>
      <c r="M1" s="3310"/>
      <c r="N1" s="3310"/>
      <c r="O1" s="3310"/>
      <c r="P1" s="3310"/>
      <c r="Q1" s="3310"/>
      <c r="R1" s="3310"/>
      <c r="S1" s="3310"/>
      <c r="T1" s="3310"/>
      <c r="U1" s="3310"/>
      <c r="V1" s="3310"/>
      <c r="W1" s="3310"/>
      <c r="X1" s="3310"/>
      <c r="Y1" s="3310"/>
      <c r="Z1" s="3310"/>
      <c r="AA1" s="3310"/>
      <c r="AB1" s="3310"/>
      <c r="AC1" s="3310"/>
      <c r="AD1" s="3310"/>
      <c r="AE1" s="3310"/>
      <c r="AF1" s="3310"/>
      <c r="AG1" s="3310"/>
      <c r="AH1" s="3310"/>
      <c r="AI1" s="3310"/>
      <c r="AJ1" s="3310"/>
      <c r="AK1" s="3310"/>
      <c r="AL1" s="3310"/>
      <c r="AM1" s="3310"/>
      <c r="AN1" s="3310"/>
      <c r="AO1" s="3310"/>
      <c r="AP1" s="3310"/>
      <c r="AQ1" s="3310"/>
      <c r="AR1" s="3310"/>
      <c r="AS1" s="3310"/>
      <c r="AT1" s="3310"/>
      <c r="AU1" s="3310"/>
      <c r="AV1" s="3310"/>
      <c r="AW1" s="3310"/>
      <c r="AX1" s="3310"/>
      <c r="AY1" s="3310"/>
      <c r="AZ1" s="3310"/>
      <c r="BA1" s="3310"/>
      <c r="BB1" s="3310"/>
      <c r="BC1" s="3310"/>
      <c r="BD1" s="3310"/>
      <c r="BE1" s="3310"/>
      <c r="BF1" s="3310"/>
      <c r="BG1" s="3310"/>
      <c r="BH1" s="3310"/>
      <c r="BI1" s="3310"/>
      <c r="BJ1" s="3310"/>
      <c r="BK1" s="3310"/>
      <c r="BL1" s="3310"/>
      <c r="BM1" s="3310"/>
      <c r="BN1" s="3310"/>
      <c r="BO1" s="3310"/>
      <c r="BP1" s="3002"/>
      <c r="BQ1" s="132" t="s">
        <v>0</v>
      </c>
      <c r="BR1" s="609" t="s">
        <v>1</v>
      </c>
    </row>
    <row r="2" spans="1:85" ht="24" customHeight="1" x14ac:dyDescent="0.25">
      <c r="A2" s="3310"/>
      <c r="B2" s="3310"/>
      <c r="C2" s="3310"/>
      <c r="D2" s="3310"/>
      <c r="E2" s="3310"/>
      <c r="F2" s="3310"/>
      <c r="G2" s="3310"/>
      <c r="H2" s="3310"/>
      <c r="I2" s="3310"/>
      <c r="J2" s="3310"/>
      <c r="K2" s="3310"/>
      <c r="L2" s="3310"/>
      <c r="M2" s="3310"/>
      <c r="N2" s="3310"/>
      <c r="O2" s="3310"/>
      <c r="P2" s="3310"/>
      <c r="Q2" s="3310"/>
      <c r="R2" s="3310"/>
      <c r="S2" s="3310"/>
      <c r="T2" s="3310"/>
      <c r="U2" s="3310"/>
      <c r="V2" s="3310"/>
      <c r="W2" s="3310"/>
      <c r="X2" s="3310"/>
      <c r="Y2" s="3310"/>
      <c r="Z2" s="3310"/>
      <c r="AA2" s="3310"/>
      <c r="AB2" s="3310"/>
      <c r="AC2" s="3310"/>
      <c r="AD2" s="3310"/>
      <c r="AE2" s="3310"/>
      <c r="AF2" s="3310"/>
      <c r="AG2" s="3310"/>
      <c r="AH2" s="3310"/>
      <c r="AI2" s="3310"/>
      <c r="AJ2" s="3310"/>
      <c r="AK2" s="3310"/>
      <c r="AL2" s="3310"/>
      <c r="AM2" s="3310"/>
      <c r="AN2" s="3310"/>
      <c r="AO2" s="3310"/>
      <c r="AP2" s="3310"/>
      <c r="AQ2" s="3310"/>
      <c r="AR2" s="3310"/>
      <c r="AS2" s="3310"/>
      <c r="AT2" s="3310"/>
      <c r="AU2" s="3310"/>
      <c r="AV2" s="3310"/>
      <c r="AW2" s="3310"/>
      <c r="AX2" s="3310"/>
      <c r="AY2" s="3310"/>
      <c r="AZ2" s="3310"/>
      <c r="BA2" s="3310"/>
      <c r="BB2" s="3310"/>
      <c r="BC2" s="3310"/>
      <c r="BD2" s="3310"/>
      <c r="BE2" s="3310"/>
      <c r="BF2" s="3310"/>
      <c r="BG2" s="3310"/>
      <c r="BH2" s="3310"/>
      <c r="BI2" s="3310"/>
      <c r="BJ2" s="3310"/>
      <c r="BK2" s="3310"/>
      <c r="BL2" s="3310"/>
      <c r="BM2" s="3310"/>
      <c r="BN2" s="3310"/>
      <c r="BO2" s="3310"/>
      <c r="BP2" s="3002"/>
      <c r="BQ2" s="133" t="s">
        <v>2</v>
      </c>
      <c r="BR2" s="6">
        <v>6</v>
      </c>
    </row>
    <row r="3" spans="1:85" ht="27.75" customHeight="1" x14ac:dyDescent="0.25">
      <c r="A3" s="3310"/>
      <c r="B3" s="3310"/>
      <c r="C3" s="3310"/>
      <c r="D3" s="3310"/>
      <c r="E3" s="3310"/>
      <c r="F3" s="3310"/>
      <c r="G3" s="3310"/>
      <c r="H3" s="3310"/>
      <c r="I3" s="3310"/>
      <c r="J3" s="3310"/>
      <c r="K3" s="3310"/>
      <c r="L3" s="3310"/>
      <c r="M3" s="3310"/>
      <c r="N3" s="3310"/>
      <c r="O3" s="3310"/>
      <c r="P3" s="3310"/>
      <c r="Q3" s="3310"/>
      <c r="R3" s="3310"/>
      <c r="S3" s="3310"/>
      <c r="T3" s="3310"/>
      <c r="U3" s="3310"/>
      <c r="V3" s="3310"/>
      <c r="W3" s="3310"/>
      <c r="X3" s="3310"/>
      <c r="Y3" s="3310"/>
      <c r="Z3" s="3310"/>
      <c r="AA3" s="3310"/>
      <c r="AB3" s="3310"/>
      <c r="AC3" s="3310"/>
      <c r="AD3" s="3310"/>
      <c r="AE3" s="3310"/>
      <c r="AF3" s="3310"/>
      <c r="AG3" s="3310"/>
      <c r="AH3" s="3310"/>
      <c r="AI3" s="3310"/>
      <c r="AJ3" s="3310"/>
      <c r="AK3" s="3310"/>
      <c r="AL3" s="3310"/>
      <c r="AM3" s="3310"/>
      <c r="AN3" s="3310"/>
      <c r="AO3" s="3310"/>
      <c r="AP3" s="3310"/>
      <c r="AQ3" s="3310"/>
      <c r="AR3" s="3310"/>
      <c r="AS3" s="3310"/>
      <c r="AT3" s="3310"/>
      <c r="AU3" s="3310"/>
      <c r="AV3" s="3310"/>
      <c r="AW3" s="3310"/>
      <c r="AX3" s="3310"/>
      <c r="AY3" s="3310"/>
      <c r="AZ3" s="3310"/>
      <c r="BA3" s="3310"/>
      <c r="BB3" s="3310"/>
      <c r="BC3" s="3310"/>
      <c r="BD3" s="3310"/>
      <c r="BE3" s="3310"/>
      <c r="BF3" s="3310"/>
      <c r="BG3" s="3310"/>
      <c r="BH3" s="3310"/>
      <c r="BI3" s="3310"/>
      <c r="BJ3" s="3310"/>
      <c r="BK3" s="3310"/>
      <c r="BL3" s="3310"/>
      <c r="BM3" s="3310"/>
      <c r="BN3" s="3310"/>
      <c r="BO3" s="3310"/>
      <c r="BP3" s="3002"/>
      <c r="BQ3" s="132" t="s">
        <v>3</v>
      </c>
      <c r="BR3" s="7" t="s">
        <v>4</v>
      </c>
    </row>
    <row r="4" spans="1:85" s="10" customFormat="1" ht="24.75" customHeight="1" x14ac:dyDescent="0.2">
      <c r="A4" s="3004"/>
      <c r="B4" s="3004"/>
      <c r="C4" s="3004"/>
      <c r="D4" s="3004"/>
      <c r="E4" s="3004"/>
      <c r="F4" s="3004"/>
      <c r="G4" s="3004"/>
      <c r="H4" s="3004"/>
      <c r="I4" s="3004"/>
      <c r="J4" s="3004"/>
      <c r="K4" s="3004"/>
      <c r="L4" s="3004"/>
      <c r="M4" s="3004"/>
      <c r="N4" s="3004"/>
      <c r="O4" s="3004"/>
      <c r="P4" s="3004"/>
      <c r="Q4" s="3004"/>
      <c r="R4" s="3004"/>
      <c r="S4" s="3004"/>
      <c r="T4" s="3004"/>
      <c r="U4" s="3004"/>
      <c r="V4" s="3004"/>
      <c r="W4" s="3004"/>
      <c r="X4" s="3004"/>
      <c r="Y4" s="3004"/>
      <c r="Z4" s="3004"/>
      <c r="AA4" s="3004"/>
      <c r="AB4" s="3004"/>
      <c r="AC4" s="3004"/>
      <c r="AD4" s="3004"/>
      <c r="AE4" s="3004"/>
      <c r="AF4" s="3004"/>
      <c r="AG4" s="3004"/>
      <c r="AH4" s="3004"/>
      <c r="AI4" s="3004"/>
      <c r="AJ4" s="3004"/>
      <c r="AK4" s="3004"/>
      <c r="AL4" s="3004"/>
      <c r="AM4" s="3004"/>
      <c r="AN4" s="3004"/>
      <c r="AO4" s="3004"/>
      <c r="AP4" s="3004"/>
      <c r="AQ4" s="3004"/>
      <c r="AR4" s="3004"/>
      <c r="AS4" s="3004"/>
      <c r="AT4" s="3004"/>
      <c r="AU4" s="3004"/>
      <c r="AV4" s="3004"/>
      <c r="AW4" s="3004"/>
      <c r="AX4" s="3004"/>
      <c r="AY4" s="3004"/>
      <c r="AZ4" s="3004"/>
      <c r="BA4" s="3004"/>
      <c r="BB4" s="3004"/>
      <c r="BC4" s="3004"/>
      <c r="BD4" s="3004"/>
      <c r="BE4" s="3004"/>
      <c r="BF4" s="3004"/>
      <c r="BG4" s="3004"/>
      <c r="BH4" s="3004"/>
      <c r="BI4" s="3004"/>
      <c r="BJ4" s="3004"/>
      <c r="BK4" s="3004"/>
      <c r="BL4" s="3004"/>
      <c r="BM4" s="3004"/>
      <c r="BN4" s="3004"/>
      <c r="BO4" s="3004"/>
      <c r="BP4" s="3005"/>
      <c r="BQ4" s="132" t="s">
        <v>5</v>
      </c>
      <c r="BR4" s="9" t="s">
        <v>6</v>
      </c>
    </row>
    <row r="5" spans="1:85" ht="24.75" customHeight="1" thickBot="1" x14ac:dyDescent="0.25">
      <c r="A5" s="3008" t="s">
        <v>7</v>
      </c>
      <c r="B5" s="3008"/>
      <c r="C5" s="3008"/>
      <c r="D5" s="3008"/>
      <c r="E5" s="3008"/>
      <c r="F5" s="3008"/>
      <c r="G5" s="3008"/>
      <c r="H5" s="3008"/>
      <c r="I5" s="3008"/>
      <c r="J5" s="3008"/>
      <c r="K5" s="3008"/>
      <c r="L5" s="3008"/>
      <c r="M5" s="3008"/>
      <c r="N5" s="1770"/>
      <c r="O5" s="1770"/>
      <c r="P5" s="1770"/>
      <c r="Q5" s="3008" t="s">
        <v>8</v>
      </c>
      <c r="R5" s="3008"/>
      <c r="S5" s="3008"/>
      <c r="T5" s="3008"/>
      <c r="U5" s="3008"/>
      <c r="V5" s="3008"/>
      <c r="W5" s="3008"/>
      <c r="X5" s="3008"/>
      <c r="Y5" s="3008"/>
      <c r="Z5" s="3008"/>
      <c r="AA5" s="3008"/>
      <c r="AB5" s="3008"/>
      <c r="AC5" s="3008"/>
      <c r="AD5" s="3008"/>
      <c r="AE5" s="3008"/>
      <c r="AF5" s="3008"/>
      <c r="AG5" s="3008"/>
      <c r="AH5" s="3008"/>
      <c r="AI5" s="3008"/>
      <c r="AJ5" s="3008"/>
      <c r="AK5" s="3008"/>
      <c r="AL5" s="3008"/>
      <c r="AM5" s="3008"/>
      <c r="AN5" s="3008"/>
      <c r="AO5" s="3008"/>
      <c r="AP5" s="3008"/>
      <c r="AQ5" s="3008"/>
      <c r="AR5" s="3008"/>
      <c r="AS5" s="3008"/>
      <c r="AT5" s="3008"/>
      <c r="AU5" s="3008"/>
      <c r="AV5" s="3008"/>
      <c r="AW5" s="3008"/>
      <c r="AX5" s="3008"/>
      <c r="AY5" s="3008"/>
      <c r="AZ5" s="3008"/>
      <c r="BA5" s="3008"/>
      <c r="BB5" s="3008"/>
      <c r="BC5" s="3008"/>
      <c r="BD5" s="3008"/>
      <c r="BE5" s="3008"/>
      <c r="BF5" s="3008"/>
      <c r="BG5" s="3008"/>
      <c r="BH5" s="3008"/>
      <c r="BI5" s="3008"/>
      <c r="BJ5" s="3008"/>
      <c r="BK5" s="3008"/>
      <c r="BL5" s="3008"/>
      <c r="BM5" s="3008"/>
      <c r="BN5" s="3008"/>
      <c r="BO5" s="3008"/>
      <c r="BP5" s="3008"/>
      <c r="BQ5" s="3008"/>
      <c r="BR5" s="3008"/>
    </row>
    <row r="6" spans="1:85" ht="34.5" customHeight="1" x14ac:dyDescent="0.2">
      <c r="A6" s="3026" t="s">
        <v>0</v>
      </c>
      <c r="B6" s="4331" t="s">
        <v>9</v>
      </c>
      <c r="C6" s="4332"/>
      <c r="D6" s="3029" t="s">
        <v>0</v>
      </c>
      <c r="E6" s="4331" t="s">
        <v>10</v>
      </c>
      <c r="F6" s="4332"/>
      <c r="G6" s="3029" t="s">
        <v>0</v>
      </c>
      <c r="H6" s="4331" t="s">
        <v>11</v>
      </c>
      <c r="I6" s="4332"/>
      <c r="J6" s="3029" t="s">
        <v>0</v>
      </c>
      <c r="K6" s="3029" t="s">
        <v>12</v>
      </c>
      <c r="L6" s="3029" t="s">
        <v>13</v>
      </c>
      <c r="M6" s="4331" t="s">
        <v>14</v>
      </c>
      <c r="N6" s="4332"/>
      <c r="O6" s="3029" t="s">
        <v>15</v>
      </c>
      <c r="P6" s="3029" t="s">
        <v>108</v>
      </c>
      <c r="Q6" s="3029" t="s">
        <v>8</v>
      </c>
      <c r="R6" s="4500" t="s">
        <v>17</v>
      </c>
      <c r="S6" s="4500" t="s">
        <v>18</v>
      </c>
      <c r="T6" s="4500" t="s">
        <v>19</v>
      </c>
      <c r="U6" s="4500" t="s">
        <v>20</v>
      </c>
      <c r="V6" s="4500" t="s">
        <v>21</v>
      </c>
      <c r="W6" s="4502" t="s">
        <v>18</v>
      </c>
      <c r="X6" s="4503"/>
      <c r="Y6" s="4504"/>
      <c r="Z6" s="1791"/>
      <c r="AA6" s="3029" t="s">
        <v>22</v>
      </c>
      <c r="AB6" s="3882" t="s">
        <v>23</v>
      </c>
      <c r="AC6" s="3883"/>
      <c r="AD6" s="3883"/>
      <c r="AE6" s="3884"/>
      <c r="AF6" s="3885" t="s">
        <v>24</v>
      </c>
      <c r="AG6" s="3886"/>
      <c r="AH6" s="3886"/>
      <c r="AI6" s="3886"/>
      <c r="AJ6" s="3886"/>
      <c r="AK6" s="3886"/>
      <c r="AL6" s="3886"/>
      <c r="AM6" s="3887"/>
      <c r="AN6" s="3888" t="s">
        <v>25</v>
      </c>
      <c r="AO6" s="3889"/>
      <c r="AP6" s="3889"/>
      <c r="AQ6" s="3889"/>
      <c r="AR6" s="3889"/>
      <c r="AS6" s="3889"/>
      <c r="AT6" s="3889"/>
      <c r="AU6" s="3889"/>
      <c r="AV6" s="3889"/>
      <c r="AW6" s="3889"/>
      <c r="AX6" s="3889"/>
      <c r="AY6" s="3890"/>
      <c r="AZ6" s="4483" t="s">
        <v>26</v>
      </c>
      <c r="BA6" s="4484"/>
      <c r="BB6" s="4484"/>
      <c r="BC6" s="4484"/>
      <c r="BD6" s="4484"/>
      <c r="BE6" s="4485"/>
      <c r="BF6" s="4486" t="s">
        <v>27</v>
      </c>
      <c r="BG6" s="4487"/>
      <c r="BH6" s="3017" t="s">
        <v>28</v>
      </c>
      <c r="BI6" s="3018"/>
      <c r="BJ6" s="3018"/>
      <c r="BK6" s="3018"/>
      <c r="BL6" s="3018"/>
      <c r="BM6" s="3019"/>
      <c r="BN6" s="4473" t="s">
        <v>29</v>
      </c>
      <c r="BO6" s="4474"/>
      <c r="BP6" s="4473" t="s">
        <v>30</v>
      </c>
      <c r="BQ6" s="4474"/>
      <c r="BR6" s="4477" t="s">
        <v>31</v>
      </c>
      <c r="BS6" s="48"/>
      <c r="BT6" s="48"/>
      <c r="BU6" s="48"/>
      <c r="BV6" s="48"/>
      <c r="BW6" s="48"/>
      <c r="BX6" s="48"/>
      <c r="BY6" s="48"/>
      <c r="BZ6" s="48"/>
      <c r="CA6" s="48"/>
      <c r="CB6" s="48"/>
      <c r="CC6" s="48"/>
      <c r="CD6" s="48"/>
      <c r="CE6" s="48"/>
      <c r="CF6" s="48"/>
      <c r="CG6" s="48"/>
    </row>
    <row r="7" spans="1:85" ht="126.75" customHeight="1" x14ac:dyDescent="0.2">
      <c r="A7" s="3027"/>
      <c r="B7" s="4374"/>
      <c r="C7" s="4376"/>
      <c r="D7" s="3030"/>
      <c r="E7" s="4374"/>
      <c r="F7" s="4376"/>
      <c r="G7" s="3030"/>
      <c r="H7" s="4374"/>
      <c r="I7" s="4376"/>
      <c r="J7" s="3030"/>
      <c r="K7" s="3030"/>
      <c r="L7" s="3030"/>
      <c r="M7" s="1792" t="s">
        <v>32</v>
      </c>
      <c r="N7" s="1775" t="s">
        <v>33</v>
      </c>
      <c r="O7" s="3030"/>
      <c r="P7" s="3030"/>
      <c r="Q7" s="3030"/>
      <c r="R7" s="4501"/>
      <c r="S7" s="4501"/>
      <c r="T7" s="4501"/>
      <c r="U7" s="4501"/>
      <c r="V7" s="4501"/>
      <c r="W7" s="1786" t="s">
        <v>34</v>
      </c>
      <c r="X7" s="1784" t="s">
        <v>35</v>
      </c>
      <c r="Y7" s="1784" t="s">
        <v>36</v>
      </c>
      <c r="Z7" s="1769" t="s">
        <v>0</v>
      </c>
      <c r="AA7" s="3030"/>
      <c r="AB7" s="4479" t="s">
        <v>37</v>
      </c>
      <c r="AC7" s="4480"/>
      <c r="AD7" s="4481" t="s">
        <v>38</v>
      </c>
      <c r="AE7" s="4482"/>
      <c r="AF7" s="4479" t="s">
        <v>39</v>
      </c>
      <c r="AG7" s="4480"/>
      <c r="AH7" s="4479" t="s">
        <v>40</v>
      </c>
      <c r="AI7" s="4480"/>
      <c r="AJ7" s="4479" t="s">
        <v>1247</v>
      </c>
      <c r="AK7" s="4480"/>
      <c r="AL7" s="4479" t="s">
        <v>42</v>
      </c>
      <c r="AM7" s="4480"/>
      <c r="AN7" s="4490" t="s">
        <v>43</v>
      </c>
      <c r="AO7" s="4491"/>
      <c r="AP7" s="4490" t="s">
        <v>44</v>
      </c>
      <c r="AQ7" s="4491"/>
      <c r="AR7" s="4490" t="s">
        <v>45</v>
      </c>
      <c r="AS7" s="4491"/>
      <c r="AT7" s="4490" t="s">
        <v>46</v>
      </c>
      <c r="AU7" s="4491"/>
      <c r="AV7" s="4490" t="s">
        <v>47</v>
      </c>
      <c r="AW7" s="4491"/>
      <c r="AX7" s="4490" t="s">
        <v>48</v>
      </c>
      <c r="AY7" s="4491"/>
      <c r="AZ7" s="4490" t="s">
        <v>49</v>
      </c>
      <c r="BA7" s="4491"/>
      <c r="BB7" s="4490" t="s">
        <v>50</v>
      </c>
      <c r="BC7" s="4491"/>
      <c r="BD7" s="4490" t="s">
        <v>51</v>
      </c>
      <c r="BE7" s="4491"/>
      <c r="BF7" s="4488"/>
      <c r="BG7" s="4489"/>
      <c r="BH7" s="3049" t="s">
        <v>112</v>
      </c>
      <c r="BI7" s="4492" t="s">
        <v>53</v>
      </c>
      <c r="BJ7" s="4492" t="s">
        <v>54</v>
      </c>
      <c r="BK7" s="4493" t="s">
        <v>55</v>
      </c>
      <c r="BL7" s="3049" t="s">
        <v>56</v>
      </c>
      <c r="BM7" s="3050" t="s">
        <v>57</v>
      </c>
      <c r="BN7" s="4475"/>
      <c r="BO7" s="4476"/>
      <c r="BP7" s="4475"/>
      <c r="BQ7" s="4476"/>
      <c r="BR7" s="4478"/>
      <c r="BS7" s="48"/>
      <c r="BT7" s="48"/>
      <c r="BU7" s="48"/>
      <c r="BV7" s="48"/>
      <c r="BW7" s="48"/>
      <c r="BX7" s="48"/>
      <c r="BY7" s="48"/>
      <c r="BZ7" s="48"/>
      <c r="CA7" s="48"/>
      <c r="CB7" s="48"/>
      <c r="CC7" s="48"/>
      <c r="CD7" s="48"/>
      <c r="CE7" s="48"/>
      <c r="CF7" s="48"/>
      <c r="CG7" s="48"/>
    </row>
    <row r="8" spans="1:85" s="1798" customFormat="1" ht="15.75" x14ac:dyDescent="0.25">
      <c r="A8" s="1793">
        <v>3</v>
      </c>
      <c r="B8" s="1794"/>
      <c r="C8" s="1794" t="s">
        <v>836</v>
      </c>
      <c r="D8" s="1794"/>
      <c r="E8" s="1794"/>
      <c r="F8" s="1794"/>
      <c r="G8" s="1794"/>
      <c r="H8" s="1794"/>
      <c r="I8" s="1794"/>
      <c r="J8" s="1794"/>
      <c r="K8" s="24"/>
      <c r="L8" s="24"/>
      <c r="M8" s="1794"/>
      <c r="N8" s="1795"/>
      <c r="O8" s="25"/>
      <c r="P8" s="1794"/>
      <c r="Q8" s="24"/>
      <c r="R8" s="1796"/>
      <c r="S8" s="1797"/>
      <c r="T8" s="24"/>
      <c r="U8" s="24"/>
      <c r="V8" s="24"/>
      <c r="W8" s="24"/>
      <c r="X8" s="24"/>
      <c r="Y8" s="24"/>
      <c r="Z8" s="25"/>
      <c r="AA8" s="1794"/>
      <c r="AB8" s="148" t="s">
        <v>32</v>
      </c>
      <c r="AC8" s="148" t="s">
        <v>33</v>
      </c>
      <c r="AD8" s="148" t="s">
        <v>32</v>
      </c>
      <c r="AE8" s="148" t="s">
        <v>33</v>
      </c>
      <c r="AF8" s="148" t="s">
        <v>32</v>
      </c>
      <c r="AG8" s="148" t="s">
        <v>33</v>
      </c>
      <c r="AH8" s="148" t="s">
        <v>32</v>
      </c>
      <c r="AI8" s="148" t="s">
        <v>33</v>
      </c>
      <c r="AJ8" s="148" t="s">
        <v>32</v>
      </c>
      <c r="AK8" s="148" t="s">
        <v>33</v>
      </c>
      <c r="AL8" s="148" t="s">
        <v>32</v>
      </c>
      <c r="AM8" s="148" t="s">
        <v>33</v>
      </c>
      <c r="AN8" s="148" t="s">
        <v>32</v>
      </c>
      <c r="AO8" s="148" t="s">
        <v>33</v>
      </c>
      <c r="AP8" s="148" t="s">
        <v>32</v>
      </c>
      <c r="AQ8" s="148" t="s">
        <v>33</v>
      </c>
      <c r="AR8" s="148" t="s">
        <v>32</v>
      </c>
      <c r="AS8" s="148" t="s">
        <v>33</v>
      </c>
      <c r="AT8" s="148" t="s">
        <v>32</v>
      </c>
      <c r="AU8" s="148" t="s">
        <v>33</v>
      </c>
      <c r="AV8" s="148" t="s">
        <v>32</v>
      </c>
      <c r="AW8" s="148" t="s">
        <v>33</v>
      </c>
      <c r="AX8" s="148" t="s">
        <v>32</v>
      </c>
      <c r="AY8" s="148" t="s">
        <v>33</v>
      </c>
      <c r="AZ8" s="148" t="s">
        <v>32</v>
      </c>
      <c r="BA8" s="148" t="s">
        <v>33</v>
      </c>
      <c r="BB8" s="148" t="s">
        <v>32</v>
      </c>
      <c r="BC8" s="148" t="s">
        <v>33</v>
      </c>
      <c r="BD8" s="148" t="s">
        <v>32</v>
      </c>
      <c r="BE8" s="148" t="s">
        <v>33</v>
      </c>
      <c r="BF8" s="148" t="s">
        <v>32</v>
      </c>
      <c r="BG8" s="148" t="s">
        <v>33</v>
      </c>
      <c r="BH8" s="3049"/>
      <c r="BI8" s="4492"/>
      <c r="BJ8" s="4492"/>
      <c r="BK8" s="4493"/>
      <c r="BL8" s="3049"/>
      <c r="BM8" s="3051"/>
      <c r="BN8" s="148" t="s">
        <v>32</v>
      </c>
      <c r="BO8" s="148" t="s">
        <v>33</v>
      </c>
      <c r="BP8" s="148" t="s">
        <v>32</v>
      </c>
      <c r="BQ8" s="148" t="s">
        <v>33</v>
      </c>
      <c r="BR8" s="148" t="s">
        <v>33</v>
      </c>
    </row>
    <row r="9" spans="1:85" s="1798" customFormat="1" ht="15.75" customHeight="1" x14ac:dyDescent="0.25">
      <c r="A9" s="1799"/>
      <c r="B9" s="1800"/>
      <c r="C9" s="1801"/>
      <c r="D9" s="1802">
        <v>5</v>
      </c>
      <c r="E9" s="1803" t="s">
        <v>1248</v>
      </c>
      <c r="F9" s="1803"/>
      <c r="G9" s="1803"/>
      <c r="H9" s="1803"/>
      <c r="I9" s="1803"/>
      <c r="J9" s="1803"/>
      <c r="K9" s="37"/>
      <c r="L9" s="37"/>
      <c r="M9" s="1803"/>
      <c r="N9" s="1804"/>
      <c r="O9" s="38"/>
      <c r="P9" s="1803"/>
      <c r="Q9" s="37"/>
      <c r="R9" s="1805"/>
      <c r="S9" s="1806"/>
      <c r="T9" s="37"/>
      <c r="U9" s="37"/>
      <c r="V9" s="37"/>
      <c r="W9" s="37"/>
      <c r="X9" s="37"/>
      <c r="Y9" s="37"/>
      <c r="Z9" s="38"/>
      <c r="AA9" s="1803"/>
      <c r="AB9" s="1803"/>
      <c r="AC9" s="1803"/>
      <c r="AD9" s="1803"/>
      <c r="AE9" s="1803"/>
      <c r="AF9" s="1803"/>
      <c r="AG9" s="1803"/>
      <c r="AH9" s="1803"/>
      <c r="AI9" s="1803"/>
      <c r="AJ9" s="1803"/>
      <c r="AK9" s="1803"/>
      <c r="AL9" s="1803"/>
      <c r="AM9" s="1803"/>
      <c r="AN9" s="1803"/>
      <c r="AO9" s="1803"/>
      <c r="AP9" s="1803"/>
      <c r="AQ9" s="1803"/>
      <c r="AR9" s="1803"/>
      <c r="AS9" s="1803"/>
      <c r="AT9" s="1807"/>
      <c r="AU9" s="1807"/>
      <c r="AV9" s="37"/>
      <c r="AW9" s="37"/>
      <c r="AX9" s="1808"/>
      <c r="AY9" s="1808"/>
      <c r="AZ9" s="1808"/>
      <c r="BA9" s="1808"/>
      <c r="BB9" s="1808"/>
      <c r="BC9" s="1808"/>
      <c r="BD9" s="1808"/>
      <c r="BE9" s="1808"/>
      <c r="BF9" s="1808"/>
      <c r="BG9" s="1808"/>
      <c r="BH9" s="1808"/>
      <c r="BI9" s="1808"/>
      <c r="BJ9" s="1808"/>
      <c r="BK9" s="1808"/>
      <c r="BL9" s="1808"/>
      <c r="BM9" s="1808"/>
      <c r="BN9" s="1808"/>
      <c r="BO9" s="1808"/>
      <c r="BP9" s="1808"/>
      <c r="BQ9" s="1808"/>
      <c r="BR9" s="1809"/>
    </row>
    <row r="10" spans="1:85" s="1798" customFormat="1" ht="15.75" customHeight="1" x14ac:dyDescent="0.25">
      <c r="A10" s="1810"/>
      <c r="B10" s="1811"/>
      <c r="C10" s="1811"/>
      <c r="D10" s="1812"/>
      <c r="E10" s="1813"/>
      <c r="F10" s="1814"/>
      <c r="G10" s="1815">
        <v>16</v>
      </c>
      <c r="H10" s="1767" t="s">
        <v>1249</v>
      </c>
      <c r="I10" s="1767"/>
      <c r="J10" s="1767"/>
      <c r="K10" s="1541"/>
      <c r="L10" s="1541"/>
      <c r="M10" s="1767"/>
      <c r="N10" s="1816"/>
      <c r="O10" s="816"/>
      <c r="P10" s="1767"/>
      <c r="Q10" s="1541"/>
      <c r="R10" s="1817"/>
      <c r="S10" s="1818"/>
      <c r="T10" s="1541"/>
      <c r="U10" s="1819"/>
      <c r="V10" s="1819"/>
      <c r="W10" s="1819"/>
      <c r="X10" s="1819"/>
      <c r="Y10" s="1819"/>
      <c r="Z10" s="1820"/>
      <c r="AA10" s="1821"/>
      <c r="AB10" s="1767"/>
      <c r="AC10" s="1767"/>
      <c r="AD10" s="1767"/>
      <c r="AE10" s="1767"/>
      <c r="AF10" s="1767"/>
      <c r="AG10" s="1767"/>
      <c r="AH10" s="1767"/>
      <c r="AI10" s="1767"/>
      <c r="AJ10" s="1767"/>
      <c r="AK10" s="1767"/>
      <c r="AL10" s="1767"/>
      <c r="AM10" s="1767"/>
      <c r="AN10" s="1822"/>
      <c r="AO10" s="1822"/>
      <c r="AP10" s="1767"/>
      <c r="AQ10" s="1767"/>
      <c r="AR10" s="1767"/>
      <c r="AS10" s="1767"/>
      <c r="AT10" s="1823"/>
      <c r="AU10" s="1823"/>
      <c r="AV10" s="1541"/>
      <c r="AW10" s="1541"/>
      <c r="AX10" s="1824"/>
      <c r="AY10" s="1824"/>
      <c r="AZ10" s="1824"/>
      <c r="BA10" s="1824"/>
      <c r="BB10" s="1824"/>
      <c r="BC10" s="1824"/>
      <c r="BD10" s="1824"/>
      <c r="BE10" s="1824"/>
      <c r="BF10" s="1824"/>
      <c r="BG10" s="1824"/>
      <c r="BH10" s="1824"/>
      <c r="BI10" s="1824"/>
      <c r="BJ10" s="1824"/>
      <c r="BK10" s="1824"/>
      <c r="BL10" s="1824"/>
      <c r="BM10" s="1824"/>
      <c r="BN10" s="1824"/>
      <c r="BO10" s="1824"/>
      <c r="BP10" s="1824"/>
      <c r="BQ10" s="1824"/>
      <c r="BR10" s="1825"/>
    </row>
    <row r="11" spans="1:85" s="1829" customFormat="1" ht="36.75" customHeight="1" x14ac:dyDescent="0.25">
      <c r="A11" s="1810"/>
      <c r="B11" s="1811"/>
      <c r="C11" s="1811"/>
      <c r="D11" s="1826"/>
      <c r="E11" s="1827"/>
      <c r="F11" s="1828"/>
      <c r="G11" s="1883"/>
      <c r="H11" s="1883"/>
      <c r="I11" s="1882"/>
      <c r="J11" s="3233">
        <v>65</v>
      </c>
      <c r="K11" s="4494" t="s">
        <v>1250</v>
      </c>
      <c r="L11" s="4494" t="s">
        <v>1251</v>
      </c>
      <c r="M11" s="4495">
        <v>1</v>
      </c>
      <c r="N11" s="4497">
        <v>0.8</v>
      </c>
      <c r="O11" s="3510" t="s">
        <v>1252</v>
      </c>
      <c r="P11" s="4369" t="s">
        <v>1253</v>
      </c>
      <c r="Q11" s="4541" t="s">
        <v>1254</v>
      </c>
      <c r="R11" s="4524">
        <f>SUM(W11:W15)/$S$11</f>
        <v>0.28664236022810946</v>
      </c>
      <c r="S11" s="4544">
        <f>+W11+W13+W14+W15+W16+W17+W18+W19+W20+W21+W22+W23+W24+W25</f>
        <v>22459800034.010002</v>
      </c>
      <c r="T11" s="4545" t="s">
        <v>1255</v>
      </c>
      <c r="U11" s="4510" t="s">
        <v>1256</v>
      </c>
      <c r="V11" s="4510" t="s">
        <v>1257</v>
      </c>
      <c r="W11" s="4511">
        <v>2166498979</v>
      </c>
      <c r="X11" s="4512">
        <v>2134228777</v>
      </c>
      <c r="Y11" s="4512">
        <v>1689550165</v>
      </c>
      <c r="Z11" s="3207">
        <v>35</v>
      </c>
      <c r="AA11" s="4505" t="s">
        <v>1258</v>
      </c>
      <c r="AB11" s="4506">
        <v>20555</v>
      </c>
      <c r="AC11" s="4507">
        <v>20555</v>
      </c>
      <c r="AD11" s="4508">
        <v>21361</v>
      </c>
      <c r="AE11" s="4507">
        <v>21361</v>
      </c>
      <c r="AF11" s="4508">
        <v>30460</v>
      </c>
      <c r="AG11" s="4507">
        <v>30460</v>
      </c>
      <c r="AH11" s="4508">
        <v>9593</v>
      </c>
      <c r="AI11" s="4507">
        <v>9593</v>
      </c>
      <c r="AJ11" s="4508">
        <v>1762</v>
      </c>
      <c r="AK11" s="4507">
        <v>1762</v>
      </c>
      <c r="AL11" s="4508">
        <v>101</v>
      </c>
      <c r="AM11" s="4507">
        <v>101</v>
      </c>
      <c r="AN11" s="4508">
        <v>308</v>
      </c>
      <c r="AO11" s="4507">
        <v>308</v>
      </c>
      <c r="AP11" s="4508">
        <v>277</v>
      </c>
      <c r="AQ11" s="4507">
        <v>0</v>
      </c>
      <c r="AR11" s="4508">
        <v>0</v>
      </c>
      <c r="AS11" s="4507"/>
      <c r="AT11" s="4508">
        <v>0</v>
      </c>
      <c r="AU11" s="4507">
        <v>0</v>
      </c>
      <c r="AV11" s="4508">
        <v>0</v>
      </c>
      <c r="AW11" s="4507"/>
      <c r="AX11" s="4508">
        <v>0</v>
      </c>
      <c r="AY11" s="4507">
        <v>0</v>
      </c>
      <c r="AZ11" s="4508">
        <v>2907</v>
      </c>
      <c r="BA11" s="4507">
        <v>2907</v>
      </c>
      <c r="BB11" s="4508">
        <v>2589</v>
      </c>
      <c r="BC11" s="4507">
        <v>2589</v>
      </c>
      <c r="BD11" s="4508">
        <v>2954</v>
      </c>
      <c r="BE11" s="4507">
        <v>2954</v>
      </c>
      <c r="BF11" s="4508">
        <f>+AB11+AD11</f>
        <v>41916</v>
      </c>
      <c r="BG11" s="4507">
        <v>41916</v>
      </c>
      <c r="BH11" s="3232">
        <v>29</v>
      </c>
      <c r="BI11" s="4535">
        <f>SUM(X11:X25)</f>
        <v>18205110876.370003</v>
      </c>
      <c r="BJ11" s="4535">
        <f>SUM(Y11:Y25)</f>
        <v>11269721692</v>
      </c>
      <c r="BK11" s="4527">
        <f>+BJ11/BI11</f>
        <v>0.61904163992914496</v>
      </c>
      <c r="BL11" s="4530" t="s">
        <v>1259</v>
      </c>
      <c r="BM11" s="3366" t="s">
        <v>1260</v>
      </c>
      <c r="BN11" s="4532">
        <v>43466</v>
      </c>
      <c r="BO11" s="4532">
        <v>43466</v>
      </c>
      <c r="BP11" s="4516">
        <v>43830</v>
      </c>
      <c r="BQ11" s="4516">
        <v>43830</v>
      </c>
      <c r="BR11" s="3233" t="s">
        <v>1261</v>
      </c>
    </row>
    <row r="12" spans="1:85" s="1829" customFormat="1" ht="36.75" customHeight="1" x14ac:dyDescent="0.25">
      <c r="A12" s="1810"/>
      <c r="B12" s="1811"/>
      <c r="C12" s="1811"/>
      <c r="D12" s="1826"/>
      <c r="E12" s="1827"/>
      <c r="F12" s="1828"/>
      <c r="G12" s="1883"/>
      <c r="H12" s="1883"/>
      <c r="I12" s="1882"/>
      <c r="J12" s="3233"/>
      <c r="K12" s="4494"/>
      <c r="L12" s="4494"/>
      <c r="M12" s="4495"/>
      <c r="N12" s="4498"/>
      <c r="O12" s="3511"/>
      <c r="P12" s="4369"/>
      <c r="Q12" s="4542"/>
      <c r="R12" s="4524"/>
      <c r="S12" s="4544"/>
      <c r="T12" s="4545"/>
      <c r="U12" s="4510"/>
      <c r="V12" s="4510"/>
      <c r="W12" s="4511"/>
      <c r="X12" s="4513"/>
      <c r="Y12" s="4513"/>
      <c r="Z12" s="3207"/>
      <c r="AA12" s="4505"/>
      <c r="AB12" s="4506"/>
      <c r="AC12" s="4508"/>
      <c r="AD12" s="4508"/>
      <c r="AE12" s="4508"/>
      <c r="AF12" s="4508"/>
      <c r="AG12" s="4508"/>
      <c r="AH12" s="4508"/>
      <c r="AI12" s="4508"/>
      <c r="AJ12" s="4508"/>
      <c r="AK12" s="4508"/>
      <c r="AL12" s="4508"/>
      <c r="AM12" s="4508"/>
      <c r="AN12" s="4508"/>
      <c r="AO12" s="4508"/>
      <c r="AP12" s="4508"/>
      <c r="AQ12" s="4508"/>
      <c r="AR12" s="4508"/>
      <c r="AS12" s="4508"/>
      <c r="AT12" s="4508"/>
      <c r="AU12" s="4508"/>
      <c r="AV12" s="4508"/>
      <c r="AW12" s="4508"/>
      <c r="AX12" s="4508"/>
      <c r="AY12" s="4508"/>
      <c r="AZ12" s="4508"/>
      <c r="BA12" s="4508"/>
      <c r="BB12" s="4508"/>
      <c r="BC12" s="4508"/>
      <c r="BD12" s="4508"/>
      <c r="BE12" s="4508"/>
      <c r="BF12" s="4508"/>
      <c r="BG12" s="4508"/>
      <c r="BH12" s="3233"/>
      <c r="BI12" s="4536"/>
      <c r="BJ12" s="4536"/>
      <c r="BK12" s="4528"/>
      <c r="BL12" s="4530"/>
      <c r="BM12" s="4531"/>
      <c r="BN12" s="4533"/>
      <c r="BO12" s="4533"/>
      <c r="BP12" s="4517"/>
      <c r="BQ12" s="4517"/>
      <c r="BR12" s="3233"/>
    </row>
    <row r="13" spans="1:85" s="1829" customFormat="1" ht="36.75" customHeight="1" x14ac:dyDescent="0.25">
      <c r="A13" s="1810"/>
      <c r="B13" s="1811"/>
      <c r="C13" s="1811"/>
      <c r="D13" s="1826"/>
      <c r="E13" s="1827"/>
      <c r="F13" s="1828"/>
      <c r="G13" s="1883"/>
      <c r="H13" s="1883"/>
      <c r="I13" s="1882"/>
      <c r="J13" s="3233"/>
      <c r="K13" s="4494"/>
      <c r="L13" s="4494"/>
      <c r="M13" s="4495"/>
      <c r="N13" s="4498"/>
      <c r="O13" s="3511"/>
      <c r="P13" s="4369"/>
      <c r="Q13" s="4542"/>
      <c r="R13" s="4524"/>
      <c r="S13" s="4544"/>
      <c r="T13" s="4545"/>
      <c r="U13" s="4510"/>
      <c r="V13" s="4510"/>
      <c r="W13" s="1830">
        <f>1142155795+241355304</f>
        <v>1383511099</v>
      </c>
      <c r="X13" s="1830">
        <f>748565083</f>
        <v>748565083</v>
      </c>
      <c r="Y13" s="1830">
        <f>574287728+6-6</f>
        <v>574287728</v>
      </c>
      <c r="Z13" s="1756">
        <v>20</v>
      </c>
      <c r="AA13" s="1831" t="s">
        <v>124</v>
      </c>
      <c r="AB13" s="4506"/>
      <c r="AC13" s="4508"/>
      <c r="AD13" s="4508"/>
      <c r="AE13" s="4508"/>
      <c r="AF13" s="4508"/>
      <c r="AG13" s="4508"/>
      <c r="AH13" s="4508"/>
      <c r="AI13" s="4508"/>
      <c r="AJ13" s="4508"/>
      <c r="AK13" s="4508"/>
      <c r="AL13" s="4508"/>
      <c r="AM13" s="4508"/>
      <c r="AN13" s="4508"/>
      <c r="AO13" s="4508"/>
      <c r="AP13" s="4508"/>
      <c r="AQ13" s="4508"/>
      <c r="AR13" s="4508"/>
      <c r="AS13" s="4508"/>
      <c r="AT13" s="4508"/>
      <c r="AU13" s="4508"/>
      <c r="AV13" s="4508"/>
      <c r="AW13" s="4508"/>
      <c r="AX13" s="4508"/>
      <c r="AY13" s="4508"/>
      <c r="AZ13" s="4508"/>
      <c r="BA13" s="4508"/>
      <c r="BB13" s="4508"/>
      <c r="BC13" s="4508"/>
      <c r="BD13" s="4508"/>
      <c r="BE13" s="4508"/>
      <c r="BF13" s="4508"/>
      <c r="BG13" s="4508"/>
      <c r="BH13" s="3233"/>
      <c r="BI13" s="4536"/>
      <c r="BJ13" s="4536"/>
      <c r="BK13" s="4528"/>
      <c r="BL13" s="4530"/>
      <c r="BM13" s="4531"/>
      <c r="BN13" s="4533"/>
      <c r="BO13" s="4533"/>
      <c r="BP13" s="4517"/>
      <c r="BQ13" s="4517"/>
      <c r="BR13" s="3233"/>
    </row>
    <row r="14" spans="1:85" s="1829" customFormat="1" ht="36.75" customHeight="1" x14ac:dyDescent="0.25">
      <c r="A14" s="1810"/>
      <c r="B14" s="1811"/>
      <c r="C14" s="1811"/>
      <c r="D14" s="1826"/>
      <c r="E14" s="1827"/>
      <c r="F14" s="1828"/>
      <c r="G14" s="1883"/>
      <c r="H14" s="1883"/>
      <c r="I14" s="1882"/>
      <c r="J14" s="3233"/>
      <c r="K14" s="4494"/>
      <c r="L14" s="4494"/>
      <c r="M14" s="4495"/>
      <c r="N14" s="4498"/>
      <c r="O14" s="3511"/>
      <c r="P14" s="4369"/>
      <c r="Q14" s="4542"/>
      <c r="R14" s="4524"/>
      <c r="S14" s="4544"/>
      <c r="T14" s="4545"/>
      <c r="U14" s="4510"/>
      <c r="V14" s="4510"/>
      <c r="W14" s="1830">
        <v>43958033</v>
      </c>
      <c r="X14" s="1830">
        <v>43958033</v>
      </c>
      <c r="Y14" s="1830"/>
      <c r="Z14" s="1756">
        <v>91</v>
      </c>
      <c r="AA14" s="1831" t="s">
        <v>1262</v>
      </c>
      <c r="AB14" s="4506"/>
      <c r="AC14" s="4508"/>
      <c r="AD14" s="4508"/>
      <c r="AE14" s="4508"/>
      <c r="AF14" s="4508"/>
      <c r="AG14" s="4508"/>
      <c r="AH14" s="4508"/>
      <c r="AI14" s="4508"/>
      <c r="AJ14" s="4508"/>
      <c r="AK14" s="4508"/>
      <c r="AL14" s="4508"/>
      <c r="AM14" s="4508"/>
      <c r="AN14" s="4508"/>
      <c r="AO14" s="4508"/>
      <c r="AP14" s="4508"/>
      <c r="AQ14" s="4508"/>
      <c r="AR14" s="4508"/>
      <c r="AS14" s="4508"/>
      <c r="AT14" s="4508"/>
      <c r="AU14" s="4508"/>
      <c r="AV14" s="4508"/>
      <c r="AW14" s="4508"/>
      <c r="AX14" s="4508"/>
      <c r="AY14" s="4508"/>
      <c r="AZ14" s="4508"/>
      <c r="BA14" s="4508"/>
      <c r="BB14" s="4508"/>
      <c r="BC14" s="4508"/>
      <c r="BD14" s="4508"/>
      <c r="BE14" s="4508"/>
      <c r="BF14" s="4508"/>
      <c r="BG14" s="4508"/>
      <c r="BH14" s="3233"/>
      <c r="BI14" s="4536"/>
      <c r="BJ14" s="4536"/>
      <c r="BK14" s="4528"/>
      <c r="BL14" s="4530"/>
      <c r="BM14" s="4531"/>
      <c r="BN14" s="4533"/>
      <c r="BO14" s="4533"/>
      <c r="BP14" s="4517"/>
      <c r="BQ14" s="4517"/>
      <c r="BR14" s="3233"/>
    </row>
    <row r="15" spans="1:85" s="1829" customFormat="1" ht="36.75" customHeight="1" x14ac:dyDescent="0.25">
      <c r="A15" s="1810"/>
      <c r="B15" s="1811"/>
      <c r="C15" s="1811"/>
      <c r="D15" s="1826"/>
      <c r="E15" s="1827"/>
      <c r="F15" s="1828"/>
      <c r="G15" s="1883"/>
      <c r="H15" s="1883"/>
      <c r="I15" s="1882"/>
      <c r="J15" s="3234"/>
      <c r="K15" s="4424"/>
      <c r="L15" s="4424"/>
      <c r="M15" s="4496"/>
      <c r="N15" s="4499"/>
      <c r="O15" s="3511"/>
      <c r="P15" s="4369"/>
      <c r="Q15" s="4542"/>
      <c r="R15" s="4525"/>
      <c r="S15" s="4544"/>
      <c r="T15" s="4545"/>
      <c r="U15" s="4510"/>
      <c r="V15" s="4510"/>
      <c r="W15" s="1832">
        <f>2321723335+522238646</f>
        <v>2843961981</v>
      </c>
      <c r="X15" s="1832">
        <v>2843961981</v>
      </c>
      <c r="Y15" s="1832">
        <v>1114995518</v>
      </c>
      <c r="Z15" s="1833">
        <v>88</v>
      </c>
      <c r="AA15" s="1834" t="s">
        <v>451</v>
      </c>
      <c r="AB15" s="4506"/>
      <c r="AC15" s="4508"/>
      <c r="AD15" s="4508"/>
      <c r="AE15" s="4508"/>
      <c r="AF15" s="4508"/>
      <c r="AG15" s="4508"/>
      <c r="AH15" s="4508"/>
      <c r="AI15" s="4508"/>
      <c r="AJ15" s="4508"/>
      <c r="AK15" s="4508"/>
      <c r="AL15" s="4508"/>
      <c r="AM15" s="4508"/>
      <c r="AN15" s="4508"/>
      <c r="AO15" s="4508"/>
      <c r="AP15" s="4508"/>
      <c r="AQ15" s="4508"/>
      <c r="AR15" s="4508"/>
      <c r="AS15" s="4508"/>
      <c r="AT15" s="4508"/>
      <c r="AU15" s="4508"/>
      <c r="AV15" s="4508"/>
      <c r="AW15" s="4508"/>
      <c r="AX15" s="4508"/>
      <c r="AY15" s="4508"/>
      <c r="AZ15" s="4508"/>
      <c r="BA15" s="4508"/>
      <c r="BB15" s="4508"/>
      <c r="BC15" s="4508"/>
      <c r="BD15" s="4508"/>
      <c r="BE15" s="4508"/>
      <c r="BF15" s="4508"/>
      <c r="BG15" s="4508"/>
      <c r="BH15" s="3233"/>
      <c r="BI15" s="4536"/>
      <c r="BJ15" s="4536"/>
      <c r="BK15" s="4528"/>
      <c r="BL15" s="4530"/>
      <c r="BM15" s="4531"/>
      <c r="BN15" s="4533"/>
      <c r="BO15" s="4533"/>
      <c r="BP15" s="4517"/>
      <c r="BQ15" s="4517"/>
      <c r="BR15" s="3233"/>
    </row>
    <row r="16" spans="1:85" s="1798" customFormat="1" ht="48" customHeight="1" x14ac:dyDescent="0.25">
      <c r="A16" s="1810"/>
      <c r="B16" s="1811"/>
      <c r="C16" s="1811"/>
      <c r="D16" s="1826"/>
      <c r="E16" s="1827"/>
      <c r="F16" s="1828"/>
      <c r="G16" s="1883"/>
      <c r="H16" s="1883"/>
      <c r="I16" s="1882"/>
      <c r="J16" s="3232">
        <v>66</v>
      </c>
      <c r="K16" s="4413" t="s">
        <v>1263</v>
      </c>
      <c r="L16" s="4413" t="s">
        <v>1264</v>
      </c>
      <c r="M16" s="4519">
        <v>1</v>
      </c>
      <c r="N16" s="4520">
        <v>0.8</v>
      </c>
      <c r="O16" s="3511"/>
      <c r="P16" s="4369"/>
      <c r="Q16" s="4542"/>
      <c r="R16" s="4523">
        <f>SUM(W16:W21)/$S$11</f>
        <v>0.65547644768507485</v>
      </c>
      <c r="S16" s="4544"/>
      <c r="T16" s="4545"/>
      <c r="U16" s="4526" t="s">
        <v>1265</v>
      </c>
      <c r="V16" s="4526" t="s">
        <v>1266</v>
      </c>
      <c r="W16" s="1835">
        <f>9000000000-9451667+2317639250+481791807</f>
        <v>11789979390</v>
      </c>
      <c r="X16" s="1835">
        <v>9416537267</v>
      </c>
      <c r="Y16" s="1835">
        <v>6564515900</v>
      </c>
      <c r="Z16" s="1756">
        <v>81</v>
      </c>
      <c r="AA16" s="1836" t="s">
        <v>1267</v>
      </c>
      <c r="AB16" s="4506"/>
      <c r="AC16" s="4508"/>
      <c r="AD16" s="4508"/>
      <c r="AE16" s="4508"/>
      <c r="AF16" s="4508"/>
      <c r="AG16" s="4508"/>
      <c r="AH16" s="4508"/>
      <c r="AI16" s="4508"/>
      <c r="AJ16" s="4508"/>
      <c r="AK16" s="4508"/>
      <c r="AL16" s="4508"/>
      <c r="AM16" s="4508"/>
      <c r="AN16" s="4508"/>
      <c r="AO16" s="4508"/>
      <c r="AP16" s="4508"/>
      <c r="AQ16" s="4508"/>
      <c r="AR16" s="4508"/>
      <c r="AS16" s="4508"/>
      <c r="AT16" s="4508"/>
      <c r="AU16" s="4508"/>
      <c r="AV16" s="4508"/>
      <c r="AW16" s="4508"/>
      <c r="AX16" s="4508"/>
      <c r="AY16" s="4508"/>
      <c r="AZ16" s="4508"/>
      <c r="BA16" s="4508"/>
      <c r="BB16" s="4508"/>
      <c r="BC16" s="4508"/>
      <c r="BD16" s="4508"/>
      <c r="BE16" s="4508"/>
      <c r="BF16" s="4508"/>
      <c r="BG16" s="4508"/>
      <c r="BH16" s="3233"/>
      <c r="BI16" s="4536"/>
      <c r="BJ16" s="4536"/>
      <c r="BK16" s="4528"/>
      <c r="BL16" s="4530"/>
      <c r="BM16" s="4531"/>
      <c r="BN16" s="4533"/>
      <c r="BO16" s="4533"/>
      <c r="BP16" s="4517"/>
      <c r="BQ16" s="4517"/>
      <c r="BR16" s="3233"/>
    </row>
    <row r="17" spans="1:70" s="1798" customFormat="1" ht="48.75" customHeight="1" x14ac:dyDescent="0.25">
      <c r="A17" s="1810"/>
      <c r="B17" s="1811"/>
      <c r="C17" s="1811"/>
      <c r="D17" s="1826"/>
      <c r="E17" s="1827"/>
      <c r="F17" s="1828"/>
      <c r="G17" s="1883"/>
      <c r="H17" s="1883"/>
      <c r="I17" s="1882"/>
      <c r="J17" s="3233"/>
      <c r="K17" s="4494"/>
      <c r="L17" s="4494"/>
      <c r="M17" s="4495"/>
      <c r="N17" s="4521"/>
      <c r="O17" s="3511"/>
      <c r="P17" s="4369"/>
      <c r="Q17" s="4542"/>
      <c r="R17" s="4524"/>
      <c r="S17" s="4544"/>
      <c r="T17" s="4545"/>
      <c r="U17" s="4526"/>
      <c r="V17" s="4526"/>
      <c r="W17" s="1835">
        <v>150000000</v>
      </c>
      <c r="X17" s="1835"/>
      <c r="Y17" s="1835"/>
      <c r="Z17" s="1756">
        <v>81</v>
      </c>
      <c r="AA17" s="1836" t="s">
        <v>1268</v>
      </c>
      <c r="AB17" s="4506"/>
      <c r="AC17" s="4508"/>
      <c r="AD17" s="4508"/>
      <c r="AE17" s="4508"/>
      <c r="AF17" s="4508"/>
      <c r="AG17" s="4508"/>
      <c r="AH17" s="4508"/>
      <c r="AI17" s="4508"/>
      <c r="AJ17" s="4508"/>
      <c r="AK17" s="4508"/>
      <c r="AL17" s="4508"/>
      <c r="AM17" s="4508"/>
      <c r="AN17" s="4508"/>
      <c r="AO17" s="4508"/>
      <c r="AP17" s="4508"/>
      <c r="AQ17" s="4508"/>
      <c r="AR17" s="4508"/>
      <c r="AS17" s="4508"/>
      <c r="AT17" s="4508"/>
      <c r="AU17" s="4508"/>
      <c r="AV17" s="4508"/>
      <c r="AW17" s="4508"/>
      <c r="AX17" s="4508"/>
      <c r="AY17" s="4508"/>
      <c r="AZ17" s="4508"/>
      <c r="BA17" s="4508"/>
      <c r="BB17" s="4508"/>
      <c r="BC17" s="4508"/>
      <c r="BD17" s="4508"/>
      <c r="BE17" s="4508"/>
      <c r="BF17" s="4508"/>
      <c r="BG17" s="4508"/>
      <c r="BH17" s="3233"/>
      <c r="BI17" s="4536"/>
      <c r="BJ17" s="4536"/>
      <c r="BK17" s="4528"/>
      <c r="BL17" s="4530"/>
      <c r="BM17" s="4531"/>
      <c r="BN17" s="4533"/>
      <c r="BO17" s="4533"/>
      <c r="BP17" s="4517"/>
      <c r="BQ17" s="4517"/>
      <c r="BR17" s="3233"/>
    </row>
    <row r="18" spans="1:70" s="1798" customFormat="1" ht="61.5" customHeight="1" x14ac:dyDescent="0.25">
      <c r="A18" s="1810"/>
      <c r="B18" s="1811"/>
      <c r="C18" s="1811"/>
      <c r="D18" s="1826"/>
      <c r="E18" s="1827"/>
      <c r="F18" s="1828"/>
      <c r="G18" s="1883"/>
      <c r="H18" s="1883"/>
      <c r="I18" s="1882"/>
      <c r="J18" s="3233"/>
      <c r="K18" s="4494"/>
      <c r="L18" s="4494"/>
      <c r="M18" s="4495"/>
      <c r="N18" s="4521"/>
      <c r="O18" s="3511"/>
      <c r="P18" s="4369"/>
      <c r="Q18" s="4542"/>
      <c r="R18" s="4524"/>
      <c r="S18" s="4544"/>
      <c r="T18" s="4545"/>
      <c r="U18" s="4526"/>
      <c r="V18" s="4526"/>
      <c r="W18" s="1835">
        <v>1577857420.24</v>
      </c>
      <c r="X18" s="1835">
        <v>1577857420</v>
      </c>
      <c r="Y18" s="1835"/>
      <c r="Z18" s="1756">
        <v>137</v>
      </c>
      <c r="AA18" s="1836" t="s">
        <v>1269</v>
      </c>
      <c r="AB18" s="4506"/>
      <c r="AC18" s="4508"/>
      <c r="AD18" s="4508"/>
      <c r="AE18" s="4508"/>
      <c r="AF18" s="4508"/>
      <c r="AG18" s="4508"/>
      <c r="AH18" s="4508"/>
      <c r="AI18" s="4508"/>
      <c r="AJ18" s="4508"/>
      <c r="AK18" s="4508"/>
      <c r="AL18" s="4508"/>
      <c r="AM18" s="4508"/>
      <c r="AN18" s="4508"/>
      <c r="AO18" s="4508"/>
      <c r="AP18" s="4508"/>
      <c r="AQ18" s="4508"/>
      <c r="AR18" s="4508"/>
      <c r="AS18" s="4508"/>
      <c r="AT18" s="4508"/>
      <c r="AU18" s="4508"/>
      <c r="AV18" s="4508"/>
      <c r="AW18" s="4508"/>
      <c r="AX18" s="4508"/>
      <c r="AY18" s="4508"/>
      <c r="AZ18" s="4508"/>
      <c r="BA18" s="4508"/>
      <c r="BB18" s="4508"/>
      <c r="BC18" s="4508"/>
      <c r="BD18" s="4508"/>
      <c r="BE18" s="4508"/>
      <c r="BF18" s="4508"/>
      <c r="BG18" s="4508"/>
      <c r="BH18" s="3233"/>
      <c r="BI18" s="4536"/>
      <c r="BJ18" s="4536"/>
      <c r="BK18" s="4528"/>
      <c r="BL18" s="4530"/>
      <c r="BM18" s="4531"/>
      <c r="BN18" s="4533"/>
      <c r="BO18" s="4533"/>
      <c r="BP18" s="4517"/>
      <c r="BQ18" s="4517"/>
      <c r="BR18" s="3233"/>
    </row>
    <row r="19" spans="1:70" s="1798" customFormat="1" ht="45" x14ac:dyDescent="0.25">
      <c r="A19" s="1810"/>
      <c r="B19" s="1811"/>
      <c r="C19" s="1811"/>
      <c r="D19" s="1826"/>
      <c r="E19" s="1827"/>
      <c r="F19" s="1828"/>
      <c r="G19" s="1883"/>
      <c r="H19" s="1883"/>
      <c r="I19" s="1882"/>
      <c r="J19" s="3233"/>
      <c r="K19" s="4494"/>
      <c r="L19" s="4494"/>
      <c r="M19" s="4495"/>
      <c r="N19" s="4521"/>
      <c r="O19" s="3511"/>
      <c r="P19" s="4369"/>
      <c r="Q19" s="4542"/>
      <c r="R19" s="4524"/>
      <c r="S19" s="4544"/>
      <c r="T19" s="4545"/>
      <c r="U19" s="4526"/>
      <c r="V19" s="4526"/>
      <c r="W19" s="1835">
        <v>909383464.76999998</v>
      </c>
      <c r="X19" s="1835"/>
      <c r="Y19" s="1835"/>
      <c r="Z19" s="1756">
        <v>56</v>
      </c>
      <c r="AA19" s="1836" t="s">
        <v>1270</v>
      </c>
      <c r="AB19" s="4506"/>
      <c r="AC19" s="4508"/>
      <c r="AD19" s="4508"/>
      <c r="AE19" s="4508"/>
      <c r="AF19" s="4508"/>
      <c r="AG19" s="4508"/>
      <c r="AH19" s="4508"/>
      <c r="AI19" s="4508"/>
      <c r="AJ19" s="4508"/>
      <c r="AK19" s="4508"/>
      <c r="AL19" s="4508"/>
      <c r="AM19" s="4508"/>
      <c r="AN19" s="4508"/>
      <c r="AO19" s="4508"/>
      <c r="AP19" s="4508"/>
      <c r="AQ19" s="4508"/>
      <c r="AR19" s="4508"/>
      <c r="AS19" s="4508"/>
      <c r="AT19" s="4508"/>
      <c r="AU19" s="4508"/>
      <c r="AV19" s="4508"/>
      <c r="AW19" s="4508"/>
      <c r="AX19" s="4508"/>
      <c r="AY19" s="4508"/>
      <c r="AZ19" s="4508"/>
      <c r="BA19" s="4508"/>
      <c r="BB19" s="4508"/>
      <c r="BC19" s="4508"/>
      <c r="BD19" s="4508"/>
      <c r="BE19" s="4508"/>
      <c r="BF19" s="4508"/>
      <c r="BG19" s="4508"/>
      <c r="BH19" s="3233"/>
      <c r="BI19" s="4536"/>
      <c r="BJ19" s="4536"/>
      <c r="BK19" s="4528"/>
      <c r="BL19" s="4530"/>
      <c r="BM19" s="4531"/>
      <c r="BN19" s="4533"/>
      <c r="BO19" s="4533"/>
      <c r="BP19" s="4517"/>
      <c r="BQ19" s="4517"/>
      <c r="BR19" s="3233"/>
    </row>
    <row r="20" spans="1:70" s="1798" customFormat="1" ht="28.5" customHeight="1" x14ac:dyDescent="0.25">
      <c r="A20" s="1810"/>
      <c r="B20" s="1811"/>
      <c r="C20" s="1811"/>
      <c r="D20" s="1826"/>
      <c r="E20" s="1827"/>
      <c r="F20" s="1828"/>
      <c r="G20" s="1883"/>
      <c r="H20" s="1883"/>
      <c r="I20" s="1882"/>
      <c r="J20" s="3233"/>
      <c r="K20" s="4494"/>
      <c r="L20" s="4494"/>
      <c r="M20" s="4495"/>
      <c r="N20" s="4521"/>
      <c r="O20" s="3511"/>
      <c r="P20" s="4369"/>
      <c r="Q20" s="4542"/>
      <c r="R20" s="4524"/>
      <c r="S20" s="4544"/>
      <c r="T20" s="4545"/>
      <c r="U20" s="4526"/>
      <c r="V20" s="4514" t="s">
        <v>1271</v>
      </c>
      <c r="W20" s="1837">
        <v>285198000</v>
      </c>
      <c r="X20" s="1837">
        <v>240002315.37</v>
      </c>
      <c r="Y20" s="1837">
        <v>126372381</v>
      </c>
      <c r="Z20" s="1756">
        <v>20</v>
      </c>
      <c r="AA20" s="1836" t="s">
        <v>124</v>
      </c>
      <c r="AB20" s="4506"/>
      <c r="AC20" s="4508"/>
      <c r="AD20" s="4508"/>
      <c r="AE20" s="4508"/>
      <c r="AF20" s="4508"/>
      <c r="AG20" s="4508"/>
      <c r="AH20" s="4508"/>
      <c r="AI20" s="4508"/>
      <c r="AJ20" s="4508"/>
      <c r="AK20" s="4508"/>
      <c r="AL20" s="4508"/>
      <c r="AM20" s="4508"/>
      <c r="AN20" s="4508"/>
      <c r="AO20" s="4508"/>
      <c r="AP20" s="4508"/>
      <c r="AQ20" s="4508"/>
      <c r="AR20" s="4508"/>
      <c r="AS20" s="4508"/>
      <c r="AT20" s="4508"/>
      <c r="AU20" s="4508"/>
      <c r="AV20" s="4508"/>
      <c r="AW20" s="4508"/>
      <c r="AX20" s="4508"/>
      <c r="AY20" s="4508"/>
      <c r="AZ20" s="4508"/>
      <c r="BA20" s="4508"/>
      <c r="BB20" s="4508"/>
      <c r="BC20" s="4508"/>
      <c r="BD20" s="4508"/>
      <c r="BE20" s="4508"/>
      <c r="BF20" s="4508"/>
      <c r="BG20" s="4508"/>
      <c r="BH20" s="3233"/>
      <c r="BI20" s="4536"/>
      <c r="BJ20" s="4536"/>
      <c r="BK20" s="4528"/>
      <c r="BL20" s="4530"/>
      <c r="BM20" s="4531"/>
      <c r="BN20" s="4533"/>
      <c r="BO20" s="4533"/>
      <c r="BP20" s="4517"/>
      <c r="BQ20" s="4517"/>
      <c r="BR20" s="3233"/>
    </row>
    <row r="21" spans="1:70" s="1798" customFormat="1" ht="69.75" customHeight="1" x14ac:dyDescent="0.25">
      <c r="A21" s="1810"/>
      <c r="B21" s="1811"/>
      <c r="C21" s="1811"/>
      <c r="D21" s="1826"/>
      <c r="E21" s="1827"/>
      <c r="F21" s="1828"/>
      <c r="G21" s="1883"/>
      <c r="H21" s="1883"/>
      <c r="I21" s="1882"/>
      <c r="J21" s="3234"/>
      <c r="K21" s="4424"/>
      <c r="L21" s="4424"/>
      <c r="M21" s="4496"/>
      <c r="N21" s="4522"/>
      <c r="O21" s="3511"/>
      <c r="P21" s="4369"/>
      <c r="Q21" s="4542"/>
      <c r="R21" s="4525"/>
      <c r="S21" s="4544"/>
      <c r="T21" s="4545"/>
      <c r="U21" s="4526"/>
      <c r="V21" s="4515"/>
      <c r="W21" s="1837">
        <v>9451667</v>
      </c>
      <c r="X21" s="1837"/>
      <c r="Y21" s="1837"/>
      <c r="Z21" s="1756">
        <v>81</v>
      </c>
      <c r="AA21" s="1836" t="s">
        <v>1267</v>
      </c>
      <c r="AB21" s="4506"/>
      <c r="AC21" s="4508"/>
      <c r="AD21" s="4508"/>
      <c r="AE21" s="4508"/>
      <c r="AF21" s="4508"/>
      <c r="AG21" s="4508"/>
      <c r="AH21" s="4508"/>
      <c r="AI21" s="4508"/>
      <c r="AJ21" s="4508"/>
      <c r="AK21" s="4508"/>
      <c r="AL21" s="4508"/>
      <c r="AM21" s="4508"/>
      <c r="AN21" s="4508"/>
      <c r="AO21" s="4508"/>
      <c r="AP21" s="4508"/>
      <c r="AQ21" s="4508"/>
      <c r="AR21" s="4508"/>
      <c r="AS21" s="4508"/>
      <c r="AT21" s="4508"/>
      <c r="AU21" s="4508"/>
      <c r="AV21" s="4508"/>
      <c r="AW21" s="4508"/>
      <c r="AX21" s="4508"/>
      <c r="AY21" s="4508"/>
      <c r="AZ21" s="4508"/>
      <c r="BA21" s="4508"/>
      <c r="BB21" s="4508"/>
      <c r="BC21" s="4508"/>
      <c r="BD21" s="4508"/>
      <c r="BE21" s="4508"/>
      <c r="BF21" s="4508"/>
      <c r="BG21" s="4508"/>
      <c r="BH21" s="3233"/>
      <c r="BI21" s="4536"/>
      <c r="BJ21" s="4536"/>
      <c r="BK21" s="4528"/>
      <c r="BL21" s="4530"/>
      <c r="BM21" s="4531"/>
      <c r="BN21" s="4533"/>
      <c r="BO21" s="4533"/>
      <c r="BP21" s="4517"/>
      <c r="BQ21" s="4517"/>
      <c r="BR21" s="3233"/>
    </row>
    <row r="22" spans="1:70" s="1839" customFormat="1" ht="45" customHeight="1" x14ac:dyDescent="0.25">
      <c r="A22" s="1810"/>
      <c r="B22" s="1811"/>
      <c r="C22" s="1811"/>
      <c r="D22" s="1826"/>
      <c r="E22" s="1827"/>
      <c r="F22" s="1828"/>
      <c r="G22" s="1883"/>
      <c r="H22" s="1883"/>
      <c r="I22" s="1882"/>
      <c r="J22" s="3232">
        <v>67</v>
      </c>
      <c r="K22" s="4413" t="s">
        <v>1272</v>
      </c>
      <c r="L22" s="4413" t="s">
        <v>1273</v>
      </c>
      <c r="M22" s="4519">
        <v>1</v>
      </c>
      <c r="N22" s="4520">
        <v>0.8</v>
      </c>
      <c r="O22" s="3511"/>
      <c r="P22" s="4369"/>
      <c r="Q22" s="4542"/>
      <c r="R22" s="4538">
        <f>SUM(W22:W25)/$S$11</f>
        <v>5.788119208681558E-2</v>
      </c>
      <c r="S22" s="4544"/>
      <c r="T22" s="4545"/>
      <c r="U22" s="4526" t="s">
        <v>1274</v>
      </c>
      <c r="V22" s="4526" t="s">
        <v>1275</v>
      </c>
      <c r="W22" s="1838">
        <f>860000000-241355304</f>
        <v>618644696</v>
      </c>
      <c r="X22" s="1838">
        <v>618644696</v>
      </c>
      <c r="Y22" s="1838">
        <v>618644696</v>
      </c>
      <c r="Z22" s="1756">
        <v>20</v>
      </c>
      <c r="AA22" s="1836" t="s">
        <v>124</v>
      </c>
      <c r="AB22" s="4506"/>
      <c r="AC22" s="4508"/>
      <c r="AD22" s="4508"/>
      <c r="AE22" s="4508"/>
      <c r="AF22" s="4508"/>
      <c r="AG22" s="4508"/>
      <c r="AH22" s="4508"/>
      <c r="AI22" s="4508"/>
      <c r="AJ22" s="4508"/>
      <c r="AK22" s="4508"/>
      <c r="AL22" s="4508"/>
      <c r="AM22" s="4508"/>
      <c r="AN22" s="4508"/>
      <c r="AO22" s="4508"/>
      <c r="AP22" s="4508"/>
      <c r="AQ22" s="4508"/>
      <c r="AR22" s="4508"/>
      <c r="AS22" s="4508"/>
      <c r="AT22" s="4508"/>
      <c r="AU22" s="4508"/>
      <c r="AV22" s="4508"/>
      <c r="AW22" s="4508"/>
      <c r="AX22" s="4508"/>
      <c r="AY22" s="4508"/>
      <c r="AZ22" s="4508"/>
      <c r="BA22" s="4508"/>
      <c r="BB22" s="4508"/>
      <c r="BC22" s="4508"/>
      <c r="BD22" s="4508"/>
      <c r="BE22" s="4508"/>
      <c r="BF22" s="4508"/>
      <c r="BG22" s="4508"/>
      <c r="BH22" s="3233"/>
      <c r="BI22" s="4536"/>
      <c r="BJ22" s="4536"/>
      <c r="BK22" s="4528"/>
      <c r="BL22" s="4530"/>
      <c r="BM22" s="4531"/>
      <c r="BN22" s="4533"/>
      <c r="BO22" s="4533"/>
      <c r="BP22" s="4517"/>
      <c r="BQ22" s="4517"/>
      <c r="BR22" s="3233"/>
    </row>
    <row r="23" spans="1:70" s="1839" customFormat="1" ht="36" customHeight="1" x14ac:dyDescent="0.25">
      <c r="A23" s="1810"/>
      <c r="B23" s="1811"/>
      <c r="C23" s="1811"/>
      <c r="D23" s="1826"/>
      <c r="E23" s="1827"/>
      <c r="F23" s="1828"/>
      <c r="G23" s="1883"/>
      <c r="H23" s="1883"/>
      <c r="I23" s="1882"/>
      <c r="J23" s="3233"/>
      <c r="K23" s="4494"/>
      <c r="L23" s="4494"/>
      <c r="M23" s="4495"/>
      <c r="N23" s="4521"/>
      <c r="O23" s="3511"/>
      <c r="P23" s="4369"/>
      <c r="Q23" s="4542"/>
      <c r="R23" s="4539"/>
      <c r="S23" s="4544"/>
      <c r="T23" s="4545"/>
      <c r="U23" s="4526"/>
      <c r="V23" s="4526"/>
      <c r="W23" s="1838">
        <v>241355304</v>
      </c>
      <c r="X23" s="1838">
        <v>241355304</v>
      </c>
      <c r="Y23" s="1838">
        <v>241355304</v>
      </c>
      <c r="Z23" s="1756">
        <v>91</v>
      </c>
      <c r="AA23" s="1836" t="s">
        <v>1262</v>
      </c>
      <c r="AB23" s="4506"/>
      <c r="AC23" s="4508"/>
      <c r="AD23" s="4508"/>
      <c r="AE23" s="4508"/>
      <c r="AF23" s="4508"/>
      <c r="AG23" s="4508"/>
      <c r="AH23" s="4508"/>
      <c r="AI23" s="4508"/>
      <c r="AJ23" s="4508"/>
      <c r="AK23" s="4508"/>
      <c r="AL23" s="4508"/>
      <c r="AM23" s="4508"/>
      <c r="AN23" s="4508"/>
      <c r="AO23" s="4508"/>
      <c r="AP23" s="4508"/>
      <c r="AQ23" s="4508"/>
      <c r="AR23" s="4508"/>
      <c r="AS23" s="4508"/>
      <c r="AT23" s="4508"/>
      <c r="AU23" s="4508"/>
      <c r="AV23" s="4508"/>
      <c r="AW23" s="4508"/>
      <c r="AX23" s="4508"/>
      <c r="AY23" s="4508"/>
      <c r="AZ23" s="4508"/>
      <c r="BA23" s="4508"/>
      <c r="BB23" s="4508"/>
      <c r="BC23" s="4508"/>
      <c r="BD23" s="4508"/>
      <c r="BE23" s="4508"/>
      <c r="BF23" s="4508"/>
      <c r="BG23" s="4508"/>
      <c r="BH23" s="3233"/>
      <c r="BI23" s="4536"/>
      <c r="BJ23" s="4536"/>
      <c r="BK23" s="4528"/>
      <c r="BL23" s="4530"/>
      <c r="BM23" s="4531"/>
      <c r="BN23" s="4533"/>
      <c r="BO23" s="4533"/>
      <c r="BP23" s="4517"/>
      <c r="BQ23" s="4517"/>
      <c r="BR23" s="3233"/>
    </row>
    <row r="24" spans="1:70" s="1839" customFormat="1" ht="41.25" customHeight="1" x14ac:dyDescent="0.25">
      <c r="A24" s="1810"/>
      <c r="B24" s="1811"/>
      <c r="C24" s="1811"/>
      <c r="D24" s="1826"/>
      <c r="E24" s="1827"/>
      <c r="F24" s="1828"/>
      <c r="G24" s="1883"/>
      <c r="H24" s="1883"/>
      <c r="I24" s="1882"/>
      <c r="J24" s="3233"/>
      <c r="K24" s="4494"/>
      <c r="L24" s="4494"/>
      <c r="M24" s="4495"/>
      <c r="N24" s="4521"/>
      <c r="O24" s="3511"/>
      <c r="P24" s="4369"/>
      <c r="Q24" s="4542"/>
      <c r="R24" s="4539"/>
      <c r="S24" s="4544"/>
      <c r="T24" s="4545"/>
      <c r="U24" s="4526"/>
      <c r="V24" s="4526"/>
      <c r="W24" s="1838">
        <v>200000000</v>
      </c>
      <c r="X24" s="1838">
        <v>100000000</v>
      </c>
      <c r="Y24" s="1838">
        <v>100000000</v>
      </c>
      <c r="Z24" s="1756">
        <v>35</v>
      </c>
      <c r="AA24" s="1840" t="s">
        <v>1258</v>
      </c>
      <c r="AB24" s="4506"/>
      <c r="AC24" s="4508"/>
      <c r="AD24" s="4508"/>
      <c r="AE24" s="4508"/>
      <c r="AF24" s="4508"/>
      <c r="AG24" s="4508"/>
      <c r="AH24" s="4508"/>
      <c r="AI24" s="4508"/>
      <c r="AJ24" s="4508"/>
      <c r="AK24" s="4508"/>
      <c r="AL24" s="4508"/>
      <c r="AM24" s="4508"/>
      <c r="AN24" s="4508"/>
      <c r="AO24" s="4508"/>
      <c r="AP24" s="4508"/>
      <c r="AQ24" s="4508"/>
      <c r="AR24" s="4508"/>
      <c r="AS24" s="4508"/>
      <c r="AT24" s="4508"/>
      <c r="AU24" s="4508"/>
      <c r="AV24" s="4508"/>
      <c r="AW24" s="4508"/>
      <c r="AX24" s="4508"/>
      <c r="AY24" s="4508"/>
      <c r="AZ24" s="4508"/>
      <c r="BA24" s="4508"/>
      <c r="BB24" s="4508"/>
      <c r="BC24" s="4508"/>
      <c r="BD24" s="4508"/>
      <c r="BE24" s="4508"/>
      <c r="BF24" s="4508"/>
      <c r="BG24" s="4508"/>
      <c r="BH24" s="3233"/>
      <c r="BI24" s="4536"/>
      <c r="BJ24" s="4536"/>
      <c r="BK24" s="4528"/>
      <c r="BL24" s="4530"/>
      <c r="BM24" s="4531"/>
      <c r="BN24" s="4533"/>
      <c r="BO24" s="4533"/>
      <c r="BP24" s="4517"/>
      <c r="BQ24" s="4517"/>
      <c r="BR24" s="3233"/>
    </row>
    <row r="25" spans="1:70" s="1798" customFormat="1" ht="45" customHeight="1" x14ac:dyDescent="0.25">
      <c r="A25" s="1810"/>
      <c r="B25" s="1811"/>
      <c r="C25" s="1811"/>
      <c r="D25" s="1826"/>
      <c r="E25" s="1827"/>
      <c r="F25" s="1828"/>
      <c r="G25" s="1883"/>
      <c r="H25" s="1883"/>
      <c r="I25" s="1882"/>
      <c r="J25" s="3233"/>
      <c r="K25" s="4494"/>
      <c r="L25" s="4494"/>
      <c r="M25" s="4495"/>
      <c r="N25" s="4522"/>
      <c r="O25" s="3512"/>
      <c r="P25" s="4369"/>
      <c r="Q25" s="4543"/>
      <c r="R25" s="4540"/>
      <c r="S25" s="4544"/>
      <c r="T25" s="4545"/>
      <c r="U25" s="4526"/>
      <c r="V25" s="4526"/>
      <c r="W25" s="1832">
        <f>0+240000000</f>
        <v>240000000</v>
      </c>
      <c r="X25" s="1832">
        <v>240000000</v>
      </c>
      <c r="Y25" s="1832">
        <v>240000000</v>
      </c>
      <c r="Z25" s="1841">
        <v>88</v>
      </c>
      <c r="AA25" s="1842" t="s">
        <v>451</v>
      </c>
      <c r="AB25" s="4506"/>
      <c r="AC25" s="4509"/>
      <c r="AD25" s="4508"/>
      <c r="AE25" s="4509"/>
      <c r="AF25" s="4508"/>
      <c r="AG25" s="4509"/>
      <c r="AH25" s="4508"/>
      <c r="AI25" s="4509"/>
      <c r="AJ25" s="4508"/>
      <c r="AK25" s="4509"/>
      <c r="AL25" s="4508"/>
      <c r="AM25" s="4509"/>
      <c r="AN25" s="4508"/>
      <c r="AO25" s="4509"/>
      <c r="AP25" s="4508"/>
      <c r="AQ25" s="4509"/>
      <c r="AR25" s="4508"/>
      <c r="AS25" s="4509"/>
      <c r="AT25" s="4508"/>
      <c r="AU25" s="4509"/>
      <c r="AV25" s="4508"/>
      <c r="AW25" s="4509"/>
      <c r="AX25" s="4508"/>
      <c r="AY25" s="4509"/>
      <c r="AZ25" s="4508"/>
      <c r="BA25" s="4509"/>
      <c r="BB25" s="4508"/>
      <c r="BC25" s="4509"/>
      <c r="BD25" s="4508"/>
      <c r="BE25" s="4509"/>
      <c r="BF25" s="4508"/>
      <c r="BG25" s="4509"/>
      <c r="BH25" s="3234"/>
      <c r="BI25" s="4537"/>
      <c r="BJ25" s="4537"/>
      <c r="BK25" s="4529"/>
      <c r="BL25" s="4530"/>
      <c r="BM25" s="3367"/>
      <c r="BN25" s="4534"/>
      <c r="BO25" s="4534"/>
      <c r="BP25" s="4518"/>
      <c r="BQ25" s="4518"/>
      <c r="BR25" s="3233"/>
    </row>
    <row r="26" spans="1:70" s="1798" customFormat="1" ht="19.5" customHeight="1" thickBot="1" x14ac:dyDescent="0.3">
      <c r="A26" s="1843"/>
      <c r="B26" s="1844"/>
      <c r="C26" s="1844"/>
      <c r="D26" s="1843"/>
      <c r="E26" s="1844"/>
      <c r="F26" s="1845"/>
      <c r="G26" s="1846">
        <v>17</v>
      </c>
      <c r="H26" s="822" t="s">
        <v>1276</v>
      </c>
      <c r="I26" s="822"/>
      <c r="J26" s="814"/>
      <c r="K26" s="1541"/>
      <c r="L26" s="1541"/>
      <c r="M26" s="814"/>
      <c r="N26" s="1847"/>
      <c r="O26" s="1848"/>
      <c r="P26" s="814"/>
      <c r="Q26" s="1541"/>
      <c r="R26" s="814"/>
      <c r="S26" s="1849"/>
      <c r="T26" s="1541"/>
      <c r="U26" s="1819"/>
      <c r="V26" s="1819"/>
      <c r="W26" s="1850"/>
      <c r="X26" s="1850"/>
      <c r="Y26" s="1850"/>
      <c r="Z26" s="1819"/>
      <c r="AA26" s="1819"/>
      <c r="AB26" s="1819"/>
      <c r="AC26" s="814"/>
      <c r="AD26" s="814"/>
      <c r="AE26" s="814"/>
      <c r="AF26" s="814"/>
      <c r="AG26" s="814"/>
      <c r="AH26" s="814"/>
      <c r="AI26" s="814"/>
      <c r="AJ26" s="814"/>
      <c r="AK26" s="814"/>
      <c r="AL26" s="814"/>
      <c r="AM26" s="814"/>
      <c r="AN26" s="814"/>
      <c r="AO26" s="814"/>
      <c r="AP26" s="814"/>
      <c r="AQ26" s="814"/>
      <c r="AR26" s="814"/>
      <c r="AS26" s="814"/>
      <c r="AT26" s="814"/>
      <c r="AU26" s="814"/>
      <c r="AV26" s="814"/>
      <c r="AW26" s="814"/>
      <c r="AX26" s="814"/>
      <c r="AY26" s="814"/>
      <c r="AZ26" s="814"/>
      <c r="BA26" s="814"/>
      <c r="BB26" s="814"/>
      <c r="BC26" s="814"/>
      <c r="BD26" s="814"/>
      <c r="BE26" s="814"/>
      <c r="BF26" s="1824"/>
      <c r="BG26" s="1824"/>
      <c r="BH26" s="1824"/>
      <c r="BI26" s="1851"/>
      <c r="BJ26" s="1851"/>
      <c r="BK26" s="1824"/>
      <c r="BL26" s="1824"/>
      <c r="BM26" s="1824"/>
      <c r="BN26" s="1824"/>
      <c r="BO26" s="1824"/>
      <c r="BP26" s="1824"/>
      <c r="BQ26" s="1824"/>
      <c r="BR26" s="1852"/>
    </row>
    <row r="27" spans="1:70" s="1798" customFormat="1" ht="33" customHeight="1" x14ac:dyDescent="0.25">
      <c r="A27" s="1853"/>
      <c r="B27" s="1854"/>
      <c r="C27" s="1854"/>
      <c r="D27" s="1855"/>
      <c r="E27" s="872"/>
      <c r="F27" s="872"/>
      <c r="G27" s="1856"/>
      <c r="H27" s="1857"/>
      <c r="I27" s="1858"/>
      <c r="J27" s="4549" t="s">
        <v>1277</v>
      </c>
      <c r="K27" s="4355" t="s">
        <v>1278</v>
      </c>
      <c r="L27" s="4355" t="s">
        <v>1279</v>
      </c>
      <c r="M27" s="4393">
        <v>4500</v>
      </c>
      <c r="N27" s="4550">
        <v>3249</v>
      </c>
      <c r="O27" s="4356" t="s">
        <v>1280</v>
      </c>
      <c r="P27" s="4356" t="s">
        <v>1281</v>
      </c>
      <c r="Q27" s="4494" t="s">
        <v>1282</v>
      </c>
      <c r="R27" s="4546">
        <f>SUM(W27:W28)/S27</f>
        <v>1.5602656586198829E-2</v>
      </c>
      <c r="S27" s="4544">
        <f>SUM(W27:W36)</f>
        <v>1602291242</v>
      </c>
      <c r="T27" s="4494" t="s">
        <v>1283</v>
      </c>
      <c r="U27" s="4424" t="s">
        <v>1284</v>
      </c>
      <c r="V27" s="4514" t="s">
        <v>1285</v>
      </c>
      <c r="W27" s="1859">
        <v>5000000</v>
      </c>
      <c r="X27" s="1859">
        <v>4405000</v>
      </c>
      <c r="Y27" s="1859">
        <v>4405000</v>
      </c>
      <c r="Z27" s="1757">
        <v>20</v>
      </c>
      <c r="AA27" s="1860" t="s">
        <v>124</v>
      </c>
      <c r="AB27" s="4562"/>
      <c r="AC27" s="1861"/>
      <c r="AD27" s="4508"/>
      <c r="AE27" s="1862"/>
      <c r="AF27" s="4508"/>
      <c r="AG27" s="1862"/>
      <c r="AH27" s="4508"/>
      <c r="AI27" s="1862"/>
      <c r="AJ27" s="4508"/>
      <c r="AK27" s="1862"/>
      <c r="AL27" s="4508">
        <v>1762</v>
      </c>
      <c r="AM27" s="4507">
        <v>1762</v>
      </c>
      <c r="AN27" s="4508">
        <v>101</v>
      </c>
      <c r="AO27" s="4507">
        <v>101</v>
      </c>
      <c r="AP27" s="4508">
        <v>277</v>
      </c>
      <c r="AQ27" s="4507">
        <v>277</v>
      </c>
      <c r="AR27" s="4508">
        <v>0</v>
      </c>
      <c r="AS27" s="4507">
        <v>0</v>
      </c>
      <c r="AT27" s="4508">
        <v>0</v>
      </c>
      <c r="AU27" s="4507">
        <v>0</v>
      </c>
      <c r="AV27" s="4508">
        <v>0</v>
      </c>
      <c r="AW27" s="4507">
        <v>0</v>
      </c>
      <c r="AX27" s="4508">
        <v>0</v>
      </c>
      <c r="AY27" s="4507">
        <v>0</v>
      </c>
      <c r="AZ27" s="4508">
        <v>2907</v>
      </c>
      <c r="BA27" s="4507">
        <v>2907</v>
      </c>
      <c r="BB27" s="4508">
        <v>2589</v>
      </c>
      <c r="BC27" s="4507">
        <v>2589</v>
      </c>
      <c r="BD27" s="4508">
        <v>2954</v>
      </c>
      <c r="BE27" s="4507">
        <v>2954</v>
      </c>
      <c r="BF27" s="4508">
        <v>10590</v>
      </c>
      <c r="BG27" s="4507">
        <v>10590</v>
      </c>
      <c r="BH27" s="3232">
        <v>4</v>
      </c>
      <c r="BI27" s="4572">
        <f>+X27+X28+X29+X33+X35</f>
        <v>1045245856</v>
      </c>
      <c r="BJ27" s="4535">
        <f>+Y27+Y28+Y29+Y33+Y35</f>
        <v>600644137</v>
      </c>
      <c r="BK27" s="4569">
        <f>+BJ27/BI27</f>
        <v>0.5746438826350152</v>
      </c>
      <c r="BL27" s="3366" t="s">
        <v>1286</v>
      </c>
      <c r="BM27" s="3232" t="s">
        <v>1287</v>
      </c>
      <c r="BN27" s="4532">
        <v>43486</v>
      </c>
      <c r="BO27" s="4532">
        <v>43486</v>
      </c>
      <c r="BP27" s="4532">
        <v>43806</v>
      </c>
      <c r="BQ27" s="4563">
        <v>43806</v>
      </c>
      <c r="BR27" s="3233" t="s">
        <v>1288</v>
      </c>
    </row>
    <row r="28" spans="1:70" s="1798" customFormat="1" ht="65.25" customHeight="1" x14ac:dyDescent="0.25">
      <c r="A28" s="1853"/>
      <c r="B28" s="1854"/>
      <c r="C28" s="1854"/>
      <c r="D28" s="1855"/>
      <c r="E28" s="872"/>
      <c r="F28" s="872"/>
      <c r="G28" s="1855"/>
      <c r="H28" s="872"/>
      <c r="I28" s="1863"/>
      <c r="J28" s="4549"/>
      <c r="K28" s="4357"/>
      <c r="L28" s="4357"/>
      <c r="M28" s="4391"/>
      <c r="N28" s="4551"/>
      <c r="O28" s="4356"/>
      <c r="P28" s="4356"/>
      <c r="Q28" s="4494"/>
      <c r="R28" s="4547"/>
      <c r="S28" s="4544"/>
      <c r="T28" s="4494"/>
      <c r="U28" s="4358"/>
      <c r="V28" s="4515"/>
      <c r="W28" s="1864">
        <f>0+20000000</f>
        <v>20000000</v>
      </c>
      <c r="X28" s="1864">
        <v>19860167</v>
      </c>
      <c r="Y28" s="1864">
        <v>10272500</v>
      </c>
      <c r="Z28" s="1758">
        <v>88</v>
      </c>
      <c r="AA28" s="1840" t="s">
        <v>451</v>
      </c>
      <c r="AB28" s="4562"/>
      <c r="AC28" s="1861"/>
      <c r="AD28" s="4508"/>
      <c r="AE28" s="1862"/>
      <c r="AF28" s="4508"/>
      <c r="AG28" s="1862"/>
      <c r="AH28" s="4508"/>
      <c r="AI28" s="1862"/>
      <c r="AJ28" s="4508"/>
      <c r="AK28" s="1862"/>
      <c r="AL28" s="4508"/>
      <c r="AM28" s="4508"/>
      <c r="AN28" s="4508"/>
      <c r="AO28" s="4508"/>
      <c r="AP28" s="4508"/>
      <c r="AQ28" s="4508"/>
      <c r="AR28" s="4508"/>
      <c r="AS28" s="4508"/>
      <c r="AT28" s="4508"/>
      <c r="AU28" s="4508"/>
      <c r="AV28" s="4508"/>
      <c r="AW28" s="4508"/>
      <c r="AX28" s="4508"/>
      <c r="AY28" s="4508"/>
      <c r="AZ28" s="4508"/>
      <c r="BA28" s="4508"/>
      <c r="BB28" s="4508"/>
      <c r="BC28" s="4508"/>
      <c r="BD28" s="4508"/>
      <c r="BE28" s="4508"/>
      <c r="BF28" s="4508"/>
      <c r="BG28" s="4508"/>
      <c r="BH28" s="3233"/>
      <c r="BI28" s="4573"/>
      <c r="BJ28" s="4536"/>
      <c r="BK28" s="4570"/>
      <c r="BL28" s="4531"/>
      <c r="BM28" s="3233"/>
      <c r="BN28" s="4533"/>
      <c r="BO28" s="4533"/>
      <c r="BP28" s="4533"/>
      <c r="BQ28" s="4564"/>
      <c r="BR28" s="3233"/>
    </row>
    <row r="29" spans="1:70" s="1798" customFormat="1" ht="77.25" customHeight="1" x14ac:dyDescent="0.25">
      <c r="A29" s="1853"/>
      <c r="B29" s="1854"/>
      <c r="C29" s="1854"/>
      <c r="D29" s="1855"/>
      <c r="E29" s="872"/>
      <c r="F29" s="872"/>
      <c r="G29" s="1855"/>
      <c r="H29" s="872"/>
      <c r="I29" s="1863"/>
      <c r="J29" s="1865">
        <v>69</v>
      </c>
      <c r="K29" s="1866" t="s">
        <v>1289</v>
      </c>
      <c r="L29" s="1878" t="s">
        <v>1290</v>
      </c>
      <c r="M29" s="1934">
        <v>1</v>
      </c>
      <c r="N29" s="1867">
        <v>0.75</v>
      </c>
      <c r="O29" s="4356"/>
      <c r="P29" s="4356"/>
      <c r="Q29" s="4494"/>
      <c r="R29" s="1868">
        <f>+W29/S27</f>
        <v>3.1205313172397654E-3</v>
      </c>
      <c r="S29" s="4544"/>
      <c r="T29" s="4494"/>
      <c r="U29" s="4358"/>
      <c r="V29" s="1753" t="s">
        <v>1291</v>
      </c>
      <c r="W29" s="2026">
        <v>5000000</v>
      </c>
      <c r="X29" s="2026">
        <v>4400000</v>
      </c>
      <c r="Y29" s="2026">
        <v>4400000</v>
      </c>
      <c r="Z29" s="1759">
        <v>20</v>
      </c>
      <c r="AA29" s="1869" t="s">
        <v>124</v>
      </c>
      <c r="AB29" s="4508"/>
      <c r="AC29" s="1862"/>
      <c r="AD29" s="4508"/>
      <c r="AE29" s="1862"/>
      <c r="AF29" s="4508"/>
      <c r="AG29" s="1862"/>
      <c r="AH29" s="4508"/>
      <c r="AI29" s="1862"/>
      <c r="AJ29" s="4508"/>
      <c r="AK29" s="1862"/>
      <c r="AL29" s="4508"/>
      <c r="AM29" s="4508"/>
      <c r="AN29" s="4508"/>
      <c r="AO29" s="4508"/>
      <c r="AP29" s="4508"/>
      <c r="AQ29" s="4508"/>
      <c r="AR29" s="4508"/>
      <c r="AS29" s="4508"/>
      <c r="AT29" s="4508"/>
      <c r="AU29" s="4508"/>
      <c r="AV29" s="4508"/>
      <c r="AW29" s="4508"/>
      <c r="AX29" s="4508"/>
      <c r="AY29" s="4508"/>
      <c r="AZ29" s="4508"/>
      <c r="BA29" s="4508"/>
      <c r="BB29" s="4508"/>
      <c r="BC29" s="4508"/>
      <c r="BD29" s="4508"/>
      <c r="BE29" s="4508"/>
      <c r="BF29" s="4508"/>
      <c r="BG29" s="4508"/>
      <c r="BH29" s="3233"/>
      <c r="BI29" s="4573"/>
      <c r="BJ29" s="4536"/>
      <c r="BK29" s="4570"/>
      <c r="BL29" s="4531"/>
      <c r="BM29" s="3233"/>
      <c r="BN29" s="4533"/>
      <c r="BO29" s="4533"/>
      <c r="BP29" s="4533"/>
      <c r="BQ29" s="4564"/>
      <c r="BR29" s="3233"/>
    </row>
    <row r="30" spans="1:70" s="1798" customFormat="1" ht="67.5" customHeight="1" x14ac:dyDescent="0.25">
      <c r="A30" s="1853"/>
      <c r="B30" s="1854"/>
      <c r="C30" s="1854"/>
      <c r="D30" s="1855"/>
      <c r="E30" s="872"/>
      <c r="F30" s="872"/>
      <c r="G30" s="1855"/>
      <c r="H30" s="872"/>
      <c r="I30" s="1863"/>
      <c r="J30" s="4566">
        <v>70</v>
      </c>
      <c r="K30" s="4413" t="s">
        <v>1292</v>
      </c>
      <c r="L30" s="4358" t="s">
        <v>1293</v>
      </c>
      <c r="M30" s="4462">
        <v>490</v>
      </c>
      <c r="N30" s="4560">
        <v>619</v>
      </c>
      <c r="O30" s="4356"/>
      <c r="P30" s="4356"/>
      <c r="Q30" s="4494"/>
      <c r="R30" s="4546">
        <f>+(W30+W31)/S27</f>
        <v>6.2410626344795309E-3</v>
      </c>
      <c r="S30" s="4544"/>
      <c r="T30" s="4494"/>
      <c r="U30" s="4358"/>
      <c r="V30" s="1754" t="s">
        <v>1294</v>
      </c>
      <c r="W30" s="2026">
        <v>10000000</v>
      </c>
      <c r="X30" s="2026"/>
      <c r="Y30" s="2026"/>
      <c r="Z30" s="1743">
        <v>20</v>
      </c>
      <c r="AA30" s="1870" t="s">
        <v>124</v>
      </c>
      <c r="AB30" s="4508"/>
      <c r="AC30" s="1862"/>
      <c r="AD30" s="4508"/>
      <c r="AE30" s="1862"/>
      <c r="AF30" s="4508"/>
      <c r="AG30" s="1862"/>
      <c r="AH30" s="4508"/>
      <c r="AI30" s="1862"/>
      <c r="AJ30" s="4508"/>
      <c r="AK30" s="1862"/>
      <c r="AL30" s="4508"/>
      <c r="AM30" s="4508"/>
      <c r="AN30" s="4508"/>
      <c r="AO30" s="4508"/>
      <c r="AP30" s="4508"/>
      <c r="AQ30" s="4508"/>
      <c r="AR30" s="4508"/>
      <c r="AS30" s="4508"/>
      <c r="AT30" s="4508"/>
      <c r="AU30" s="4508"/>
      <c r="AV30" s="4508"/>
      <c r="AW30" s="4508"/>
      <c r="AX30" s="4508"/>
      <c r="AY30" s="4508"/>
      <c r="AZ30" s="4508"/>
      <c r="BA30" s="4508"/>
      <c r="BB30" s="4508"/>
      <c r="BC30" s="4508"/>
      <c r="BD30" s="4508"/>
      <c r="BE30" s="4508"/>
      <c r="BF30" s="4508"/>
      <c r="BG30" s="4508"/>
      <c r="BH30" s="3233"/>
      <c r="BI30" s="4573"/>
      <c r="BJ30" s="4536"/>
      <c r="BK30" s="4570"/>
      <c r="BL30" s="4531"/>
      <c r="BM30" s="3233"/>
      <c r="BN30" s="4533"/>
      <c r="BO30" s="4533"/>
      <c r="BP30" s="4533"/>
      <c r="BQ30" s="4564"/>
      <c r="BR30" s="3233"/>
    </row>
    <row r="31" spans="1:70" s="1798" customFormat="1" ht="108" customHeight="1" x14ac:dyDescent="0.25">
      <c r="A31" s="1853"/>
      <c r="B31" s="1854"/>
      <c r="C31" s="1854"/>
      <c r="D31" s="1855"/>
      <c r="E31" s="872"/>
      <c r="F31" s="872"/>
      <c r="G31" s="1855"/>
      <c r="H31" s="872"/>
      <c r="I31" s="1863"/>
      <c r="J31" s="4562"/>
      <c r="K31" s="4494"/>
      <c r="L31" s="4358"/>
      <c r="M31" s="4567"/>
      <c r="N31" s="4561"/>
      <c r="O31" s="4356"/>
      <c r="P31" s="4356"/>
      <c r="Q31" s="4494"/>
      <c r="R31" s="4568"/>
      <c r="S31" s="4544"/>
      <c r="T31" s="4494"/>
      <c r="U31" s="4358"/>
      <c r="V31" s="1746" t="s">
        <v>1295</v>
      </c>
      <c r="W31" s="1871"/>
      <c r="X31" s="1871"/>
      <c r="Y31" s="1871"/>
      <c r="Z31" s="1743"/>
      <c r="AA31" s="1872"/>
      <c r="AB31" s="4508"/>
      <c r="AC31" s="1862"/>
      <c r="AD31" s="4508"/>
      <c r="AE31" s="1862"/>
      <c r="AF31" s="4508"/>
      <c r="AG31" s="1862"/>
      <c r="AH31" s="4508"/>
      <c r="AI31" s="1862"/>
      <c r="AJ31" s="4508"/>
      <c r="AK31" s="1862"/>
      <c r="AL31" s="4508"/>
      <c r="AM31" s="4508"/>
      <c r="AN31" s="4508"/>
      <c r="AO31" s="4508"/>
      <c r="AP31" s="4508"/>
      <c r="AQ31" s="4508"/>
      <c r="AR31" s="4508"/>
      <c r="AS31" s="4508"/>
      <c r="AT31" s="4508"/>
      <c r="AU31" s="4508"/>
      <c r="AV31" s="4508"/>
      <c r="AW31" s="4508"/>
      <c r="AX31" s="4508"/>
      <c r="AY31" s="4508"/>
      <c r="AZ31" s="4508"/>
      <c r="BA31" s="4508"/>
      <c r="BB31" s="4508"/>
      <c r="BC31" s="4508"/>
      <c r="BD31" s="4508"/>
      <c r="BE31" s="4508"/>
      <c r="BF31" s="4508"/>
      <c r="BG31" s="4508"/>
      <c r="BH31" s="3233"/>
      <c r="BI31" s="4573"/>
      <c r="BJ31" s="4536"/>
      <c r="BK31" s="4570"/>
      <c r="BL31" s="4531"/>
      <c r="BM31" s="3233"/>
      <c r="BN31" s="4533"/>
      <c r="BO31" s="4533"/>
      <c r="BP31" s="4533"/>
      <c r="BQ31" s="4564"/>
      <c r="BR31" s="3233"/>
    </row>
    <row r="32" spans="1:70" s="1798" customFormat="1" ht="78" customHeight="1" x14ac:dyDescent="0.25">
      <c r="A32" s="1853"/>
      <c r="B32" s="1854"/>
      <c r="C32" s="1854"/>
      <c r="D32" s="1855"/>
      <c r="E32" s="872"/>
      <c r="F32" s="872"/>
      <c r="G32" s="1855"/>
      <c r="H32" s="872"/>
      <c r="I32" s="1863"/>
      <c r="J32" s="1865">
        <v>71</v>
      </c>
      <c r="K32" s="1866" t="s">
        <v>1296</v>
      </c>
      <c r="L32" s="1866" t="s">
        <v>1297</v>
      </c>
      <c r="M32" s="1873">
        <v>2570</v>
      </c>
      <c r="N32" s="1874">
        <v>3278</v>
      </c>
      <c r="O32" s="4356"/>
      <c r="P32" s="4356"/>
      <c r="Q32" s="4494"/>
      <c r="R32" s="1868">
        <f>+W32/S27</f>
        <v>0</v>
      </c>
      <c r="S32" s="4544"/>
      <c r="T32" s="4494"/>
      <c r="U32" s="4358"/>
      <c r="V32" s="1754" t="s">
        <v>1298</v>
      </c>
      <c r="W32" s="1875"/>
      <c r="X32" s="1875"/>
      <c r="Y32" s="1875"/>
      <c r="Z32" s="1743"/>
      <c r="AA32" s="1872"/>
      <c r="AB32" s="4508"/>
      <c r="AC32" s="1862"/>
      <c r="AD32" s="4508"/>
      <c r="AE32" s="1862"/>
      <c r="AF32" s="4508"/>
      <c r="AG32" s="1862"/>
      <c r="AH32" s="4508"/>
      <c r="AI32" s="1862"/>
      <c r="AJ32" s="4508"/>
      <c r="AK32" s="1862"/>
      <c r="AL32" s="4508"/>
      <c r="AM32" s="4508"/>
      <c r="AN32" s="4508"/>
      <c r="AO32" s="4508"/>
      <c r="AP32" s="4508"/>
      <c r="AQ32" s="4508"/>
      <c r="AR32" s="4508">
        <v>0</v>
      </c>
      <c r="AS32" s="4508"/>
      <c r="AT32" s="4508"/>
      <c r="AU32" s="4508"/>
      <c r="AV32" s="4508"/>
      <c r="AW32" s="4508"/>
      <c r="AX32" s="4508"/>
      <c r="AY32" s="4508"/>
      <c r="AZ32" s="4508"/>
      <c r="BA32" s="4508"/>
      <c r="BB32" s="4508"/>
      <c r="BC32" s="4508"/>
      <c r="BD32" s="4508"/>
      <c r="BE32" s="4508"/>
      <c r="BF32" s="4508"/>
      <c r="BG32" s="4508"/>
      <c r="BH32" s="3233"/>
      <c r="BI32" s="4573"/>
      <c r="BJ32" s="4536"/>
      <c r="BK32" s="4570"/>
      <c r="BL32" s="4531"/>
      <c r="BM32" s="3233"/>
      <c r="BN32" s="4533"/>
      <c r="BO32" s="4533"/>
      <c r="BP32" s="4533"/>
      <c r="BQ32" s="4564"/>
      <c r="BR32" s="3233"/>
    </row>
    <row r="33" spans="1:70" s="1798" customFormat="1" ht="126.75" customHeight="1" x14ac:dyDescent="0.25">
      <c r="A33" s="1853"/>
      <c r="B33" s="1854"/>
      <c r="C33" s="1854"/>
      <c r="D33" s="1855"/>
      <c r="E33" s="872"/>
      <c r="F33" s="872"/>
      <c r="G33" s="1855"/>
      <c r="H33" s="872"/>
      <c r="I33" s="1863"/>
      <c r="J33" s="4507">
        <v>72</v>
      </c>
      <c r="K33" s="4541" t="s">
        <v>1299</v>
      </c>
      <c r="L33" s="4552" t="s">
        <v>1300</v>
      </c>
      <c r="M33" s="4553">
        <v>455</v>
      </c>
      <c r="N33" s="4555">
        <v>222</v>
      </c>
      <c r="O33" s="4356"/>
      <c r="P33" s="4356"/>
      <c r="Q33" s="4494"/>
      <c r="R33" s="4546">
        <f>SUM(W33:W34)/S27</f>
        <v>3.388350418256858E-2</v>
      </c>
      <c r="S33" s="4544"/>
      <c r="T33" s="4494"/>
      <c r="U33" s="4358"/>
      <c r="V33" s="3084" t="s">
        <v>1301</v>
      </c>
      <c r="W33" s="1630">
        <v>5000000</v>
      </c>
      <c r="X33" s="1630">
        <v>5000000</v>
      </c>
      <c r="Y33" s="1630">
        <v>5000000</v>
      </c>
      <c r="Z33" s="1743">
        <v>20</v>
      </c>
      <c r="AA33" s="1870" t="s">
        <v>124</v>
      </c>
      <c r="AB33" s="4508"/>
      <c r="AC33" s="1862"/>
      <c r="AD33" s="4508"/>
      <c r="AE33" s="1862"/>
      <c r="AF33" s="4508"/>
      <c r="AG33" s="1862"/>
      <c r="AH33" s="4508"/>
      <c r="AI33" s="1862"/>
      <c r="AJ33" s="4508"/>
      <c r="AK33" s="1862"/>
      <c r="AL33" s="4508"/>
      <c r="AM33" s="4508"/>
      <c r="AN33" s="4508"/>
      <c r="AO33" s="4508"/>
      <c r="AP33" s="4508"/>
      <c r="AQ33" s="4508"/>
      <c r="AR33" s="4508"/>
      <c r="AS33" s="4508"/>
      <c r="AT33" s="4508"/>
      <c r="AU33" s="4508"/>
      <c r="AV33" s="4508"/>
      <c r="AW33" s="4508"/>
      <c r="AX33" s="4508"/>
      <c r="AY33" s="4508"/>
      <c r="AZ33" s="4508"/>
      <c r="BA33" s="4508"/>
      <c r="BB33" s="4508"/>
      <c r="BC33" s="4508"/>
      <c r="BD33" s="4508"/>
      <c r="BE33" s="4508"/>
      <c r="BF33" s="4508"/>
      <c r="BG33" s="4508"/>
      <c r="BH33" s="3233"/>
      <c r="BI33" s="4573"/>
      <c r="BJ33" s="4536"/>
      <c r="BK33" s="4570"/>
      <c r="BL33" s="4531"/>
      <c r="BM33" s="3233"/>
      <c r="BN33" s="4533"/>
      <c r="BO33" s="4533"/>
      <c r="BP33" s="4533"/>
      <c r="BQ33" s="4564"/>
      <c r="BR33" s="3233"/>
    </row>
    <row r="34" spans="1:70" s="1798" customFormat="1" ht="60" customHeight="1" x14ac:dyDescent="0.25">
      <c r="A34" s="1853"/>
      <c r="B34" s="1854"/>
      <c r="C34" s="1854"/>
      <c r="D34" s="1855"/>
      <c r="E34" s="872"/>
      <c r="F34" s="872"/>
      <c r="G34" s="1855"/>
      <c r="H34" s="872"/>
      <c r="I34" s="1863"/>
      <c r="J34" s="4509"/>
      <c r="K34" s="4543"/>
      <c r="L34" s="4552"/>
      <c r="M34" s="4554"/>
      <c r="N34" s="4551"/>
      <c r="O34" s="4356"/>
      <c r="P34" s="4356"/>
      <c r="Q34" s="4494"/>
      <c r="R34" s="4547"/>
      <c r="S34" s="4544"/>
      <c r="T34" s="4494"/>
      <c r="U34" s="4358"/>
      <c r="V34" s="3068"/>
      <c r="W34" s="2023">
        <v>49291242</v>
      </c>
      <c r="X34" s="2023"/>
      <c r="Y34" s="2023"/>
      <c r="Z34" s="1744">
        <v>25</v>
      </c>
      <c r="AA34" s="1876" t="s">
        <v>1302</v>
      </c>
      <c r="AB34" s="4508"/>
      <c r="AC34" s="1862"/>
      <c r="AD34" s="4508"/>
      <c r="AE34" s="1862"/>
      <c r="AF34" s="4508"/>
      <c r="AG34" s="1862"/>
      <c r="AH34" s="4508"/>
      <c r="AI34" s="1862"/>
      <c r="AJ34" s="4508"/>
      <c r="AK34" s="1862"/>
      <c r="AL34" s="4508"/>
      <c r="AM34" s="4508"/>
      <c r="AN34" s="4508"/>
      <c r="AO34" s="4508"/>
      <c r="AP34" s="4508"/>
      <c r="AQ34" s="4508"/>
      <c r="AR34" s="4508"/>
      <c r="AS34" s="4508"/>
      <c r="AT34" s="4508"/>
      <c r="AU34" s="4508"/>
      <c r="AV34" s="4508"/>
      <c r="AW34" s="4508"/>
      <c r="AX34" s="4508"/>
      <c r="AY34" s="4508"/>
      <c r="AZ34" s="4508"/>
      <c r="BA34" s="4508"/>
      <c r="BB34" s="4508"/>
      <c r="BC34" s="4508"/>
      <c r="BD34" s="4508"/>
      <c r="BE34" s="4508"/>
      <c r="BF34" s="4508"/>
      <c r="BG34" s="4508"/>
      <c r="BH34" s="3233"/>
      <c r="BI34" s="4573"/>
      <c r="BJ34" s="4536"/>
      <c r="BK34" s="4570"/>
      <c r="BL34" s="4531"/>
      <c r="BM34" s="3233"/>
      <c r="BN34" s="4533"/>
      <c r="BO34" s="4533"/>
      <c r="BP34" s="4533"/>
      <c r="BQ34" s="4564"/>
      <c r="BR34" s="3233"/>
    </row>
    <row r="35" spans="1:70" s="1798" customFormat="1" ht="70.5" customHeight="1" x14ac:dyDescent="0.25">
      <c r="A35" s="1853"/>
      <c r="B35" s="1854"/>
      <c r="C35" s="1854"/>
      <c r="D35" s="1855"/>
      <c r="E35" s="872"/>
      <c r="F35" s="872"/>
      <c r="G35" s="1855"/>
      <c r="H35" s="872"/>
      <c r="I35" s="1863"/>
      <c r="J35" s="4507">
        <v>73</v>
      </c>
      <c r="K35" s="4541" t="s">
        <v>1303</v>
      </c>
      <c r="L35" s="4558" t="s">
        <v>1106</v>
      </c>
      <c r="M35" s="4553">
        <v>1</v>
      </c>
      <c r="N35" s="4560">
        <v>0.8</v>
      </c>
      <c r="O35" s="4356"/>
      <c r="P35" s="4356"/>
      <c r="Q35" s="4494"/>
      <c r="R35" s="4546">
        <f>SUM(W35+W36)/S27</f>
        <v>0.94115224527951324</v>
      </c>
      <c r="S35" s="4544"/>
      <c r="T35" s="4494"/>
      <c r="U35" s="4358"/>
      <c r="V35" s="1751" t="s">
        <v>1304</v>
      </c>
      <c r="W35" s="1877">
        <f>1508000000-200000000-5000000</f>
        <v>1303000000</v>
      </c>
      <c r="X35" s="1877">
        <v>1011580689</v>
      </c>
      <c r="Y35" s="1877">
        <v>576566637</v>
      </c>
      <c r="Z35" s="1744">
        <v>25</v>
      </c>
      <c r="AA35" s="1876" t="s">
        <v>1305</v>
      </c>
      <c r="AB35" s="4508"/>
      <c r="AC35" s="1862"/>
      <c r="AD35" s="4508"/>
      <c r="AE35" s="1862"/>
      <c r="AF35" s="4508"/>
      <c r="AG35" s="1862"/>
      <c r="AH35" s="4508"/>
      <c r="AI35" s="1862"/>
      <c r="AJ35" s="4508"/>
      <c r="AK35" s="1862"/>
      <c r="AL35" s="4508"/>
      <c r="AM35" s="4508"/>
      <c r="AN35" s="4508"/>
      <c r="AO35" s="4508"/>
      <c r="AP35" s="4508"/>
      <c r="AQ35" s="4508"/>
      <c r="AR35" s="4508"/>
      <c r="AS35" s="4508"/>
      <c r="AT35" s="4508"/>
      <c r="AU35" s="4508"/>
      <c r="AV35" s="4508"/>
      <c r="AW35" s="4508"/>
      <c r="AX35" s="4508"/>
      <c r="AY35" s="4508"/>
      <c r="AZ35" s="4508"/>
      <c r="BA35" s="4508"/>
      <c r="BB35" s="4508"/>
      <c r="BC35" s="4508"/>
      <c r="BD35" s="4508"/>
      <c r="BE35" s="4508"/>
      <c r="BF35" s="4508"/>
      <c r="BG35" s="4508"/>
      <c r="BH35" s="3233"/>
      <c r="BI35" s="4573"/>
      <c r="BJ35" s="4536"/>
      <c r="BK35" s="4570"/>
      <c r="BL35" s="4531"/>
      <c r="BM35" s="3233"/>
      <c r="BN35" s="4533"/>
      <c r="BO35" s="4533"/>
      <c r="BP35" s="4533"/>
      <c r="BQ35" s="4564"/>
      <c r="BR35" s="3233"/>
    </row>
    <row r="36" spans="1:70" s="1798" customFormat="1" ht="96" customHeight="1" x14ac:dyDescent="0.25">
      <c r="A36" s="1853"/>
      <c r="B36" s="1854"/>
      <c r="C36" s="1854"/>
      <c r="D36" s="1855"/>
      <c r="E36" s="872"/>
      <c r="F36" s="872"/>
      <c r="G36" s="1855"/>
      <c r="H36" s="872"/>
      <c r="I36" s="1863"/>
      <c r="J36" s="4556"/>
      <c r="K36" s="4557"/>
      <c r="L36" s="4559"/>
      <c r="M36" s="4554"/>
      <c r="N36" s="4561"/>
      <c r="O36" s="4356"/>
      <c r="P36" s="4356"/>
      <c r="Q36" s="4494"/>
      <c r="R36" s="4547"/>
      <c r="S36" s="4544"/>
      <c r="T36" s="4494"/>
      <c r="U36" s="4548"/>
      <c r="V36" s="1879" t="s">
        <v>1306</v>
      </c>
      <c r="W36" s="1880">
        <f>0+200000000+5000000</f>
        <v>205000000</v>
      </c>
      <c r="X36" s="1880"/>
      <c r="Y36" s="1880"/>
      <c r="Z36" s="1744">
        <v>25</v>
      </c>
      <c r="AA36" s="1876" t="s">
        <v>1305</v>
      </c>
      <c r="AB36" s="4509"/>
      <c r="AC36" s="1881"/>
      <c r="AD36" s="4509"/>
      <c r="AE36" s="1881"/>
      <c r="AF36" s="4509"/>
      <c r="AG36" s="1881"/>
      <c r="AH36" s="4509"/>
      <c r="AI36" s="1881"/>
      <c r="AJ36" s="4509"/>
      <c r="AK36" s="1881"/>
      <c r="AL36" s="4509"/>
      <c r="AM36" s="4509"/>
      <c r="AN36" s="4509"/>
      <c r="AO36" s="4509"/>
      <c r="AP36" s="4509"/>
      <c r="AQ36" s="4509"/>
      <c r="AR36" s="4509"/>
      <c r="AS36" s="4509"/>
      <c r="AT36" s="4509"/>
      <c r="AU36" s="4509"/>
      <c r="AV36" s="4509"/>
      <c r="AW36" s="4509"/>
      <c r="AX36" s="4509"/>
      <c r="AY36" s="4509"/>
      <c r="AZ36" s="4509"/>
      <c r="BA36" s="4509"/>
      <c r="BB36" s="4509"/>
      <c r="BC36" s="4509"/>
      <c r="BD36" s="4509"/>
      <c r="BE36" s="4509"/>
      <c r="BF36" s="4509"/>
      <c r="BG36" s="4509"/>
      <c r="BH36" s="3234"/>
      <c r="BI36" s="4574"/>
      <c r="BJ36" s="4537"/>
      <c r="BK36" s="4571"/>
      <c r="BL36" s="3367"/>
      <c r="BM36" s="3234"/>
      <c r="BN36" s="4534"/>
      <c r="BO36" s="4534"/>
      <c r="BP36" s="4534"/>
      <c r="BQ36" s="4565"/>
      <c r="BR36" s="3234"/>
    </row>
    <row r="37" spans="1:70" s="1798" customFormat="1" ht="33" customHeight="1" x14ac:dyDescent="0.25">
      <c r="A37" s="1853"/>
      <c r="B37" s="1854"/>
      <c r="C37" s="1854"/>
      <c r="D37" s="4582"/>
      <c r="E37" s="872"/>
      <c r="F37" s="4584"/>
      <c r="G37" s="4582"/>
      <c r="H37" s="872"/>
      <c r="I37" s="4586"/>
      <c r="J37" s="4588">
        <v>74</v>
      </c>
      <c r="K37" s="4589" t="s">
        <v>1307</v>
      </c>
      <c r="L37" s="4575" t="s">
        <v>1308</v>
      </c>
      <c r="M37" s="4553">
        <v>2232</v>
      </c>
      <c r="N37" s="4553">
        <v>2232</v>
      </c>
      <c r="O37" s="1779" t="s">
        <v>1309</v>
      </c>
      <c r="P37" s="4354" t="s">
        <v>1310</v>
      </c>
      <c r="Q37" s="4358" t="s">
        <v>1311</v>
      </c>
      <c r="R37" s="4579">
        <v>1</v>
      </c>
      <c r="S37" s="4590">
        <f>SUM(W37:W41)</f>
        <v>151601241535.29001</v>
      </c>
      <c r="T37" s="4494" t="s">
        <v>1312</v>
      </c>
      <c r="U37" s="4494" t="s">
        <v>1313</v>
      </c>
      <c r="V37" s="4514" t="s">
        <v>1314</v>
      </c>
      <c r="W37" s="1838">
        <v>120411000000</v>
      </c>
      <c r="X37" s="1838">
        <v>78953573552</v>
      </c>
      <c r="Y37" s="1838">
        <f>78654142306+78651</f>
        <v>78654220957</v>
      </c>
      <c r="Z37" s="1758">
        <v>25</v>
      </c>
      <c r="AA37" s="1840" t="s">
        <v>1305</v>
      </c>
      <c r="AB37" s="4591">
        <v>20555</v>
      </c>
      <c r="AC37" s="4462">
        <v>20555</v>
      </c>
      <c r="AD37" s="4462">
        <v>21361</v>
      </c>
      <c r="AE37" s="4462">
        <v>21361</v>
      </c>
      <c r="AF37" s="4553">
        <v>30460</v>
      </c>
      <c r="AG37" s="4553">
        <v>30460</v>
      </c>
      <c r="AH37" s="4553">
        <v>9593</v>
      </c>
      <c r="AI37" s="4553">
        <v>9593</v>
      </c>
      <c r="AJ37" s="4553">
        <v>1762</v>
      </c>
      <c r="AK37" s="4553">
        <v>1762</v>
      </c>
      <c r="AL37" s="4553">
        <v>101</v>
      </c>
      <c r="AM37" s="4553">
        <v>101</v>
      </c>
      <c r="AN37" s="4553">
        <v>308</v>
      </c>
      <c r="AO37" s="4553">
        <v>308</v>
      </c>
      <c r="AP37" s="4553">
        <v>277</v>
      </c>
      <c r="AQ37" s="4553">
        <v>277</v>
      </c>
      <c r="AR37" s="4553">
        <v>0</v>
      </c>
      <c r="AS37" s="4553">
        <v>0</v>
      </c>
      <c r="AT37" s="4553">
        <v>0</v>
      </c>
      <c r="AU37" s="4553">
        <v>0</v>
      </c>
      <c r="AV37" s="4553">
        <v>0</v>
      </c>
      <c r="AW37" s="4553">
        <v>0</v>
      </c>
      <c r="AX37" s="4553">
        <v>0</v>
      </c>
      <c r="AY37" s="4553">
        <v>0</v>
      </c>
      <c r="AZ37" s="4613">
        <v>2907</v>
      </c>
      <c r="BA37" s="4613">
        <v>2907</v>
      </c>
      <c r="BB37" s="4613">
        <v>2589</v>
      </c>
      <c r="BC37" s="4613">
        <v>2589</v>
      </c>
      <c r="BD37" s="4613">
        <v>2954</v>
      </c>
      <c r="BE37" s="4613">
        <v>2954</v>
      </c>
      <c r="BF37" s="4610">
        <v>41916</v>
      </c>
      <c r="BG37" s="4610">
        <v>41916</v>
      </c>
      <c r="BH37" s="3081">
        <v>1</v>
      </c>
      <c r="BI37" s="4601">
        <v>103140266742</v>
      </c>
      <c r="BJ37" s="4601">
        <v>102840914147</v>
      </c>
      <c r="BK37" s="4604">
        <f>+BJ37/BI37</f>
        <v>0.99709761662970275</v>
      </c>
      <c r="BL37" s="4607" t="s">
        <v>1315</v>
      </c>
      <c r="BM37" s="4610" t="s">
        <v>1316</v>
      </c>
      <c r="BN37" s="4593">
        <v>43466</v>
      </c>
      <c r="BO37" s="4593">
        <v>43466</v>
      </c>
      <c r="BP37" s="4593">
        <v>43830</v>
      </c>
      <c r="BQ37" s="4593">
        <v>43830</v>
      </c>
      <c r="BR37" s="4596" t="s">
        <v>1288</v>
      </c>
    </row>
    <row r="38" spans="1:70" s="1798" customFormat="1" ht="39" customHeight="1" x14ac:dyDescent="0.25">
      <c r="A38" s="1853"/>
      <c r="B38" s="1854"/>
      <c r="C38" s="1854"/>
      <c r="D38" s="4582"/>
      <c r="E38" s="872"/>
      <c r="F38" s="4584"/>
      <c r="G38" s="4582"/>
      <c r="H38" s="872"/>
      <c r="I38" s="4586"/>
      <c r="J38" s="4588"/>
      <c r="K38" s="4589"/>
      <c r="L38" s="4576"/>
      <c r="M38" s="4578"/>
      <c r="N38" s="4578"/>
      <c r="O38" s="1781" t="s">
        <v>1317</v>
      </c>
      <c r="P38" s="4354"/>
      <c r="Q38" s="4358"/>
      <c r="R38" s="4580"/>
      <c r="S38" s="4590"/>
      <c r="T38" s="4494"/>
      <c r="U38" s="4494"/>
      <c r="V38" s="4514"/>
      <c r="W38" s="1838">
        <f>22161000000+2749098635</f>
        <v>24910098635</v>
      </c>
      <c r="X38" s="1838">
        <v>18904342783</v>
      </c>
      <c r="Y38" s="1838">
        <v>18904342783</v>
      </c>
      <c r="Z38" s="1758">
        <v>26</v>
      </c>
      <c r="AA38" s="1836" t="s">
        <v>1318</v>
      </c>
      <c r="AB38" s="4584"/>
      <c r="AC38" s="4592"/>
      <c r="AD38" s="4592"/>
      <c r="AE38" s="4592"/>
      <c r="AF38" s="4578"/>
      <c r="AG38" s="4578"/>
      <c r="AH38" s="4578"/>
      <c r="AI38" s="4578"/>
      <c r="AJ38" s="4578"/>
      <c r="AK38" s="4578"/>
      <c r="AL38" s="4578"/>
      <c r="AM38" s="4578"/>
      <c r="AN38" s="4578"/>
      <c r="AO38" s="4578"/>
      <c r="AP38" s="4578"/>
      <c r="AQ38" s="4578"/>
      <c r="AR38" s="4578"/>
      <c r="AS38" s="4578"/>
      <c r="AT38" s="4578"/>
      <c r="AU38" s="4578"/>
      <c r="AV38" s="4578"/>
      <c r="AW38" s="4578"/>
      <c r="AX38" s="4578"/>
      <c r="AY38" s="4578"/>
      <c r="AZ38" s="4614"/>
      <c r="BA38" s="4614"/>
      <c r="BB38" s="4614"/>
      <c r="BC38" s="4614"/>
      <c r="BD38" s="4614"/>
      <c r="BE38" s="4614"/>
      <c r="BF38" s="4611"/>
      <c r="BG38" s="4611"/>
      <c r="BH38" s="3081"/>
      <c r="BI38" s="4602"/>
      <c r="BJ38" s="4602"/>
      <c r="BK38" s="4605"/>
      <c r="BL38" s="4608"/>
      <c r="BM38" s="4611"/>
      <c r="BN38" s="4594"/>
      <c r="BO38" s="4594"/>
      <c r="BP38" s="4594"/>
      <c r="BQ38" s="4594"/>
      <c r="BR38" s="4597"/>
    </row>
    <row r="39" spans="1:70" s="1798" customFormat="1" ht="40.5" customHeight="1" x14ac:dyDescent="0.25">
      <c r="A39" s="1853"/>
      <c r="B39" s="1854"/>
      <c r="C39" s="1854"/>
      <c r="D39" s="4582"/>
      <c r="E39" s="872"/>
      <c r="F39" s="4584"/>
      <c r="G39" s="4582"/>
      <c r="H39" s="872"/>
      <c r="I39" s="4586"/>
      <c r="J39" s="4588"/>
      <c r="K39" s="4589"/>
      <c r="L39" s="4576"/>
      <c r="M39" s="4578"/>
      <c r="N39" s="4578"/>
      <c r="O39" s="1781" t="s">
        <v>1319</v>
      </c>
      <c r="P39" s="4354"/>
      <c r="Q39" s="4358"/>
      <c r="R39" s="4580"/>
      <c r="S39" s="4590"/>
      <c r="T39" s="4494"/>
      <c r="U39" s="4494"/>
      <c r="V39" s="4514"/>
      <c r="W39" s="1838">
        <v>742459176.28999996</v>
      </c>
      <c r="X39" s="1838">
        <v>661974236</v>
      </c>
      <c r="Y39" s="1838">
        <v>661974236</v>
      </c>
      <c r="Z39" s="1884">
        <v>9</v>
      </c>
      <c r="AA39" s="1836" t="s">
        <v>1320</v>
      </c>
      <c r="AB39" s="4584"/>
      <c r="AC39" s="4592"/>
      <c r="AD39" s="4592"/>
      <c r="AE39" s="4592"/>
      <c r="AF39" s="4578"/>
      <c r="AG39" s="4578"/>
      <c r="AH39" s="4578"/>
      <c r="AI39" s="4578"/>
      <c r="AJ39" s="4578"/>
      <c r="AK39" s="4578"/>
      <c r="AL39" s="4578"/>
      <c r="AM39" s="4578"/>
      <c r="AN39" s="4578"/>
      <c r="AO39" s="4578"/>
      <c r="AP39" s="4578"/>
      <c r="AQ39" s="4578"/>
      <c r="AR39" s="4578"/>
      <c r="AS39" s="4578"/>
      <c r="AT39" s="4578"/>
      <c r="AU39" s="4578"/>
      <c r="AV39" s="4578"/>
      <c r="AW39" s="4578"/>
      <c r="AX39" s="4578"/>
      <c r="AY39" s="4578"/>
      <c r="AZ39" s="4614"/>
      <c r="BA39" s="4614"/>
      <c r="BB39" s="4614"/>
      <c r="BC39" s="4614"/>
      <c r="BD39" s="4614"/>
      <c r="BE39" s="4614"/>
      <c r="BF39" s="4611"/>
      <c r="BG39" s="4611"/>
      <c r="BH39" s="3081"/>
      <c r="BI39" s="4602"/>
      <c r="BJ39" s="4602"/>
      <c r="BK39" s="4605"/>
      <c r="BL39" s="4608"/>
      <c r="BM39" s="4611"/>
      <c r="BN39" s="4594"/>
      <c r="BO39" s="4594"/>
      <c r="BP39" s="4594"/>
      <c r="BQ39" s="4594"/>
      <c r="BR39" s="4597"/>
    </row>
    <row r="40" spans="1:70" s="1798" customFormat="1" ht="39.75" customHeight="1" x14ac:dyDescent="0.25">
      <c r="A40" s="1853"/>
      <c r="B40" s="1854"/>
      <c r="C40" s="1854"/>
      <c r="D40" s="4582"/>
      <c r="E40" s="872"/>
      <c r="F40" s="4584"/>
      <c r="G40" s="4582"/>
      <c r="H40" s="872"/>
      <c r="I40" s="4586"/>
      <c r="J40" s="4588"/>
      <c r="K40" s="4589"/>
      <c r="L40" s="4576"/>
      <c r="M40" s="4578"/>
      <c r="N40" s="4578"/>
      <c r="O40" s="1781" t="s">
        <v>1321</v>
      </c>
      <c r="P40" s="4354"/>
      <c r="Q40" s="4358"/>
      <c r="R40" s="4580"/>
      <c r="S40" s="4590"/>
      <c r="T40" s="4494"/>
      <c r="U40" s="4494"/>
      <c r="V40" s="4514"/>
      <c r="W40" s="1837">
        <v>917000000</v>
      </c>
      <c r="X40" s="1837"/>
      <c r="Y40" s="1837"/>
      <c r="Z40" s="1756">
        <v>146</v>
      </c>
      <c r="AA40" s="1836" t="s">
        <v>1318</v>
      </c>
      <c r="AB40" s="4584"/>
      <c r="AC40" s="4592"/>
      <c r="AD40" s="4592"/>
      <c r="AE40" s="4592"/>
      <c r="AF40" s="4578"/>
      <c r="AG40" s="4578"/>
      <c r="AH40" s="4578"/>
      <c r="AI40" s="4578"/>
      <c r="AJ40" s="4578"/>
      <c r="AK40" s="4578"/>
      <c r="AL40" s="4578"/>
      <c r="AM40" s="4578"/>
      <c r="AN40" s="4578"/>
      <c r="AO40" s="4578"/>
      <c r="AP40" s="4578"/>
      <c r="AQ40" s="4578"/>
      <c r="AR40" s="4578"/>
      <c r="AS40" s="4578"/>
      <c r="AT40" s="4578"/>
      <c r="AU40" s="4578"/>
      <c r="AV40" s="4578"/>
      <c r="AW40" s="4578"/>
      <c r="AX40" s="4578"/>
      <c r="AY40" s="4578"/>
      <c r="AZ40" s="4614"/>
      <c r="BA40" s="4614"/>
      <c r="BB40" s="4614"/>
      <c r="BC40" s="4614"/>
      <c r="BD40" s="4614"/>
      <c r="BE40" s="4614"/>
      <c r="BF40" s="4611"/>
      <c r="BG40" s="4611"/>
      <c r="BH40" s="3081"/>
      <c r="BI40" s="4602"/>
      <c r="BJ40" s="4602"/>
      <c r="BK40" s="4605"/>
      <c r="BL40" s="4608"/>
      <c r="BM40" s="4611"/>
      <c r="BN40" s="4594"/>
      <c r="BO40" s="4594"/>
      <c r="BP40" s="4594"/>
      <c r="BQ40" s="4594"/>
      <c r="BR40" s="4597"/>
    </row>
    <row r="41" spans="1:70" s="1798" customFormat="1" ht="73.5" customHeight="1" x14ac:dyDescent="0.25">
      <c r="A41" s="1853"/>
      <c r="B41" s="1854"/>
      <c r="C41" s="1854"/>
      <c r="D41" s="4583"/>
      <c r="E41" s="1885"/>
      <c r="F41" s="4585"/>
      <c r="G41" s="4583"/>
      <c r="H41" s="1885"/>
      <c r="I41" s="4587"/>
      <c r="J41" s="4588"/>
      <c r="K41" s="4589"/>
      <c r="L41" s="4577"/>
      <c r="M41" s="4554"/>
      <c r="N41" s="4554"/>
      <c r="O41" s="1783" t="s">
        <v>1322</v>
      </c>
      <c r="P41" s="4354"/>
      <c r="Q41" s="4358"/>
      <c r="R41" s="4581"/>
      <c r="S41" s="4590"/>
      <c r="T41" s="4424"/>
      <c r="U41" s="4424"/>
      <c r="V41" s="4515"/>
      <c r="W41" s="1832">
        <f>0+4000000000+620683724</f>
        <v>4620683724</v>
      </c>
      <c r="X41" s="1832">
        <v>4620376171</v>
      </c>
      <c r="Y41" s="1832">
        <v>4620376171</v>
      </c>
      <c r="Z41" s="1841">
        <v>88</v>
      </c>
      <c r="AA41" s="1842" t="s">
        <v>451</v>
      </c>
      <c r="AB41" s="4585"/>
      <c r="AC41" s="4567"/>
      <c r="AD41" s="4567"/>
      <c r="AE41" s="4567"/>
      <c r="AF41" s="4554"/>
      <c r="AG41" s="4554"/>
      <c r="AH41" s="4554"/>
      <c r="AI41" s="4554"/>
      <c r="AJ41" s="4554"/>
      <c r="AK41" s="4554"/>
      <c r="AL41" s="4554"/>
      <c r="AM41" s="4554"/>
      <c r="AN41" s="4554"/>
      <c r="AO41" s="4554"/>
      <c r="AP41" s="4554"/>
      <c r="AQ41" s="4554"/>
      <c r="AR41" s="4554"/>
      <c r="AS41" s="4554"/>
      <c r="AT41" s="4554"/>
      <c r="AU41" s="4554"/>
      <c r="AV41" s="4554">
        <v>0</v>
      </c>
      <c r="AW41" s="4554"/>
      <c r="AX41" s="4554">
        <v>0</v>
      </c>
      <c r="AY41" s="4554"/>
      <c r="AZ41" s="4615"/>
      <c r="BA41" s="4615"/>
      <c r="BB41" s="4615"/>
      <c r="BC41" s="4615"/>
      <c r="BD41" s="4615"/>
      <c r="BE41" s="4615"/>
      <c r="BF41" s="4612"/>
      <c r="BG41" s="4612"/>
      <c r="BH41" s="3081"/>
      <c r="BI41" s="4603"/>
      <c r="BJ41" s="4603"/>
      <c r="BK41" s="4606"/>
      <c r="BL41" s="4609"/>
      <c r="BM41" s="4612"/>
      <c r="BN41" s="4595"/>
      <c r="BO41" s="4595"/>
      <c r="BP41" s="4595"/>
      <c r="BQ41" s="4595"/>
      <c r="BR41" s="4598"/>
    </row>
    <row r="42" spans="1:70" s="1798" customFormat="1" ht="15.75" customHeight="1" x14ac:dyDescent="0.25">
      <c r="A42" s="1843"/>
      <c r="B42" s="1844"/>
      <c r="C42" s="1845"/>
      <c r="D42" s="1886">
        <v>6</v>
      </c>
      <c r="E42" s="1887" t="s">
        <v>1323</v>
      </c>
      <c r="F42" s="1887"/>
      <c r="G42" s="1887"/>
      <c r="H42" s="1887"/>
      <c r="I42" s="1887"/>
      <c r="J42" s="1887"/>
      <c r="K42" s="806"/>
      <c r="L42" s="37"/>
      <c r="M42" s="36"/>
      <c r="N42" s="1888"/>
      <c r="O42" s="38"/>
      <c r="P42" s="38"/>
      <c r="Q42" s="37"/>
      <c r="R42" s="1889"/>
      <c r="S42" s="1890"/>
      <c r="T42" s="37"/>
      <c r="U42" s="37"/>
      <c r="V42" s="37"/>
      <c r="W42" s="37"/>
      <c r="X42" s="37"/>
      <c r="Y42" s="37"/>
      <c r="Z42" s="37"/>
      <c r="AA42" s="37"/>
      <c r="AB42" s="38"/>
      <c r="AC42" s="38"/>
      <c r="AD42" s="38"/>
      <c r="AE42" s="38"/>
      <c r="AF42" s="36"/>
      <c r="AG42" s="36"/>
      <c r="AH42" s="36"/>
      <c r="AI42" s="36"/>
      <c r="AJ42" s="36"/>
      <c r="AK42" s="36"/>
      <c r="AL42" s="36"/>
      <c r="AM42" s="36"/>
      <c r="AN42" s="36"/>
      <c r="AO42" s="36"/>
      <c r="AP42" s="36"/>
      <c r="AQ42" s="36"/>
      <c r="AR42" s="36"/>
      <c r="AS42" s="36"/>
      <c r="AT42" s="1891"/>
      <c r="AU42" s="1891"/>
      <c r="AV42" s="1891"/>
      <c r="AW42" s="1891"/>
      <c r="AX42" s="1808"/>
      <c r="AY42" s="1808"/>
      <c r="AZ42" s="1808"/>
      <c r="BA42" s="1808"/>
      <c r="BB42" s="1808"/>
      <c r="BC42" s="1808"/>
      <c r="BD42" s="1808"/>
      <c r="BE42" s="1808"/>
      <c r="BF42" s="1808"/>
      <c r="BG42" s="1808"/>
      <c r="BH42" s="1808"/>
      <c r="BI42" s="1892"/>
      <c r="BJ42" s="1892"/>
      <c r="BK42" s="1808"/>
      <c r="BL42" s="1808"/>
      <c r="BM42" s="1808"/>
      <c r="BN42" s="1808"/>
      <c r="BO42" s="1808"/>
      <c r="BP42" s="1808"/>
      <c r="BQ42" s="1808"/>
      <c r="BR42" s="1893"/>
    </row>
    <row r="43" spans="1:70" s="1798" customFormat="1" ht="15.75" customHeight="1" thickBot="1" x14ac:dyDescent="0.3">
      <c r="A43" s="1843"/>
      <c r="B43" s="1894"/>
      <c r="C43" s="1894"/>
      <c r="D43" s="1895"/>
      <c r="E43" s="1896"/>
      <c r="F43" s="1897"/>
      <c r="G43" s="1898">
        <v>19</v>
      </c>
      <c r="H43" s="1767" t="s">
        <v>1324</v>
      </c>
      <c r="I43" s="1767"/>
      <c r="J43" s="1767"/>
      <c r="K43" s="1541"/>
      <c r="L43" s="1541"/>
      <c r="M43" s="814"/>
      <c r="N43" s="1899"/>
      <c r="O43" s="1542"/>
      <c r="P43" s="814"/>
      <c r="Q43" s="1541"/>
      <c r="R43" s="814"/>
      <c r="S43" s="1849"/>
      <c r="T43" s="1541"/>
      <c r="U43" s="1541"/>
      <c r="V43" s="1541"/>
      <c r="W43" s="1541"/>
      <c r="X43" s="1541"/>
      <c r="Y43" s="1541"/>
      <c r="Z43" s="1541"/>
      <c r="AA43" s="1541"/>
      <c r="AB43" s="814"/>
      <c r="AC43" s="814"/>
      <c r="AD43" s="814"/>
      <c r="AE43" s="814"/>
      <c r="AF43" s="814"/>
      <c r="AG43" s="814"/>
      <c r="AH43" s="814"/>
      <c r="AI43" s="814"/>
      <c r="AJ43" s="814"/>
      <c r="AK43" s="814"/>
      <c r="AL43" s="814"/>
      <c r="AM43" s="814"/>
      <c r="AN43" s="814"/>
      <c r="AO43" s="814"/>
      <c r="AP43" s="814"/>
      <c r="AQ43" s="814"/>
      <c r="AR43" s="814"/>
      <c r="AS43" s="814"/>
      <c r="AT43" s="814"/>
      <c r="AU43" s="814"/>
      <c r="AV43" s="814"/>
      <c r="AW43" s="814"/>
      <c r="AX43" s="1824"/>
      <c r="AY43" s="1824"/>
      <c r="AZ43" s="1824"/>
      <c r="BA43" s="1824"/>
      <c r="BB43" s="1824"/>
      <c r="BC43" s="1824"/>
      <c r="BD43" s="1824"/>
      <c r="BE43" s="1824"/>
      <c r="BF43" s="1824"/>
      <c r="BG43" s="1824"/>
      <c r="BH43" s="1824"/>
      <c r="BI43" s="1851"/>
      <c r="BJ43" s="1851"/>
      <c r="BK43" s="1824"/>
      <c r="BL43" s="1824"/>
      <c r="BM43" s="1824"/>
      <c r="BN43" s="1824"/>
      <c r="BO43" s="1824"/>
      <c r="BP43" s="1824"/>
      <c r="BQ43" s="1824"/>
      <c r="BR43" s="1852"/>
    </row>
    <row r="44" spans="1:70" s="1798" customFormat="1" ht="82.5" customHeight="1" x14ac:dyDescent="0.25">
      <c r="A44" s="1538"/>
      <c r="B44" s="860"/>
      <c r="C44" s="860"/>
      <c r="D44" s="1900"/>
      <c r="E44" s="1894"/>
      <c r="F44" s="1901"/>
      <c r="G44" s="860"/>
      <c r="H44" s="860"/>
      <c r="I44" s="860"/>
      <c r="J44" s="1881">
        <v>75</v>
      </c>
      <c r="K44" s="1878" t="s">
        <v>1325</v>
      </c>
      <c r="L44" s="1878" t="s">
        <v>1326</v>
      </c>
      <c r="M44" s="1930">
        <v>36</v>
      </c>
      <c r="N44" s="1902">
        <v>19</v>
      </c>
      <c r="O44" s="1903"/>
      <c r="P44" s="4356" t="s">
        <v>1327</v>
      </c>
      <c r="Q44" s="4494" t="s">
        <v>1328</v>
      </c>
      <c r="R44" s="1789">
        <v>0</v>
      </c>
      <c r="S44" s="4599">
        <f>SUM(W44:W52)</f>
        <v>68355000</v>
      </c>
      <c r="T44" s="4494" t="s">
        <v>1329</v>
      </c>
      <c r="U44" s="1878" t="s">
        <v>1330</v>
      </c>
      <c r="V44" s="1904" t="s">
        <v>1331</v>
      </c>
      <c r="W44" s="1905"/>
      <c r="X44" s="1905"/>
      <c r="Y44" s="1905"/>
      <c r="Z44" s="1760"/>
      <c r="AA44" s="1906"/>
      <c r="AB44" s="4592">
        <v>20555</v>
      </c>
      <c r="AC44" s="4462">
        <v>20555</v>
      </c>
      <c r="AD44" s="4592">
        <v>21361</v>
      </c>
      <c r="AE44" s="4462">
        <v>21361</v>
      </c>
      <c r="AF44" s="4592">
        <v>30460</v>
      </c>
      <c r="AG44" s="4462">
        <v>30460</v>
      </c>
      <c r="AH44" s="4592">
        <v>9593</v>
      </c>
      <c r="AI44" s="4462">
        <v>9593</v>
      </c>
      <c r="AJ44" s="4592">
        <v>1762</v>
      </c>
      <c r="AK44" s="4462">
        <v>1762</v>
      </c>
      <c r="AL44" s="4592">
        <v>101</v>
      </c>
      <c r="AM44" s="4462">
        <v>101</v>
      </c>
      <c r="AN44" s="4592">
        <v>308</v>
      </c>
      <c r="AO44" s="4462">
        <v>308</v>
      </c>
      <c r="AP44" s="4592">
        <v>277</v>
      </c>
      <c r="AQ44" s="4462">
        <v>277</v>
      </c>
      <c r="AR44" s="4592">
        <v>0</v>
      </c>
      <c r="AS44" s="4462">
        <v>0</v>
      </c>
      <c r="AT44" s="4592">
        <v>0</v>
      </c>
      <c r="AU44" s="4462">
        <v>0</v>
      </c>
      <c r="AV44" s="4592">
        <v>0</v>
      </c>
      <c r="AW44" s="4462">
        <v>0</v>
      </c>
      <c r="AX44" s="4592">
        <v>0</v>
      </c>
      <c r="AY44" s="4462">
        <v>0</v>
      </c>
      <c r="AZ44" s="4592">
        <v>2907</v>
      </c>
      <c r="BA44" s="4462">
        <v>2907</v>
      </c>
      <c r="BB44" s="4462">
        <v>2589</v>
      </c>
      <c r="BC44" s="4462">
        <v>2589</v>
      </c>
      <c r="BD44" s="4462">
        <v>2954</v>
      </c>
      <c r="BE44" s="4462">
        <v>2954</v>
      </c>
      <c r="BF44" s="4592">
        <v>41916</v>
      </c>
      <c r="BG44" s="4462">
        <v>41916</v>
      </c>
      <c r="BH44" s="4462">
        <v>4</v>
      </c>
      <c r="BI44" s="4617">
        <f>+X45+X46+X48</f>
        <v>63042616</v>
      </c>
      <c r="BJ44" s="4617">
        <f>+Y45+Y46+Y48</f>
        <v>21266250</v>
      </c>
      <c r="BK44" s="4620">
        <f>+BJ44/BI44</f>
        <v>0.33733133790006431</v>
      </c>
      <c r="BL44" s="4355" t="s">
        <v>1332</v>
      </c>
      <c r="BM44" s="4355" t="s">
        <v>1333</v>
      </c>
      <c r="BN44" s="4434">
        <v>43709</v>
      </c>
      <c r="BO44" s="4434">
        <v>43709</v>
      </c>
      <c r="BP44" s="4434">
        <v>43809</v>
      </c>
      <c r="BQ44" s="4434">
        <v>43809</v>
      </c>
      <c r="BR44" s="4356" t="s">
        <v>1261</v>
      </c>
    </row>
    <row r="45" spans="1:70" s="1798" customFormat="1" ht="54" customHeight="1" x14ac:dyDescent="0.25">
      <c r="A45" s="1538"/>
      <c r="B45" s="860"/>
      <c r="C45" s="860"/>
      <c r="D45" s="1900"/>
      <c r="E45" s="1894"/>
      <c r="F45" s="1901"/>
      <c r="G45" s="860"/>
      <c r="H45" s="860"/>
      <c r="I45" s="860"/>
      <c r="J45" s="4507">
        <v>76</v>
      </c>
      <c r="K45" s="4541" t="s">
        <v>1334</v>
      </c>
      <c r="L45" s="4541" t="s">
        <v>1335</v>
      </c>
      <c r="M45" s="4393">
        <v>1200</v>
      </c>
      <c r="N45" s="4555">
        <v>959</v>
      </c>
      <c r="O45" s="1903"/>
      <c r="P45" s="4356"/>
      <c r="Q45" s="4545"/>
      <c r="R45" s="4625">
        <f>+(W45+W46)/S44</f>
        <v>0.41481969131738716</v>
      </c>
      <c r="S45" s="4600"/>
      <c r="T45" s="4494"/>
      <c r="U45" s="4383" t="s">
        <v>1336</v>
      </c>
      <c r="V45" s="4526" t="s">
        <v>1337</v>
      </c>
      <c r="W45" s="1907">
        <v>10000000</v>
      </c>
      <c r="X45" s="1907">
        <v>9924250</v>
      </c>
      <c r="Y45" s="1907">
        <v>9924250</v>
      </c>
      <c r="Z45" s="1756">
        <v>20</v>
      </c>
      <c r="AA45" s="1836" t="s">
        <v>69</v>
      </c>
      <c r="AB45" s="4584"/>
      <c r="AC45" s="4592"/>
      <c r="AD45" s="4592"/>
      <c r="AE45" s="4592"/>
      <c r="AF45" s="4592"/>
      <c r="AG45" s="4592"/>
      <c r="AH45" s="4592"/>
      <c r="AI45" s="4592"/>
      <c r="AJ45" s="4592"/>
      <c r="AK45" s="4592"/>
      <c r="AL45" s="4592"/>
      <c r="AM45" s="4592"/>
      <c r="AN45" s="4592"/>
      <c r="AO45" s="4592"/>
      <c r="AP45" s="4592"/>
      <c r="AQ45" s="4592"/>
      <c r="AR45" s="4592"/>
      <c r="AS45" s="4592"/>
      <c r="AT45" s="4592"/>
      <c r="AU45" s="4592"/>
      <c r="AV45" s="4592"/>
      <c r="AW45" s="4592"/>
      <c r="AX45" s="4592"/>
      <c r="AY45" s="4592"/>
      <c r="AZ45" s="4592"/>
      <c r="BA45" s="4592"/>
      <c r="BB45" s="4592"/>
      <c r="BC45" s="4592"/>
      <c r="BD45" s="4592"/>
      <c r="BE45" s="4592"/>
      <c r="BF45" s="4592"/>
      <c r="BG45" s="4592"/>
      <c r="BH45" s="4592"/>
      <c r="BI45" s="4618"/>
      <c r="BJ45" s="4618"/>
      <c r="BK45" s="4621"/>
      <c r="BL45" s="4356"/>
      <c r="BM45" s="4356"/>
      <c r="BN45" s="4435"/>
      <c r="BO45" s="4435"/>
      <c r="BP45" s="4435"/>
      <c r="BQ45" s="4435"/>
      <c r="BR45" s="4356"/>
    </row>
    <row r="46" spans="1:70" s="1798" customFormat="1" ht="87" customHeight="1" x14ac:dyDescent="0.25">
      <c r="A46" s="1855"/>
      <c r="B46" s="872"/>
      <c r="C46" s="872"/>
      <c r="D46" s="1900"/>
      <c r="E46" s="1894"/>
      <c r="F46" s="1901"/>
      <c r="G46" s="860"/>
      <c r="H46" s="860"/>
      <c r="I46" s="860"/>
      <c r="J46" s="4509"/>
      <c r="K46" s="4543"/>
      <c r="L46" s="4543"/>
      <c r="M46" s="4391"/>
      <c r="N46" s="4551"/>
      <c r="O46" s="4356" t="s">
        <v>1338</v>
      </c>
      <c r="P46" s="4356"/>
      <c r="Q46" s="4545"/>
      <c r="R46" s="4625"/>
      <c r="S46" s="4600"/>
      <c r="T46" s="4494"/>
      <c r="U46" s="4384"/>
      <c r="V46" s="4526"/>
      <c r="W46" s="1908">
        <f>0+18355000</f>
        <v>18355000</v>
      </c>
      <c r="X46" s="1908">
        <v>15575800</v>
      </c>
      <c r="Y46" s="1908">
        <v>2835500</v>
      </c>
      <c r="Z46" s="1841">
        <v>88</v>
      </c>
      <c r="AA46" s="1842" t="s">
        <v>451</v>
      </c>
      <c r="AB46" s="4584"/>
      <c r="AC46" s="4592"/>
      <c r="AD46" s="4592"/>
      <c r="AE46" s="4592"/>
      <c r="AF46" s="4592"/>
      <c r="AG46" s="4592"/>
      <c r="AH46" s="4592"/>
      <c r="AI46" s="4592"/>
      <c r="AJ46" s="4592"/>
      <c r="AK46" s="4592"/>
      <c r="AL46" s="4592"/>
      <c r="AM46" s="4592"/>
      <c r="AN46" s="4592"/>
      <c r="AO46" s="4592"/>
      <c r="AP46" s="4592"/>
      <c r="AQ46" s="4592"/>
      <c r="AR46" s="4592"/>
      <c r="AS46" s="4592"/>
      <c r="AT46" s="4592"/>
      <c r="AU46" s="4592"/>
      <c r="AV46" s="4592"/>
      <c r="AW46" s="4592"/>
      <c r="AX46" s="4592"/>
      <c r="AY46" s="4592"/>
      <c r="AZ46" s="4592"/>
      <c r="BA46" s="4592"/>
      <c r="BB46" s="4592"/>
      <c r="BC46" s="4592"/>
      <c r="BD46" s="4592"/>
      <c r="BE46" s="4592"/>
      <c r="BF46" s="4592"/>
      <c r="BG46" s="4592"/>
      <c r="BH46" s="4592"/>
      <c r="BI46" s="4618"/>
      <c r="BJ46" s="4618"/>
      <c r="BK46" s="4621"/>
      <c r="BL46" s="4356"/>
      <c r="BM46" s="4356"/>
      <c r="BN46" s="4435"/>
      <c r="BO46" s="4435"/>
      <c r="BP46" s="4435"/>
      <c r="BQ46" s="4435"/>
      <c r="BR46" s="4356"/>
    </row>
    <row r="47" spans="1:70" s="1798" customFormat="1" ht="67.5" customHeight="1" x14ac:dyDescent="0.25">
      <c r="A47" s="1855"/>
      <c r="B47" s="872"/>
      <c r="C47" s="872"/>
      <c r="D47" s="1900"/>
      <c r="E47" s="1894"/>
      <c r="F47" s="1901"/>
      <c r="G47" s="860"/>
      <c r="H47" s="860"/>
      <c r="I47" s="860"/>
      <c r="J47" s="1766">
        <v>77</v>
      </c>
      <c r="K47" s="1866" t="s">
        <v>1339</v>
      </c>
      <c r="L47" s="1866" t="s">
        <v>1340</v>
      </c>
      <c r="M47" s="1934">
        <v>80</v>
      </c>
      <c r="N47" s="1874">
        <v>94</v>
      </c>
      <c r="O47" s="4356"/>
      <c r="P47" s="4356"/>
      <c r="Q47" s="4494"/>
      <c r="R47" s="1788">
        <v>0</v>
      </c>
      <c r="S47" s="4599"/>
      <c r="T47" s="4494"/>
      <c r="U47" s="1866" t="s">
        <v>1341</v>
      </c>
      <c r="V47" s="1753" t="s">
        <v>1342</v>
      </c>
      <c r="W47" s="1909"/>
      <c r="X47" s="1909"/>
      <c r="Y47" s="1909"/>
      <c r="Z47" s="1937"/>
      <c r="AA47" s="1774"/>
      <c r="AB47" s="4592"/>
      <c r="AC47" s="4592"/>
      <c r="AD47" s="4592"/>
      <c r="AE47" s="4592"/>
      <c r="AF47" s="4592"/>
      <c r="AG47" s="4592"/>
      <c r="AH47" s="4592"/>
      <c r="AI47" s="4592"/>
      <c r="AJ47" s="4592"/>
      <c r="AK47" s="4592"/>
      <c r="AL47" s="4592"/>
      <c r="AM47" s="4592"/>
      <c r="AN47" s="4592"/>
      <c r="AO47" s="4592"/>
      <c r="AP47" s="4592"/>
      <c r="AQ47" s="4592"/>
      <c r="AR47" s="4592"/>
      <c r="AS47" s="4592"/>
      <c r="AT47" s="4592"/>
      <c r="AU47" s="4592"/>
      <c r="AV47" s="4592"/>
      <c r="AW47" s="4592"/>
      <c r="AX47" s="4592"/>
      <c r="AY47" s="4592"/>
      <c r="AZ47" s="4592"/>
      <c r="BA47" s="4592"/>
      <c r="BB47" s="4592"/>
      <c r="BC47" s="4592"/>
      <c r="BD47" s="4592"/>
      <c r="BE47" s="4592"/>
      <c r="BF47" s="4592"/>
      <c r="BG47" s="4592"/>
      <c r="BH47" s="4592"/>
      <c r="BI47" s="4618"/>
      <c r="BJ47" s="4618"/>
      <c r="BK47" s="4621"/>
      <c r="BL47" s="4356"/>
      <c r="BM47" s="4356"/>
      <c r="BN47" s="4435"/>
      <c r="BO47" s="4435"/>
      <c r="BP47" s="4435"/>
      <c r="BQ47" s="4435"/>
      <c r="BR47" s="4356"/>
    </row>
    <row r="48" spans="1:70" s="1798" customFormat="1" ht="106.5" customHeight="1" x14ac:dyDescent="0.25">
      <c r="A48" s="1855"/>
      <c r="B48" s="872"/>
      <c r="C48" s="872"/>
      <c r="D48" s="1900"/>
      <c r="E48" s="1894"/>
      <c r="F48" s="1901"/>
      <c r="G48" s="860"/>
      <c r="H48" s="860"/>
      <c r="I48" s="860"/>
      <c r="J48" s="1766">
        <v>78</v>
      </c>
      <c r="K48" s="1866" t="s">
        <v>1343</v>
      </c>
      <c r="L48" s="1866" t="s">
        <v>1344</v>
      </c>
      <c r="M48" s="1934">
        <v>15</v>
      </c>
      <c r="N48" s="1934">
        <v>15</v>
      </c>
      <c r="O48" s="4356"/>
      <c r="P48" s="4356"/>
      <c r="Q48" s="4494"/>
      <c r="R48" s="1910">
        <f>W48/S44</f>
        <v>0.58518030868261284</v>
      </c>
      <c r="S48" s="4599"/>
      <c r="T48" s="4494"/>
      <c r="U48" s="1866" t="s">
        <v>1345</v>
      </c>
      <c r="V48" s="1754" t="s">
        <v>1346</v>
      </c>
      <c r="W48" s="1911">
        <v>40000000</v>
      </c>
      <c r="X48" s="1911">
        <v>37542566</v>
      </c>
      <c r="Y48" s="1911">
        <v>8506500</v>
      </c>
      <c r="Z48" s="1742">
        <v>88</v>
      </c>
      <c r="AA48" s="1842" t="s">
        <v>451</v>
      </c>
      <c r="AB48" s="4592"/>
      <c r="AC48" s="4592"/>
      <c r="AD48" s="4592"/>
      <c r="AE48" s="4592"/>
      <c r="AF48" s="4592"/>
      <c r="AG48" s="4592"/>
      <c r="AH48" s="4592"/>
      <c r="AI48" s="4592"/>
      <c r="AJ48" s="4592"/>
      <c r="AK48" s="4592"/>
      <c r="AL48" s="4592"/>
      <c r="AM48" s="4592"/>
      <c r="AN48" s="4592"/>
      <c r="AO48" s="4592"/>
      <c r="AP48" s="4592"/>
      <c r="AQ48" s="4592"/>
      <c r="AR48" s="4592"/>
      <c r="AS48" s="4592"/>
      <c r="AT48" s="4592"/>
      <c r="AU48" s="4592"/>
      <c r="AV48" s="4592"/>
      <c r="AW48" s="4592"/>
      <c r="AX48" s="4592"/>
      <c r="AY48" s="4592"/>
      <c r="AZ48" s="4592"/>
      <c r="BA48" s="4592"/>
      <c r="BB48" s="4592"/>
      <c r="BC48" s="4592"/>
      <c r="BD48" s="4592"/>
      <c r="BE48" s="4592"/>
      <c r="BF48" s="4592"/>
      <c r="BG48" s="4592"/>
      <c r="BH48" s="4592"/>
      <c r="BI48" s="4618"/>
      <c r="BJ48" s="4618"/>
      <c r="BK48" s="4621"/>
      <c r="BL48" s="4356"/>
      <c r="BM48" s="4356"/>
      <c r="BN48" s="4435"/>
      <c r="BO48" s="4435"/>
      <c r="BP48" s="4435"/>
      <c r="BQ48" s="4435"/>
      <c r="BR48" s="4356"/>
    </row>
    <row r="49" spans="1:70" s="1798" customFormat="1" ht="99" customHeight="1" x14ac:dyDescent="0.25">
      <c r="A49" s="1855"/>
      <c r="B49" s="872"/>
      <c r="C49" s="872"/>
      <c r="D49" s="1900"/>
      <c r="E49" s="1894"/>
      <c r="F49" s="1901"/>
      <c r="G49" s="860"/>
      <c r="H49" s="860"/>
      <c r="I49" s="860"/>
      <c r="J49" s="1766">
        <v>79</v>
      </c>
      <c r="K49" s="1866" t="s">
        <v>1347</v>
      </c>
      <c r="L49" s="1866" t="s">
        <v>1348</v>
      </c>
      <c r="M49" s="1934">
        <v>230</v>
      </c>
      <c r="N49" s="1874">
        <v>246</v>
      </c>
      <c r="O49" s="4356"/>
      <c r="P49" s="4356"/>
      <c r="Q49" s="4494"/>
      <c r="R49" s="1910">
        <f>+W49/S44</f>
        <v>0</v>
      </c>
      <c r="S49" s="4599"/>
      <c r="T49" s="4494"/>
      <c r="U49" s="1866" t="s">
        <v>1349</v>
      </c>
      <c r="V49" s="1754" t="s">
        <v>1350</v>
      </c>
      <c r="W49" s="1912"/>
      <c r="X49" s="1912"/>
      <c r="Y49" s="1912"/>
      <c r="Z49" s="1742"/>
      <c r="AA49" s="2024"/>
      <c r="AB49" s="4592"/>
      <c r="AC49" s="4592"/>
      <c r="AD49" s="4592"/>
      <c r="AE49" s="4592"/>
      <c r="AF49" s="4592"/>
      <c r="AG49" s="4592"/>
      <c r="AH49" s="4592"/>
      <c r="AI49" s="4592"/>
      <c r="AJ49" s="4592"/>
      <c r="AK49" s="4592"/>
      <c r="AL49" s="4592"/>
      <c r="AM49" s="4592"/>
      <c r="AN49" s="4592"/>
      <c r="AO49" s="4592"/>
      <c r="AP49" s="4592"/>
      <c r="AQ49" s="4592"/>
      <c r="AR49" s="4592"/>
      <c r="AS49" s="4592"/>
      <c r="AT49" s="4592"/>
      <c r="AU49" s="4592"/>
      <c r="AV49" s="4592"/>
      <c r="AW49" s="4592"/>
      <c r="AX49" s="4592"/>
      <c r="AY49" s="4592"/>
      <c r="AZ49" s="4592"/>
      <c r="BA49" s="4592"/>
      <c r="BB49" s="4592"/>
      <c r="BC49" s="4592"/>
      <c r="BD49" s="4592"/>
      <c r="BE49" s="4592"/>
      <c r="BF49" s="4592"/>
      <c r="BG49" s="4592"/>
      <c r="BH49" s="4592"/>
      <c r="BI49" s="4618"/>
      <c r="BJ49" s="4618"/>
      <c r="BK49" s="4621"/>
      <c r="BL49" s="4356"/>
      <c r="BM49" s="4356"/>
      <c r="BN49" s="4435"/>
      <c r="BO49" s="4435"/>
      <c r="BP49" s="4435"/>
      <c r="BQ49" s="4435"/>
      <c r="BR49" s="4356"/>
    </row>
    <row r="50" spans="1:70" s="1798" customFormat="1" ht="79.5" customHeight="1" x14ac:dyDescent="0.25">
      <c r="A50" s="1855"/>
      <c r="B50" s="872"/>
      <c r="C50" s="872"/>
      <c r="D50" s="1900"/>
      <c r="E50" s="1894"/>
      <c r="F50" s="1901"/>
      <c r="G50" s="860"/>
      <c r="H50" s="860"/>
      <c r="I50" s="860"/>
      <c r="J50" s="1766">
        <v>80</v>
      </c>
      <c r="K50" s="1866" t="s">
        <v>1351</v>
      </c>
      <c r="L50" s="1866" t="s">
        <v>1352</v>
      </c>
      <c r="M50" s="1934">
        <v>4700</v>
      </c>
      <c r="N50" s="1874">
        <v>6985</v>
      </c>
      <c r="O50" s="4356"/>
      <c r="P50" s="4356"/>
      <c r="Q50" s="4494"/>
      <c r="R50" s="1910">
        <v>0</v>
      </c>
      <c r="S50" s="4599"/>
      <c r="T50" s="4494"/>
      <c r="U50" s="1866" t="s">
        <v>1353</v>
      </c>
      <c r="V50" s="1754" t="s">
        <v>1354</v>
      </c>
      <c r="W50" s="1911"/>
      <c r="X50" s="1911"/>
      <c r="Y50" s="1911"/>
      <c r="Z50" s="1742"/>
      <c r="AA50" s="2024"/>
      <c r="AB50" s="4592"/>
      <c r="AC50" s="4592"/>
      <c r="AD50" s="4592"/>
      <c r="AE50" s="4592"/>
      <c r="AF50" s="4592"/>
      <c r="AG50" s="4592"/>
      <c r="AH50" s="4592"/>
      <c r="AI50" s="4592"/>
      <c r="AJ50" s="4592"/>
      <c r="AK50" s="4592"/>
      <c r="AL50" s="4592"/>
      <c r="AM50" s="4592"/>
      <c r="AN50" s="4592"/>
      <c r="AO50" s="4592"/>
      <c r="AP50" s="4592"/>
      <c r="AQ50" s="4592"/>
      <c r="AR50" s="4592"/>
      <c r="AS50" s="4592"/>
      <c r="AT50" s="4592"/>
      <c r="AU50" s="4592"/>
      <c r="AV50" s="4592"/>
      <c r="AW50" s="4592"/>
      <c r="AX50" s="4592"/>
      <c r="AY50" s="4592"/>
      <c r="AZ50" s="4592"/>
      <c r="BA50" s="4592"/>
      <c r="BB50" s="4592"/>
      <c r="BC50" s="4592"/>
      <c r="BD50" s="4592"/>
      <c r="BE50" s="4592"/>
      <c r="BF50" s="4592"/>
      <c r="BG50" s="4592"/>
      <c r="BH50" s="4592"/>
      <c r="BI50" s="4618"/>
      <c r="BJ50" s="4618"/>
      <c r="BK50" s="4621"/>
      <c r="BL50" s="4356"/>
      <c r="BM50" s="4356"/>
      <c r="BN50" s="4435"/>
      <c r="BO50" s="4435"/>
      <c r="BP50" s="4435"/>
      <c r="BQ50" s="4435"/>
      <c r="BR50" s="4356"/>
    </row>
    <row r="51" spans="1:70" s="1798" customFormat="1" ht="90" customHeight="1" x14ac:dyDescent="0.25">
      <c r="A51" s="1855"/>
      <c r="B51" s="872"/>
      <c r="C51" s="872"/>
      <c r="D51" s="1900"/>
      <c r="E51" s="1894"/>
      <c r="F51" s="1901"/>
      <c r="G51" s="860"/>
      <c r="H51" s="860"/>
      <c r="I51" s="860"/>
      <c r="J51" s="1766">
        <v>81</v>
      </c>
      <c r="K51" s="1866" t="s">
        <v>1355</v>
      </c>
      <c r="L51" s="1866" t="s">
        <v>1356</v>
      </c>
      <c r="M51" s="1934">
        <v>41</v>
      </c>
      <c r="N51" s="1874">
        <v>19</v>
      </c>
      <c r="O51" s="4356"/>
      <c r="P51" s="4356"/>
      <c r="Q51" s="4494"/>
      <c r="R51" s="1910">
        <v>0</v>
      </c>
      <c r="S51" s="4599"/>
      <c r="T51" s="4494"/>
      <c r="U51" s="1866" t="s">
        <v>1330</v>
      </c>
      <c r="V51" s="1754" t="s">
        <v>1357</v>
      </c>
      <c r="W51" s="1911"/>
      <c r="X51" s="1911"/>
      <c r="Y51" s="1911"/>
      <c r="Z51" s="1742"/>
      <c r="AA51" s="2024"/>
      <c r="AB51" s="4592"/>
      <c r="AC51" s="4592"/>
      <c r="AD51" s="4592"/>
      <c r="AE51" s="4592"/>
      <c r="AF51" s="4592"/>
      <c r="AG51" s="4592"/>
      <c r="AH51" s="4592"/>
      <c r="AI51" s="4592"/>
      <c r="AJ51" s="4592"/>
      <c r="AK51" s="4592"/>
      <c r="AL51" s="4592"/>
      <c r="AM51" s="4592"/>
      <c r="AN51" s="4592"/>
      <c r="AO51" s="4592"/>
      <c r="AP51" s="4592"/>
      <c r="AQ51" s="4592"/>
      <c r="AR51" s="4592"/>
      <c r="AS51" s="4592"/>
      <c r="AT51" s="4592"/>
      <c r="AU51" s="4592"/>
      <c r="AV51" s="4592"/>
      <c r="AW51" s="4592"/>
      <c r="AX51" s="4592"/>
      <c r="AY51" s="4592"/>
      <c r="AZ51" s="4592"/>
      <c r="BA51" s="4592"/>
      <c r="BB51" s="4592"/>
      <c r="BC51" s="4592"/>
      <c r="BD51" s="4592"/>
      <c r="BE51" s="4592"/>
      <c r="BF51" s="4592"/>
      <c r="BG51" s="4592"/>
      <c r="BH51" s="4592"/>
      <c r="BI51" s="4618"/>
      <c r="BJ51" s="4618"/>
      <c r="BK51" s="4621"/>
      <c r="BL51" s="4356"/>
      <c r="BM51" s="4356"/>
      <c r="BN51" s="4435"/>
      <c r="BO51" s="4435"/>
      <c r="BP51" s="4435"/>
      <c r="BQ51" s="4435"/>
      <c r="BR51" s="4356"/>
    </row>
    <row r="52" spans="1:70" s="1798" customFormat="1" ht="91.5" customHeight="1" thickBot="1" x14ac:dyDescent="0.3">
      <c r="A52" s="1855"/>
      <c r="B52" s="872"/>
      <c r="C52" s="872"/>
      <c r="D52" s="1900"/>
      <c r="E52" s="1894"/>
      <c r="F52" s="1901"/>
      <c r="G52" s="860"/>
      <c r="H52" s="860"/>
      <c r="I52" s="860"/>
      <c r="J52" s="1913">
        <v>82</v>
      </c>
      <c r="K52" s="1914" t="s">
        <v>1358</v>
      </c>
      <c r="L52" s="1914" t="s">
        <v>1359</v>
      </c>
      <c r="M52" s="1929">
        <v>40</v>
      </c>
      <c r="N52" s="1994">
        <v>18</v>
      </c>
      <c r="O52" s="4357"/>
      <c r="P52" s="4356"/>
      <c r="Q52" s="4494"/>
      <c r="R52" s="1787">
        <v>0</v>
      </c>
      <c r="S52" s="4599"/>
      <c r="T52" s="4494"/>
      <c r="U52" s="1914" t="s">
        <v>1330</v>
      </c>
      <c r="V52" s="1915" t="s">
        <v>1360</v>
      </c>
      <c r="W52" s="1911"/>
      <c r="X52" s="1911"/>
      <c r="Y52" s="1911"/>
      <c r="Z52" s="1742"/>
      <c r="AA52" s="2024"/>
      <c r="AB52" s="4592"/>
      <c r="AC52" s="4567"/>
      <c r="AD52" s="4592"/>
      <c r="AE52" s="4567"/>
      <c r="AF52" s="4592"/>
      <c r="AG52" s="4567"/>
      <c r="AH52" s="4592"/>
      <c r="AI52" s="4567"/>
      <c r="AJ52" s="4592"/>
      <c r="AK52" s="4567"/>
      <c r="AL52" s="4592"/>
      <c r="AM52" s="4567"/>
      <c r="AN52" s="4592"/>
      <c r="AO52" s="4567"/>
      <c r="AP52" s="4592"/>
      <c r="AQ52" s="4567"/>
      <c r="AR52" s="4592"/>
      <c r="AS52" s="4567"/>
      <c r="AT52" s="4592"/>
      <c r="AU52" s="4567"/>
      <c r="AV52" s="4592"/>
      <c r="AW52" s="4567"/>
      <c r="AX52" s="4592"/>
      <c r="AY52" s="4567"/>
      <c r="AZ52" s="4592"/>
      <c r="BA52" s="4567"/>
      <c r="BB52" s="4567"/>
      <c r="BC52" s="4567"/>
      <c r="BD52" s="4567"/>
      <c r="BE52" s="4567"/>
      <c r="BF52" s="4592"/>
      <c r="BG52" s="4567"/>
      <c r="BH52" s="4567"/>
      <c r="BI52" s="4619"/>
      <c r="BJ52" s="4619"/>
      <c r="BK52" s="4622"/>
      <c r="BL52" s="4357"/>
      <c r="BM52" s="4357"/>
      <c r="BN52" s="4616"/>
      <c r="BO52" s="4616"/>
      <c r="BP52" s="4616"/>
      <c r="BQ52" s="4616"/>
      <c r="BR52" s="4356"/>
    </row>
    <row r="53" spans="1:70" s="1798" customFormat="1" ht="15.75" customHeight="1" x14ac:dyDescent="0.25">
      <c r="A53" s="1855"/>
      <c r="B53" s="872"/>
      <c r="C53" s="872"/>
      <c r="D53" s="1855"/>
      <c r="E53" s="872"/>
      <c r="F53" s="1863"/>
      <c r="G53" s="1898">
        <v>20</v>
      </c>
      <c r="H53" s="1767" t="s">
        <v>1361</v>
      </c>
      <c r="I53" s="1767"/>
      <c r="J53" s="1767"/>
      <c r="K53" s="1541"/>
      <c r="L53" s="1541"/>
      <c r="M53" s="814"/>
      <c r="N53" s="1899"/>
      <c r="O53" s="1542"/>
      <c r="P53" s="814"/>
      <c r="Q53" s="1541"/>
      <c r="R53" s="814"/>
      <c r="S53" s="1849"/>
      <c r="T53" s="1541"/>
      <c r="U53" s="1541"/>
      <c r="V53" s="1541"/>
      <c r="W53" s="1541"/>
      <c r="X53" s="1541"/>
      <c r="Y53" s="1541"/>
      <c r="Z53" s="1541"/>
      <c r="AA53" s="1541"/>
      <c r="AB53" s="814"/>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1824"/>
      <c r="AY53" s="1824"/>
      <c r="AZ53" s="1824"/>
      <c r="BA53" s="1824"/>
      <c r="BB53" s="1824"/>
      <c r="BC53" s="1824"/>
      <c r="BD53" s="1824"/>
      <c r="BE53" s="1824"/>
      <c r="BF53" s="1824"/>
      <c r="BG53" s="1824"/>
      <c r="BH53" s="1824"/>
      <c r="BI53" s="1851"/>
      <c r="BJ53" s="1851"/>
      <c r="BK53" s="1824"/>
      <c r="BL53" s="1824"/>
      <c r="BM53" s="1824"/>
      <c r="BN53" s="1824"/>
      <c r="BO53" s="1824"/>
      <c r="BP53" s="1824"/>
      <c r="BQ53" s="1824"/>
      <c r="BR53" s="1852"/>
    </row>
    <row r="54" spans="1:70" s="1798" customFormat="1" ht="39.75" customHeight="1" x14ac:dyDescent="0.25">
      <c r="A54" s="1916"/>
      <c r="B54" s="48"/>
      <c r="C54" s="48"/>
      <c r="D54" s="1917"/>
      <c r="E54" s="1918"/>
      <c r="F54" s="1919"/>
      <c r="G54" s="4623"/>
      <c r="H54" s="4623"/>
      <c r="I54" s="4624"/>
      <c r="J54" s="4507">
        <v>83</v>
      </c>
      <c r="K54" s="3366" t="s">
        <v>1362</v>
      </c>
      <c r="L54" s="1904" t="s">
        <v>1363</v>
      </c>
      <c r="M54" s="4393">
        <v>54</v>
      </c>
      <c r="N54" s="4393">
        <v>54</v>
      </c>
      <c r="O54" s="1748"/>
      <c r="P54" s="3233" t="s">
        <v>1364</v>
      </c>
      <c r="Q54" s="3067" t="s">
        <v>1365</v>
      </c>
      <c r="R54" s="4630">
        <f>(W54+W55)/$S$54</f>
        <v>0.41657615396447573</v>
      </c>
      <c r="S54" s="4632">
        <f>SUM(W54:W74)</f>
        <v>536696586.86000001</v>
      </c>
      <c r="T54" s="3067" t="s">
        <v>1366</v>
      </c>
      <c r="U54" s="3084" t="s">
        <v>1367</v>
      </c>
      <c r="V54" s="3084" t="s">
        <v>1368</v>
      </c>
      <c r="W54" s="1630">
        <f>19800000+100000000</f>
        <v>119800000</v>
      </c>
      <c r="X54" s="1630">
        <v>11342000</v>
      </c>
      <c r="Y54" s="1630">
        <v>11342000</v>
      </c>
      <c r="Z54" s="1742">
        <v>20</v>
      </c>
      <c r="AA54" s="2024" t="s">
        <v>124</v>
      </c>
      <c r="AB54" s="4507">
        <v>20555</v>
      </c>
      <c r="AC54" s="4507">
        <v>20555</v>
      </c>
      <c r="AD54" s="4507">
        <v>21361</v>
      </c>
      <c r="AE54" s="4507">
        <v>21361</v>
      </c>
      <c r="AF54" s="3235">
        <v>30460</v>
      </c>
      <c r="AG54" s="3235">
        <v>30460</v>
      </c>
      <c r="AH54" s="3235">
        <v>9593</v>
      </c>
      <c r="AI54" s="3235">
        <v>9593</v>
      </c>
      <c r="AJ54" s="3235">
        <v>1762</v>
      </c>
      <c r="AK54" s="3235">
        <v>1762</v>
      </c>
      <c r="AL54" s="3235">
        <v>101</v>
      </c>
      <c r="AM54" s="3235">
        <v>101</v>
      </c>
      <c r="AN54" s="3235">
        <v>308</v>
      </c>
      <c r="AO54" s="3235">
        <v>308</v>
      </c>
      <c r="AP54" s="3235">
        <v>277</v>
      </c>
      <c r="AQ54" s="3235">
        <v>277</v>
      </c>
      <c r="AR54" s="3235">
        <v>0</v>
      </c>
      <c r="AS54" s="3235">
        <v>0</v>
      </c>
      <c r="AT54" s="3235">
        <v>0</v>
      </c>
      <c r="AU54" s="3235">
        <v>0</v>
      </c>
      <c r="AV54" s="3235">
        <v>0</v>
      </c>
      <c r="AW54" s="3235">
        <v>0</v>
      </c>
      <c r="AX54" s="3235">
        <v>0</v>
      </c>
      <c r="AY54" s="3235">
        <v>0</v>
      </c>
      <c r="AZ54" s="3235">
        <v>2907</v>
      </c>
      <c r="BA54" s="3235">
        <v>2907</v>
      </c>
      <c r="BB54" s="3235">
        <v>2589</v>
      </c>
      <c r="BC54" s="3235">
        <v>2589</v>
      </c>
      <c r="BD54" s="3235">
        <v>2954</v>
      </c>
      <c r="BE54" s="3235">
        <v>2954</v>
      </c>
      <c r="BF54" s="3235">
        <v>41916</v>
      </c>
      <c r="BG54" s="3235">
        <v>41916</v>
      </c>
      <c r="BH54" s="3240">
        <v>15</v>
      </c>
      <c r="BI54" s="4572">
        <f>+X54+X55+X59+X60+X61+X62+X67+X72</f>
        <v>200382749</v>
      </c>
      <c r="BJ54" s="4572">
        <f>+Y54+Y55+Y59+Y60+Y61+Y67++Y72</f>
        <v>139419500</v>
      </c>
      <c r="BK54" s="4640">
        <f>+BJ54/BI54</f>
        <v>0.69576598133205569</v>
      </c>
      <c r="BL54" s="3240" t="s">
        <v>1369</v>
      </c>
      <c r="BM54" s="3240" t="s">
        <v>1370</v>
      </c>
      <c r="BN54" s="4635">
        <v>43559</v>
      </c>
      <c r="BO54" s="4635">
        <v>43559</v>
      </c>
      <c r="BP54" s="4635">
        <v>43809</v>
      </c>
      <c r="BQ54" s="4636">
        <v>43809</v>
      </c>
      <c r="BR54" s="4596" t="s">
        <v>1261</v>
      </c>
    </row>
    <row r="55" spans="1:70" s="1798" customFormat="1" ht="39" customHeight="1" x14ac:dyDescent="0.25">
      <c r="A55" s="1916"/>
      <c r="B55" s="48"/>
      <c r="C55" s="48"/>
      <c r="D55" s="1917"/>
      <c r="E55" s="1918"/>
      <c r="F55" s="1919"/>
      <c r="G55" s="4623"/>
      <c r="H55" s="4623"/>
      <c r="I55" s="4624"/>
      <c r="J55" s="4509"/>
      <c r="K55" s="3367"/>
      <c r="L55" s="1904"/>
      <c r="M55" s="4391"/>
      <c r="N55" s="4391"/>
      <c r="O55" s="1748"/>
      <c r="P55" s="3233"/>
      <c r="Q55" s="3067"/>
      <c r="R55" s="4631"/>
      <c r="S55" s="4632"/>
      <c r="T55" s="3067"/>
      <c r="U55" s="3068"/>
      <c r="V55" s="3068"/>
      <c r="W55" s="1630">
        <f>0+103775000</f>
        <v>103775000</v>
      </c>
      <c r="X55" s="1630">
        <v>92626333</v>
      </c>
      <c r="Y55" s="1630">
        <v>59545500</v>
      </c>
      <c r="Z55" s="1742">
        <v>88</v>
      </c>
      <c r="AA55" s="2024" t="s">
        <v>451</v>
      </c>
      <c r="AB55" s="4508"/>
      <c r="AC55" s="4508"/>
      <c r="AD55" s="4508"/>
      <c r="AE55" s="4508"/>
      <c r="AF55" s="3236"/>
      <c r="AG55" s="3236"/>
      <c r="AH55" s="3236"/>
      <c r="AI55" s="3236"/>
      <c r="AJ55" s="3236"/>
      <c r="AK55" s="3236"/>
      <c r="AL55" s="3236"/>
      <c r="AM55" s="3236"/>
      <c r="AN55" s="3236"/>
      <c r="AO55" s="3236"/>
      <c r="AP55" s="3236"/>
      <c r="AQ55" s="3236"/>
      <c r="AR55" s="3236"/>
      <c r="AS55" s="3236"/>
      <c r="AT55" s="3236"/>
      <c r="AU55" s="3236"/>
      <c r="AV55" s="3236"/>
      <c r="AW55" s="3236"/>
      <c r="AX55" s="3236"/>
      <c r="AY55" s="3236"/>
      <c r="AZ55" s="3236"/>
      <c r="BA55" s="3236"/>
      <c r="BB55" s="3236"/>
      <c r="BC55" s="3236"/>
      <c r="BD55" s="3236"/>
      <c r="BE55" s="3236"/>
      <c r="BF55" s="3236"/>
      <c r="BG55" s="3236"/>
      <c r="BH55" s="4639"/>
      <c r="BI55" s="4573"/>
      <c r="BJ55" s="4573"/>
      <c r="BK55" s="4641"/>
      <c r="BL55" s="4639"/>
      <c r="BM55" s="4639"/>
      <c r="BN55" s="4635"/>
      <c r="BO55" s="4635"/>
      <c r="BP55" s="4635"/>
      <c r="BQ55" s="4637"/>
      <c r="BR55" s="4597"/>
    </row>
    <row r="56" spans="1:70" s="1798" customFormat="1" ht="61.5" customHeight="1" x14ac:dyDescent="0.25">
      <c r="A56" s="1916"/>
      <c r="B56" s="48"/>
      <c r="C56" s="48"/>
      <c r="D56" s="1917"/>
      <c r="E56" s="1918"/>
      <c r="F56" s="1919"/>
      <c r="G56" s="4623"/>
      <c r="H56" s="4623"/>
      <c r="I56" s="4624"/>
      <c r="J56" s="1766">
        <v>84</v>
      </c>
      <c r="K56" s="1754" t="s">
        <v>1371</v>
      </c>
      <c r="L56" s="1754" t="s">
        <v>1372</v>
      </c>
      <c r="M56" s="1997">
        <v>30</v>
      </c>
      <c r="N56" s="1874">
        <f>44</f>
        <v>44</v>
      </c>
      <c r="O56" s="1748"/>
      <c r="P56" s="3233"/>
      <c r="Q56" s="3067"/>
      <c r="R56" s="1921">
        <f>+W56/S54</f>
        <v>0</v>
      </c>
      <c r="S56" s="4632"/>
      <c r="T56" s="3067"/>
      <c r="U56" s="1746" t="s">
        <v>1373</v>
      </c>
      <c r="V56" s="1746" t="s">
        <v>1374</v>
      </c>
      <c r="W56" s="1911"/>
      <c r="X56" s="1911"/>
      <c r="Y56" s="1911"/>
      <c r="Z56" s="1743"/>
      <c r="AA56" s="2024"/>
      <c r="AB56" s="4508"/>
      <c r="AC56" s="4508"/>
      <c r="AD56" s="4508"/>
      <c r="AE56" s="4508"/>
      <c r="AF56" s="3236"/>
      <c r="AG56" s="3236"/>
      <c r="AH56" s="3236"/>
      <c r="AI56" s="3236"/>
      <c r="AJ56" s="3236"/>
      <c r="AK56" s="3236"/>
      <c r="AL56" s="3236"/>
      <c r="AM56" s="3236"/>
      <c r="AN56" s="3236"/>
      <c r="AO56" s="3236"/>
      <c r="AP56" s="3236"/>
      <c r="AQ56" s="3236"/>
      <c r="AR56" s="3236"/>
      <c r="AS56" s="3236"/>
      <c r="AT56" s="3236"/>
      <c r="AU56" s="3236"/>
      <c r="AV56" s="3236"/>
      <c r="AW56" s="3236"/>
      <c r="AX56" s="3236"/>
      <c r="AY56" s="3236"/>
      <c r="AZ56" s="3236"/>
      <c r="BA56" s="3236"/>
      <c r="BB56" s="3236"/>
      <c r="BC56" s="3236"/>
      <c r="BD56" s="3236"/>
      <c r="BE56" s="3236"/>
      <c r="BF56" s="3236"/>
      <c r="BG56" s="3236"/>
      <c r="BH56" s="4639"/>
      <c r="BI56" s="4573"/>
      <c r="BJ56" s="4573"/>
      <c r="BK56" s="4641"/>
      <c r="BL56" s="4639"/>
      <c r="BM56" s="4639"/>
      <c r="BN56" s="4635"/>
      <c r="BO56" s="4635"/>
      <c r="BP56" s="4635"/>
      <c r="BQ56" s="4637"/>
      <c r="BR56" s="4597"/>
    </row>
    <row r="57" spans="1:70" s="1798" customFormat="1" ht="60" customHeight="1" x14ac:dyDescent="0.25">
      <c r="A57" s="1916"/>
      <c r="B57" s="48"/>
      <c r="C57" s="48"/>
      <c r="D57" s="1917"/>
      <c r="E57" s="1918"/>
      <c r="F57" s="1919"/>
      <c r="G57" s="4623"/>
      <c r="H57" s="4623"/>
      <c r="I57" s="4624"/>
      <c r="J57" s="1766">
        <v>85</v>
      </c>
      <c r="K57" s="1754" t="s">
        <v>1375</v>
      </c>
      <c r="L57" s="1754" t="s">
        <v>1376</v>
      </c>
      <c r="M57" s="1997">
        <v>30</v>
      </c>
      <c r="N57" s="1874">
        <v>54</v>
      </c>
      <c r="O57" s="1748"/>
      <c r="P57" s="3233"/>
      <c r="Q57" s="3067"/>
      <c r="R57" s="1921">
        <f>+W57/S54</f>
        <v>0</v>
      </c>
      <c r="S57" s="4632"/>
      <c r="T57" s="3067"/>
      <c r="U57" s="1751" t="s">
        <v>1377</v>
      </c>
      <c r="V57" s="1746" t="s">
        <v>1378</v>
      </c>
      <c r="W57" s="1630">
        <f>16050000-16050000</f>
        <v>0</v>
      </c>
      <c r="X57" s="1630"/>
      <c r="Y57" s="1630"/>
      <c r="Z57" s="1743"/>
      <c r="AA57" s="2024"/>
      <c r="AB57" s="4508"/>
      <c r="AC57" s="4508"/>
      <c r="AD57" s="4508"/>
      <c r="AE57" s="4508"/>
      <c r="AF57" s="3236"/>
      <c r="AG57" s="3236"/>
      <c r="AH57" s="3236"/>
      <c r="AI57" s="3236"/>
      <c r="AJ57" s="3236"/>
      <c r="AK57" s="3236"/>
      <c r="AL57" s="3236"/>
      <c r="AM57" s="3236"/>
      <c r="AN57" s="3236"/>
      <c r="AO57" s="3236"/>
      <c r="AP57" s="3236"/>
      <c r="AQ57" s="3236"/>
      <c r="AR57" s="3236"/>
      <c r="AS57" s="3236"/>
      <c r="AT57" s="3236"/>
      <c r="AU57" s="3236"/>
      <c r="AV57" s="3236"/>
      <c r="AW57" s="3236"/>
      <c r="AX57" s="3236"/>
      <c r="AY57" s="3236"/>
      <c r="AZ57" s="3236"/>
      <c r="BA57" s="3236"/>
      <c r="BB57" s="3236"/>
      <c r="BC57" s="3236"/>
      <c r="BD57" s="3236"/>
      <c r="BE57" s="3236"/>
      <c r="BF57" s="3236"/>
      <c r="BG57" s="3236"/>
      <c r="BH57" s="4639"/>
      <c r="BI57" s="4573"/>
      <c r="BJ57" s="4573"/>
      <c r="BK57" s="4641"/>
      <c r="BL57" s="4639"/>
      <c r="BM57" s="4639"/>
      <c r="BN57" s="4635"/>
      <c r="BO57" s="4635"/>
      <c r="BP57" s="4635"/>
      <c r="BQ57" s="4637"/>
      <c r="BR57" s="4597"/>
    </row>
    <row r="58" spans="1:70" s="1798" customFormat="1" ht="63" customHeight="1" x14ac:dyDescent="0.25">
      <c r="A58" s="1916"/>
      <c r="B58" s="48"/>
      <c r="C58" s="48"/>
      <c r="D58" s="1917"/>
      <c r="E58" s="1918"/>
      <c r="F58" s="1919"/>
      <c r="G58" s="4623"/>
      <c r="H58" s="4623"/>
      <c r="I58" s="4624"/>
      <c r="J58" s="4507">
        <v>87</v>
      </c>
      <c r="K58" s="4626" t="s">
        <v>1379</v>
      </c>
      <c r="L58" s="4626" t="s">
        <v>1380</v>
      </c>
      <c r="M58" s="4628">
        <v>30</v>
      </c>
      <c r="N58" s="4555">
        <f>12+2</f>
        <v>14</v>
      </c>
      <c r="O58" s="1748"/>
      <c r="P58" s="3233"/>
      <c r="Q58" s="3067"/>
      <c r="R58" s="4630">
        <f>(+W58+W59)/S54</f>
        <v>0.18609210948094382</v>
      </c>
      <c r="S58" s="4632"/>
      <c r="T58" s="3067"/>
      <c r="U58" s="3084" t="s">
        <v>1381</v>
      </c>
      <c r="V58" s="3084" t="s">
        <v>1382</v>
      </c>
      <c r="W58" s="1630">
        <v>80000000</v>
      </c>
      <c r="X58" s="1630"/>
      <c r="Y58" s="1630"/>
      <c r="Z58" s="1743">
        <v>21</v>
      </c>
      <c r="AA58" s="2024" t="s">
        <v>1383</v>
      </c>
      <c r="AB58" s="4508"/>
      <c r="AC58" s="4508"/>
      <c r="AD58" s="4508"/>
      <c r="AE58" s="4508"/>
      <c r="AF58" s="3236"/>
      <c r="AG58" s="3236"/>
      <c r="AH58" s="3236"/>
      <c r="AI58" s="3236"/>
      <c r="AJ58" s="3236"/>
      <c r="AK58" s="3236"/>
      <c r="AL58" s="3236"/>
      <c r="AM58" s="3236"/>
      <c r="AN58" s="3236"/>
      <c r="AO58" s="3236"/>
      <c r="AP58" s="3236"/>
      <c r="AQ58" s="3236"/>
      <c r="AR58" s="3236"/>
      <c r="AS58" s="3236"/>
      <c r="AT58" s="3236"/>
      <c r="AU58" s="3236"/>
      <c r="AV58" s="3236"/>
      <c r="AW58" s="3236"/>
      <c r="AX58" s="3236"/>
      <c r="AY58" s="3236"/>
      <c r="AZ58" s="3236"/>
      <c r="BA58" s="3236"/>
      <c r="BB58" s="3236"/>
      <c r="BC58" s="3236"/>
      <c r="BD58" s="3236"/>
      <c r="BE58" s="3236"/>
      <c r="BF58" s="3236"/>
      <c r="BG58" s="3236"/>
      <c r="BH58" s="4639"/>
      <c r="BI58" s="4573"/>
      <c r="BJ58" s="4573"/>
      <c r="BK58" s="4641"/>
      <c r="BL58" s="4639"/>
      <c r="BM58" s="4639"/>
      <c r="BN58" s="4635"/>
      <c r="BO58" s="4635"/>
      <c r="BP58" s="4635"/>
      <c r="BQ58" s="4637"/>
      <c r="BR58" s="4597"/>
    </row>
    <row r="59" spans="1:70" s="1798" customFormat="1" ht="53.25" customHeight="1" x14ac:dyDescent="0.25">
      <c r="A59" s="1916"/>
      <c r="B59" s="48"/>
      <c r="C59" s="48"/>
      <c r="D59" s="1917"/>
      <c r="E59" s="1918"/>
      <c r="F59" s="1919"/>
      <c r="G59" s="4623"/>
      <c r="H59" s="4623"/>
      <c r="I59" s="4624"/>
      <c r="J59" s="4509"/>
      <c r="K59" s="4627"/>
      <c r="L59" s="4627"/>
      <c r="M59" s="4629"/>
      <c r="N59" s="4551"/>
      <c r="O59" s="1748"/>
      <c r="P59" s="3233"/>
      <c r="Q59" s="3067"/>
      <c r="R59" s="4631"/>
      <c r="S59" s="4632"/>
      <c r="T59" s="3067"/>
      <c r="U59" s="3068"/>
      <c r="V59" s="3068"/>
      <c r="W59" s="1630">
        <v>19875000</v>
      </c>
      <c r="X59" s="1630">
        <v>19875000</v>
      </c>
      <c r="Y59" s="1630">
        <v>19875000</v>
      </c>
      <c r="Z59" s="1743">
        <v>20</v>
      </c>
      <c r="AA59" s="2024" t="s">
        <v>124</v>
      </c>
      <c r="AB59" s="4508"/>
      <c r="AC59" s="4508"/>
      <c r="AD59" s="4508"/>
      <c r="AE59" s="4508"/>
      <c r="AF59" s="3236"/>
      <c r="AG59" s="3236"/>
      <c r="AH59" s="3236"/>
      <c r="AI59" s="3236"/>
      <c r="AJ59" s="3236"/>
      <c r="AK59" s="3236"/>
      <c r="AL59" s="3236"/>
      <c r="AM59" s="3236"/>
      <c r="AN59" s="3236"/>
      <c r="AO59" s="3236"/>
      <c r="AP59" s="3236"/>
      <c r="AQ59" s="3236"/>
      <c r="AR59" s="3236"/>
      <c r="AS59" s="3236"/>
      <c r="AT59" s="3236"/>
      <c r="AU59" s="3236"/>
      <c r="AV59" s="3236"/>
      <c r="AW59" s="3236"/>
      <c r="AX59" s="3236"/>
      <c r="AY59" s="3236"/>
      <c r="AZ59" s="3236"/>
      <c r="BA59" s="3236"/>
      <c r="BB59" s="3236"/>
      <c r="BC59" s="3236"/>
      <c r="BD59" s="3236"/>
      <c r="BE59" s="3236"/>
      <c r="BF59" s="3236"/>
      <c r="BG59" s="3236"/>
      <c r="BH59" s="4639"/>
      <c r="BI59" s="4573"/>
      <c r="BJ59" s="4573"/>
      <c r="BK59" s="4641"/>
      <c r="BL59" s="4639"/>
      <c r="BM59" s="4639"/>
      <c r="BN59" s="4635"/>
      <c r="BO59" s="4635"/>
      <c r="BP59" s="4635"/>
      <c r="BQ59" s="4637"/>
      <c r="BR59" s="4597"/>
    </row>
    <row r="60" spans="1:70" s="1798" customFormat="1" ht="67.5" customHeight="1" x14ac:dyDescent="0.25">
      <c r="A60" s="1916"/>
      <c r="B60" s="48"/>
      <c r="C60" s="48"/>
      <c r="D60" s="1917"/>
      <c r="E60" s="1918"/>
      <c r="F60" s="1919"/>
      <c r="G60" s="4623"/>
      <c r="H60" s="4623"/>
      <c r="I60" s="4624"/>
      <c r="J60" s="3232">
        <v>88</v>
      </c>
      <c r="K60" s="3084" t="s">
        <v>1384</v>
      </c>
      <c r="L60" s="3084" t="s">
        <v>1385</v>
      </c>
      <c r="M60" s="4643">
        <v>36</v>
      </c>
      <c r="N60" s="4650">
        <v>54</v>
      </c>
      <c r="O60" s="1748"/>
      <c r="P60" s="3233"/>
      <c r="Q60" s="3067"/>
      <c r="R60" s="4630">
        <f>(+W60+W61)/S54</f>
        <v>0.10493281563329672</v>
      </c>
      <c r="S60" s="4632"/>
      <c r="T60" s="3067"/>
      <c r="U60" s="3084" t="s">
        <v>1386</v>
      </c>
      <c r="V60" s="1746" t="s">
        <v>1387</v>
      </c>
      <c r="W60" s="1922">
        <f>28551458-196458</f>
        <v>28355000</v>
      </c>
      <c r="X60" s="1922">
        <f>14177500+14177500</f>
        <v>28355000</v>
      </c>
      <c r="Y60" s="1922">
        <f>14177500+2835500+2835500</f>
        <v>19848500</v>
      </c>
      <c r="Z60" s="1743">
        <v>20</v>
      </c>
      <c r="AA60" s="2024" t="s">
        <v>124</v>
      </c>
      <c r="AB60" s="4508"/>
      <c r="AC60" s="4508"/>
      <c r="AD60" s="4508"/>
      <c r="AE60" s="4508"/>
      <c r="AF60" s="3236"/>
      <c r="AG60" s="3236"/>
      <c r="AH60" s="3236"/>
      <c r="AI60" s="3236"/>
      <c r="AJ60" s="3236"/>
      <c r="AK60" s="3236"/>
      <c r="AL60" s="3236"/>
      <c r="AM60" s="3236"/>
      <c r="AN60" s="3236"/>
      <c r="AO60" s="3236"/>
      <c r="AP60" s="3236"/>
      <c r="AQ60" s="3236"/>
      <c r="AR60" s="3236"/>
      <c r="AS60" s="3236"/>
      <c r="AT60" s="3236"/>
      <c r="AU60" s="3236"/>
      <c r="AV60" s="3236"/>
      <c r="AW60" s="3236"/>
      <c r="AX60" s="3236"/>
      <c r="AY60" s="3236"/>
      <c r="AZ60" s="3236"/>
      <c r="BA60" s="3236"/>
      <c r="BB60" s="3236"/>
      <c r="BC60" s="3236"/>
      <c r="BD60" s="3236"/>
      <c r="BE60" s="3236"/>
      <c r="BF60" s="3236"/>
      <c r="BG60" s="3236"/>
      <c r="BH60" s="4639"/>
      <c r="BI60" s="4573"/>
      <c r="BJ60" s="4573"/>
      <c r="BK60" s="4641"/>
      <c r="BL60" s="4639"/>
      <c r="BM60" s="4639"/>
      <c r="BN60" s="4635"/>
      <c r="BO60" s="4635"/>
      <c r="BP60" s="4635"/>
      <c r="BQ60" s="4637"/>
      <c r="BR60" s="4597"/>
    </row>
    <row r="61" spans="1:70" s="1798" customFormat="1" ht="86.25" customHeight="1" x14ac:dyDescent="0.25">
      <c r="A61" s="1916"/>
      <c r="B61" s="48"/>
      <c r="C61" s="48"/>
      <c r="D61" s="1917"/>
      <c r="E61" s="1918"/>
      <c r="F61" s="1919"/>
      <c r="G61" s="4623"/>
      <c r="H61" s="4623"/>
      <c r="I61" s="4624"/>
      <c r="J61" s="3233"/>
      <c r="K61" s="3067"/>
      <c r="L61" s="3067"/>
      <c r="M61" s="4644"/>
      <c r="N61" s="4651"/>
      <c r="O61" s="1748"/>
      <c r="P61" s="3233"/>
      <c r="Q61" s="3067"/>
      <c r="R61" s="4649"/>
      <c r="S61" s="4632"/>
      <c r="T61" s="3067"/>
      <c r="U61" s="3067"/>
      <c r="V61" s="1751" t="s">
        <v>1388</v>
      </c>
      <c r="W61" s="1923">
        <f>17175500+15000000-4016958+196458-589374+196458</f>
        <v>27962084</v>
      </c>
      <c r="X61" s="1923">
        <f>11342000+14177500</f>
        <v>25519500</v>
      </c>
      <c r="Y61" s="1923">
        <f>11342000+2835500</f>
        <v>14177500</v>
      </c>
      <c r="Z61" s="1744">
        <v>20</v>
      </c>
      <c r="AA61" s="1773" t="s">
        <v>124</v>
      </c>
      <c r="AB61" s="4508"/>
      <c r="AC61" s="4508"/>
      <c r="AD61" s="4508"/>
      <c r="AE61" s="4508"/>
      <c r="AF61" s="3236"/>
      <c r="AG61" s="3236"/>
      <c r="AH61" s="3236"/>
      <c r="AI61" s="3236"/>
      <c r="AJ61" s="3236"/>
      <c r="AK61" s="3236"/>
      <c r="AL61" s="3236"/>
      <c r="AM61" s="3236"/>
      <c r="AN61" s="3236"/>
      <c r="AO61" s="3236"/>
      <c r="AP61" s="3236"/>
      <c r="AQ61" s="3236"/>
      <c r="AR61" s="3236"/>
      <c r="AS61" s="3236"/>
      <c r="AT61" s="3236"/>
      <c r="AU61" s="3236"/>
      <c r="AV61" s="3236"/>
      <c r="AW61" s="3236"/>
      <c r="AX61" s="3236"/>
      <c r="AY61" s="3236"/>
      <c r="AZ61" s="3236"/>
      <c r="BA61" s="3236"/>
      <c r="BB61" s="3236"/>
      <c r="BC61" s="3236"/>
      <c r="BD61" s="3236"/>
      <c r="BE61" s="3236"/>
      <c r="BF61" s="3236"/>
      <c r="BG61" s="3236"/>
      <c r="BH61" s="4639"/>
      <c r="BI61" s="4573"/>
      <c r="BJ61" s="4573"/>
      <c r="BK61" s="4641"/>
      <c r="BL61" s="4639"/>
      <c r="BM61" s="4639"/>
      <c r="BN61" s="4635"/>
      <c r="BO61" s="4635"/>
      <c r="BP61" s="4635"/>
      <c r="BQ61" s="4637"/>
      <c r="BR61" s="4597"/>
    </row>
    <row r="62" spans="1:70" s="1798" customFormat="1" ht="88.5" customHeight="1" x14ac:dyDescent="0.25">
      <c r="A62" s="1916"/>
      <c r="B62" s="48"/>
      <c r="C62" s="48"/>
      <c r="D62" s="1917"/>
      <c r="E62" s="1918"/>
      <c r="F62" s="1919"/>
      <c r="G62" s="4623"/>
      <c r="H62" s="4623"/>
      <c r="I62" s="4624"/>
      <c r="J62" s="3234"/>
      <c r="K62" s="3068"/>
      <c r="L62" s="3068"/>
      <c r="M62" s="4645"/>
      <c r="N62" s="4652"/>
      <c r="O62" s="1748" t="s">
        <v>1389</v>
      </c>
      <c r="P62" s="3233"/>
      <c r="Q62" s="3067"/>
      <c r="R62" s="4631"/>
      <c r="S62" s="4632"/>
      <c r="T62" s="3067"/>
      <c r="U62" s="4515"/>
      <c r="V62" s="1924" t="s">
        <v>1390</v>
      </c>
      <c r="W62" s="1925">
        <f>0+8033916</f>
        <v>8033916</v>
      </c>
      <c r="X62" s="1925">
        <v>8033916</v>
      </c>
      <c r="Y62" s="1926"/>
      <c r="Z62" s="1758">
        <v>20</v>
      </c>
      <c r="AA62" s="1836" t="s">
        <v>124</v>
      </c>
      <c r="AB62" s="4562"/>
      <c r="AC62" s="4508"/>
      <c r="AD62" s="4508"/>
      <c r="AE62" s="4508"/>
      <c r="AF62" s="3236"/>
      <c r="AG62" s="3236"/>
      <c r="AH62" s="3236"/>
      <c r="AI62" s="3236"/>
      <c r="AJ62" s="3236"/>
      <c r="AK62" s="3236"/>
      <c r="AL62" s="3236"/>
      <c r="AM62" s="3236"/>
      <c r="AN62" s="3236"/>
      <c r="AO62" s="3236"/>
      <c r="AP62" s="3236"/>
      <c r="AQ62" s="3236"/>
      <c r="AR62" s="3236"/>
      <c r="AS62" s="3236"/>
      <c r="AT62" s="3236"/>
      <c r="AU62" s="3236"/>
      <c r="AV62" s="3236"/>
      <c r="AW62" s="3236"/>
      <c r="AX62" s="3236"/>
      <c r="AY62" s="3236"/>
      <c r="AZ62" s="3236"/>
      <c r="BA62" s="3236"/>
      <c r="BB62" s="3236"/>
      <c r="BC62" s="3236"/>
      <c r="BD62" s="3236"/>
      <c r="BE62" s="3236"/>
      <c r="BF62" s="3236"/>
      <c r="BG62" s="3236"/>
      <c r="BH62" s="4639"/>
      <c r="BI62" s="4573"/>
      <c r="BJ62" s="4573"/>
      <c r="BK62" s="4641"/>
      <c r="BL62" s="4639"/>
      <c r="BM62" s="4639"/>
      <c r="BN62" s="4635"/>
      <c r="BO62" s="4635"/>
      <c r="BP62" s="4635"/>
      <c r="BQ62" s="4637"/>
      <c r="BR62" s="4597"/>
    </row>
    <row r="63" spans="1:70" s="1798" customFormat="1" ht="30" customHeight="1" x14ac:dyDescent="0.25">
      <c r="A63" s="1916"/>
      <c r="B63" s="48"/>
      <c r="C63" s="48"/>
      <c r="D63" s="1917"/>
      <c r="E63" s="1918"/>
      <c r="F63" s="1919"/>
      <c r="G63" s="4623"/>
      <c r="H63" s="4623"/>
      <c r="I63" s="4624"/>
      <c r="J63" s="4507">
        <v>86</v>
      </c>
      <c r="K63" s="3084" t="s">
        <v>1391</v>
      </c>
      <c r="L63" s="3084" t="s">
        <v>1392</v>
      </c>
      <c r="M63" s="4643">
        <v>1</v>
      </c>
      <c r="N63" s="4646">
        <v>1</v>
      </c>
      <c r="O63" s="1748" t="s">
        <v>1393</v>
      </c>
      <c r="P63" s="3233"/>
      <c r="Q63" s="3067"/>
      <c r="R63" s="4630">
        <f>(W63+W64+W65)/S54</f>
        <v>0</v>
      </c>
      <c r="S63" s="4632"/>
      <c r="T63" s="3067"/>
      <c r="U63" s="3084" t="s">
        <v>1381</v>
      </c>
      <c r="V63" s="1750" t="s">
        <v>1394</v>
      </c>
      <c r="W63" s="1909"/>
      <c r="X63" s="1909"/>
      <c r="Y63" s="1909"/>
      <c r="Z63" s="1759"/>
      <c r="AA63" s="1774"/>
      <c r="AB63" s="4508"/>
      <c r="AC63" s="4508"/>
      <c r="AD63" s="4508"/>
      <c r="AE63" s="4508"/>
      <c r="AF63" s="3236"/>
      <c r="AG63" s="3236"/>
      <c r="AH63" s="3236"/>
      <c r="AI63" s="3236"/>
      <c r="AJ63" s="3236"/>
      <c r="AK63" s="3236"/>
      <c r="AL63" s="3236"/>
      <c r="AM63" s="3236"/>
      <c r="AN63" s="3236"/>
      <c r="AO63" s="3236"/>
      <c r="AP63" s="3236"/>
      <c r="AQ63" s="3236"/>
      <c r="AR63" s="3236"/>
      <c r="AS63" s="3236"/>
      <c r="AT63" s="3236"/>
      <c r="AU63" s="3236"/>
      <c r="AV63" s="3236"/>
      <c r="AW63" s="3236"/>
      <c r="AX63" s="3236"/>
      <c r="AY63" s="3236"/>
      <c r="AZ63" s="3236"/>
      <c r="BA63" s="3236"/>
      <c r="BB63" s="3236"/>
      <c r="BC63" s="3236"/>
      <c r="BD63" s="3236"/>
      <c r="BE63" s="3236"/>
      <c r="BF63" s="3236"/>
      <c r="BG63" s="3236"/>
      <c r="BH63" s="4639"/>
      <c r="BI63" s="4573"/>
      <c r="BJ63" s="4573"/>
      <c r="BK63" s="4641"/>
      <c r="BL63" s="4639"/>
      <c r="BM63" s="4639"/>
      <c r="BN63" s="4635"/>
      <c r="BO63" s="4635"/>
      <c r="BP63" s="4635"/>
      <c r="BQ63" s="4637"/>
      <c r="BR63" s="4597"/>
    </row>
    <row r="64" spans="1:70" s="1798" customFormat="1" ht="32.25" customHeight="1" x14ac:dyDescent="0.25">
      <c r="A64" s="1916"/>
      <c r="B64" s="48"/>
      <c r="C64" s="48"/>
      <c r="D64" s="1917"/>
      <c r="E64" s="1918"/>
      <c r="F64" s="1919"/>
      <c r="G64" s="4623"/>
      <c r="H64" s="4623"/>
      <c r="I64" s="4624"/>
      <c r="J64" s="4508"/>
      <c r="K64" s="3067"/>
      <c r="L64" s="3067"/>
      <c r="M64" s="4644"/>
      <c r="N64" s="4647"/>
      <c r="O64" s="1748" t="s">
        <v>1395</v>
      </c>
      <c r="P64" s="3233"/>
      <c r="Q64" s="3067"/>
      <c r="R64" s="4649"/>
      <c r="S64" s="4632"/>
      <c r="T64" s="3067"/>
      <c r="U64" s="3067"/>
      <c r="V64" s="1746" t="s">
        <v>1396</v>
      </c>
      <c r="W64" s="1911"/>
      <c r="X64" s="1911"/>
      <c r="Y64" s="1911"/>
      <c r="Z64" s="1743"/>
      <c r="AA64" s="2024"/>
      <c r="AB64" s="4508"/>
      <c r="AC64" s="4508"/>
      <c r="AD64" s="4508"/>
      <c r="AE64" s="4508"/>
      <c r="AF64" s="3236"/>
      <c r="AG64" s="3236"/>
      <c r="AH64" s="3236"/>
      <c r="AI64" s="3236"/>
      <c r="AJ64" s="3236"/>
      <c r="AK64" s="3236"/>
      <c r="AL64" s="3236"/>
      <c r="AM64" s="3236"/>
      <c r="AN64" s="3236"/>
      <c r="AO64" s="3236"/>
      <c r="AP64" s="3236"/>
      <c r="AQ64" s="3236"/>
      <c r="AR64" s="3236"/>
      <c r="AS64" s="3236"/>
      <c r="AT64" s="3236"/>
      <c r="AU64" s="3236"/>
      <c r="AV64" s="3236"/>
      <c r="AW64" s="3236"/>
      <c r="AX64" s="3236"/>
      <c r="AY64" s="3236"/>
      <c r="AZ64" s="3236"/>
      <c r="BA64" s="3236"/>
      <c r="BB64" s="3236"/>
      <c r="BC64" s="3236"/>
      <c r="BD64" s="3236"/>
      <c r="BE64" s="3236"/>
      <c r="BF64" s="3236"/>
      <c r="BG64" s="3236"/>
      <c r="BH64" s="4639"/>
      <c r="BI64" s="4573"/>
      <c r="BJ64" s="4573"/>
      <c r="BK64" s="4641"/>
      <c r="BL64" s="4639"/>
      <c r="BM64" s="4639"/>
      <c r="BN64" s="4635"/>
      <c r="BO64" s="4635"/>
      <c r="BP64" s="4635"/>
      <c r="BQ64" s="4637"/>
      <c r="BR64" s="4597"/>
    </row>
    <row r="65" spans="1:70" s="1798" customFormat="1" ht="35.25" customHeight="1" x14ac:dyDescent="0.25">
      <c r="A65" s="1916"/>
      <c r="B65" s="48"/>
      <c r="C65" s="48"/>
      <c r="D65" s="1917"/>
      <c r="E65" s="1918"/>
      <c r="F65" s="1919"/>
      <c r="G65" s="4623"/>
      <c r="H65" s="4623"/>
      <c r="I65" s="4624"/>
      <c r="J65" s="4509"/>
      <c r="K65" s="3068"/>
      <c r="L65" s="3068"/>
      <c r="M65" s="4645"/>
      <c r="N65" s="4648"/>
      <c r="O65" s="1748" t="s">
        <v>1397</v>
      </c>
      <c r="P65" s="3233"/>
      <c r="Q65" s="3067"/>
      <c r="R65" s="4631"/>
      <c r="S65" s="4632"/>
      <c r="T65" s="3067"/>
      <c r="U65" s="3068"/>
      <c r="V65" s="1746" t="s">
        <v>1398</v>
      </c>
      <c r="W65" s="1927"/>
      <c r="X65" s="1927"/>
      <c r="Y65" s="1927"/>
      <c r="Z65" s="1743"/>
      <c r="AA65" s="2024"/>
      <c r="AB65" s="4508"/>
      <c r="AC65" s="4508"/>
      <c r="AD65" s="4508"/>
      <c r="AE65" s="4508"/>
      <c r="AF65" s="3236"/>
      <c r="AG65" s="3236"/>
      <c r="AH65" s="3236"/>
      <c r="AI65" s="3236"/>
      <c r="AJ65" s="3236"/>
      <c r="AK65" s="3236"/>
      <c r="AL65" s="3236"/>
      <c r="AM65" s="3236"/>
      <c r="AN65" s="3236"/>
      <c r="AO65" s="3236"/>
      <c r="AP65" s="3236"/>
      <c r="AQ65" s="3236"/>
      <c r="AR65" s="3236"/>
      <c r="AS65" s="3236"/>
      <c r="AT65" s="3236"/>
      <c r="AU65" s="3236"/>
      <c r="AV65" s="3236"/>
      <c r="AW65" s="3236"/>
      <c r="AX65" s="3236"/>
      <c r="AY65" s="3236"/>
      <c r="AZ65" s="3236"/>
      <c r="BA65" s="3236"/>
      <c r="BB65" s="3236"/>
      <c r="BC65" s="3236"/>
      <c r="BD65" s="3236"/>
      <c r="BE65" s="3236"/>
      <c r="BF65" s="3236"/>
      <c r="BG65" s="3236"/>
      <c r="BH65" s="4639"/>
      <c r="BI65" s="4573"/>
      <c r="BJ65" s="4573"/>
      <c r="BK65" s="4641"/>
      <c r="BL65" s="4639"/>
      <c r="BM65" s="4639"/>
      <c r="BN65" s="4635"/>
      <c r="BO65" s="4635"/>
      <c r="BP65" s="4635"/>
      <c r="BQ65" s="4637"/>
      <c r="BR65" s="4597"/>
    </row>
    <row r="66" spans="1:70" s="1798" customFormat="1" ht="77.25" customHeight="1" x14ac:dyDescent="0.25">
      <c r="A66" s="1916"/>
      <c r="B66" s="48"/>
      <c r="C66" s="48"/>
      <c r="D66" s="1917"/>
      <c r="E66" s="1918"/>
      <c r="F66" s="1919"/>
      <c r="G66" s="4623"/>
      <c r="H66" s="4623"/>
      <c r="I66" s="4624"/>
      <c r="J66" s="1766">
        <v>89</v>
      </c>
      <c r="K66" s="1754" t="s">
        <v>1399</v>
      </c>
      <c r="L66" s="1754" t="s">
        <v>1400</v>
      </c>
      <c r="M66" s="1997">
        <v>20000</v>
      </c>
      <c r="N66" s="1928">
        <v>18831</v>
      </c>
      <c r="O66" s="1748"/>
      <c r="P66" s="3233"/>
      <c r="Q66" s="3067"/>
      <c r="R66" s="1921">
        <f>+W66/S54</f>
        <v>0</v>
      </c>
      <c r="S66" s="4632"/>
      <c r="T66" s="3067"/>
      <c r="U66" s="1751" t="s">
        <v>1401</v>
      </c>
      <c r="V66" s="1746" t="s">
        <v>1402</v>
      </c>
      <c r="W66" s="1911"/>
      <c r="X66" s="1911"/>
      <c r="Y66" s="1911"/>
      <c r="Z66" s="1743"/>
      <c r="AA66" s="2024"/>
      <c r="AB66" s="4508"/>
      <c r="AC66" s="4508"/>
      <c r="AD66" s="4508"/>
      <c r="AE66" s="4508"/>
      <c r="AF66" s="3236"/>
      <c r="AG66" s="3236"/>
      <c r="AH66" s="3236"/>
      <c r="AI66" s="3236"/>
      <c r="AJ66" s="3236"/>
      <c r="AK66" s="3236"/>
      <c r="AL66" s="3236"/>
      <c r="AM66" s="3236"/>
      <c r="AN66" s="3236"/>
      <c r="AO66" s="3236"/>
      <c r="AP66" s="3236"/>
      <c r="AQ66" s="3236"/>
      <c r="AR66" s="3236"/>
      <c r="AS66" s="3236"/>
      <c r="AT66" s="3236"/>
      <c r="AU66" s="3236"/>
      <c r="AV66" s="3236"/>
      <c r="AW66" s="3236"/>
      <c r="AX66" s="3236"/>
      <c r="AY66" s="3236"/>
      <c r="AZ66" s="3236"/>
      <c r="BA66" s="3236"/>
      <c r="BB66" s="3236"/>
      <c r="BC66" s="3236"/>
      <c r="BD66" s="3236"/>
      <c r="BE66" s="3236"/>
      <c r="BF66" s="3236"/>
      <c r="BG66" s="3236"/>
      <c r="BH66" s="4639"/>
      <c r="BI66" s="4573"/>
      <c r="BJ66" s="4573"/>
      <c r="BK66" s="4641"/>
      <c r="BL66" s="4639"/>
      <c r="BM66" s="4639"/>
      <c r="BN66" s="4635"/>
      <c r="BO66" s="4635"/>
      <c r="BP66" s="4635"/>
      <c r="BQ66" s="4637"/>
      <c r="BR66" s="4597"/>
    </row>
    <row r="67" spans="1:70" s="1798" customFormat="1" ht="48" customHeight="1" x14ac:dyDescent="0.25">
      <c r="A67" s="1916"/>
      <c r="B67" s="48"/>
      <c r="C67" s="48"/>
      <c r="D67" s="1917"/>
      <c r="E67" s="1918"/>
      <c r="F67" s="1919"/>
      <c r="G67" s="4623"/>
      <c r="H67" s="4623"/>
      <c r="I67" s="4624"/>
      <c r="J67" s="4507">
        <v>90</v>
      </c>
      <c r="K67" s="3232" t="s">
        <v>1403</v>
      </c>
      <c r="L67" s="3084" t="s">
        <v>1404</v>
      </c>
      <c r="M67" s="4393">
        <v>130</v>
      </c>
      <c r="N67" s="4555">
        <v>110</v>
      </c>
      <c r="O67" s="1748"/>
      <c r="P67" s="3233"/>
      <c r="Q67" s="3067"/>
      <c r="R67" s="4657">
        <f>(+W67+W70)/S54</f>
        <v>5.5664598455501348E-2</v>
      </c>
      <c r="S67" s="4632"/>
      <c r="T67" s="4514"/>
      <c r="U67" s="4526" t="s">
        <v>1405</v>
      </c>
      <c r="V67" s="4633" t="s">
        <v>1406</v>
      </c>
      <c r="W67" s="1911">
        <v>15475000</v>
      </c>
      <c r="X67" s="1911">
        <v>5631000</v>
      </c>
      <c r="Y67" s="1911">
        <v>5631000</v>
      </c>
      <c r="Z67" s="1743">
        <v>20</v>
      </c>
      <c r="AA67" s="2024" t="s">
        <v>124</v>
      </c>
      <c r="AB67" s="4508"/>
      <c r="AC67" s="4508"/>
      <c r="AD67" s="4508"/>
      <c r="AE67" s="4508"/>
      <c r="AF67" s="3236"/>
      <c r="AG67" s="3236"/>
      <c r="AH67" s="3236"/>
      <c r="AI67" s="3236"/>
      <c r="AJ67" s="3236"/>
      <c r="AK67" s="3236"/>
      <c r="AL67" s="3236"/>
      <c r="AM67" s="3236"/>
      <c r="AN67" s="3236"/>
      <c r="AO67" s="3236"/>
      <c r="AP67" s="3236"/>
      <c r="AQ67" s="3236"/>
      <c r="AR67" s="3236"/>
      <c r="AS67" s="3236"/>
      <c r="AT67" s="3236"/>
      <c r="AU67" s="3236"/>
      <c r="AV67" s="3236"/>
      <c r="AW67" s="3236"/>
      <c r="AX67" s="3236"/>
      <c r="AY67" s="3236"/>
      <c r="AZ67" s="3236"/>
      <c r="BA67" s="3236"/>
      <c r="BB67" s="3236"/>
      <c r="BC67" s="3236"/>
      <c r="BD67" s="3236"/>
      <c r="BE67" s="3236"/>
      <c r="BF67" s="3236"/>
      <c r="BG67" s="3236"/>
      <c r="BH67" s="4639"/>
      <c r="BI67" s="4573"/>
      <c r="BJ67" s="4573"/>
      <c r="BK67" s="4641"/>
      <c r="BL67" s="4639"/>
      <c r="BM67" s="4639"/>
      <c r="BN67" s="4635"/>
      <c r="BO67" s="4635"/>
      <c r="BP67" s="4635"/>
      <c r="BQ67" s="4637"/>
      <c r="BR67" s="4597"/>
    </row>
    <row r="68" spans="1:70" s="1798" customFormat="1" ht="52.5" customHeight="1" x14ac:dyDescent="0.25">
      <c r="A68" s="1916"/>
      <c r="B68" s="48"/>
      <c r="C68" s="48"/>
      <c r="D68" s="1917"/>
      <c r="E68" s="1918"/>
      <c r="F68" s="1919"/>
      <c r="G68" s="4623"/>
      <c r="H68" s="4623"/>
      <c r="I68" s="4624"/>
      <c r="J68" s="4508"/>
      <c r="K68" s="3233"/>
      <c r="L68" s="3067"/>
      <c r="M68" s="4390"/>
      <c r="N68" s="4656"/>
      <c r="O68" s="1748"/>
      <c r="P68" s="3233"/>
      <c r="Q68" s="3067"/>
      <c r="R68" s="4658"/>
      <c r="S68" s="4632"/>
      <c r="T68" s="4514"/>
      <c r="U68" s="4526"/>
      <c r="V68" s="4634"/>
      <c r="W68" s="1911">
        <f>0+17146218</f>
        <v>17146218</v>
      </c>
      <c r="X68" s="1911"/>
      <c r="Y68" s="1911"/>
      <c r="Z68" s="1743">
        <v>25</v>
      </c>
      <c r="AA68" s="2024" t="s">
        <v>1302</v>
      </c>
      <c r="AB68" s="4508"/>
      <c r="AC68" s="4508"/>
      <c r="AD68" s="4508"/>
      <c r="AE68" s="4508"/>
      <c r="AF68" s="3236"/>
      <c r="AG68" s="3236"/>
      <c r="AH68" s="3236"/>
      <c r="AI68" s="3236"/>
      <c r="AJ68" s="3236"/>
      <c r="AK68" s="3236"/>
      <c r="AL68" s="3236"/>
      <c r="AM68" s="3236"/>
      <c r="AN68" s="3236"/>
      <c r="AO68" s="3236"/>
      <c r="AP68" s="3236"/>
      <c r="AQ68" s="3236"/>
      <c r="AR68" s="3236"/>
      <c r="AS68" s="3236"/>
      <c r="AT68" s="3236"/>
      <c r="AU68" s="3236"/>
      <c r="AV68" s="3236"/>
      <c r="AW68" s="3236"/>
      <c r="AX68" s="3236"/>
      <c r="AY68" s="3236"/>
      <c r="AZ68" s="3236"/>
      <c r="BA68" s="3236"/>
      <c r="BB68" s="3236"/>
      <c r="BC68" s="3236"/>
      <c r="BD68" s="3236"/>
      <c r="BE68" s="3236"/>
      <c r="BF68" s="3236"/>
      <c r="BG68" s="3236"/>
      <c r="BH68" s="4639"/>
      <c r="BI68" s="4573"/>
      <c r="BJ68" s="4573"/>
      <c r="BK68" s="4641"/>
      <c r="BL68" s="4639"/>
      <c r="BM68" s="4639"/>
      <c r="BN68" s="4635"/>
      <c r="BO68" s="4635"/>
      <c r="BP68" s="4635"/>
      <c r="BQ68" s="4637"/>
      <c r="BR68" s="4597"/>
    </row>
    <row r="69" spans="1:70" s="1798" customFormat="1" ht="81.75" customHeight="1" x14ac:dyDescent="0.25">
      <c r="A69" s="1916"/>
      <c r="B69" s="48"/>
      <c r="C69" s="48"/>
      <c r="D69" s="1917"/>
      <c r="E69" s="1918"/>
      <c r="F69" s="1919"/>
      <c r="G69" s="4623"/>
      <c r="H69" s="4623"/>
      <c r="I69" s="4624"/>
      <c r="J69" s="4508"/>
      <c r="K69" s="3233"/>
      <c r="L69" s="3068"/>
      <c r="M69" s="4390"/>
      <c r="N69" s="4656"/>
      <c r="O69" s="1748"/>
      <c r="P69" s="3233"/>
      <c r="Q69" s="3067"/>
      <c r="R69" s="4658"/>
      <c r="S69" s="4632"/>
      <c r="T69" s="4514"/>
      <c r="U69" s="4526"/>
      <c r="V69" s="1772" t="s">
        <v>1407</v>
      </c>
      <c r="W69" s="1630">
        <f>29875000-29875000</f>
        <v>0</v>
      </c>
      <c r="X69" s="1630"/>
      <c r="Y69" s="1630"/>
      <c r="Z69" s="1743">
        <v>20</v>
      </c>
      <c r="AA69" s="2024" t="s">
        <v>124</v>
      </c>
      <c r="AB69" s="4508"/>
      <c r="AC69" s="4508"/>
      <c r="AD69" s="4508"/>
      <c r="AE69" s="4508"/>
      <c r="AF69" s="3236"/>
      <c r="AG69" s="3236"/>
      <c r="AH69" s="3236"/>
      <c r="AI69" s="3236"/>
      <c r="AJ69" s="3236"/>
      <c r="AK69" s="3236"/>
      <c r="AL69" s="3236"/>
      <c r="AM69" s="3236"/>
      <c r="AN69" s="3236"/>
      <c r="AO69" s="3236"/>
      <c r="AP69" s="3236"/>
      <c r="AQ69" s="3236"/>
      <c r="AR69" s="3236"/>
      <c r="AS69" s="3236"/>
      <c r="AT69" s="3236"/>
      <c r="AU69" s="3236"/>
      <c r="AV69" s="3236"/>
      <c r="AW69" s="3236"/>
      <c r="AX69" s="3236"/>
      <c r="AY69" s="3236"/>
      <c r="AZ69" s="3236"/>
      <c r="BA69" s="3236"/>
      <c r="BB69" s="3236"/>
      <c r="BC69" s="3236"/>
      <c r="BD69" s="3236"/>
      <c r="BE69" s="3236"/>
      <c r="BF69" s="3236"/>
      <c r="BG69" s="3236"/>
      <c r="BH69" s="4639"/>
      <c r="BI69" s="4573"/>
      <c r="BJ69" s="4573"/>
      <c r="BK69" s="4641"/>
      <c r="BL69" s="4639"/>
      <c r="BM69" s="4639"/>
      <c r="BN69" s="4635"/>
      <c r="BO69" s="4635"/>
      <c r="BP69" s="4635"/>
      <c r="BQ69" s="4637"/>
      <c r="BR69" s="4597"/>
    </row>
    <row r="70" spans="1:70" s="1798" customFormat="1" ht="81.75" customHeight="1" x14ac:dyDescent="0.25">
      <c r="A70" s="1916"/>
      <c r="B70" s="48"/>
      <c r="C70" s="48"/>
      <c r="D70" s="1917"/>
      <c r="E70" s="1918"/>
      <c r="F70" s="1919"/>
      <c r="G70" s="4623"/>
      <c r="H70" s="4623"/>
      <c r="I70" s="4624"/>
      <c r="J70" s="4509"/>
      <c r="K70" s="3234"/>
      <c r="L70" s="1765"/>
      <c r="M70" s="4391"/>
      <c r="N70" s="4551"/>
      <c r="O70" s="1748"/>
      <c r="P70" s="3233"/>
      <c r="Q70" s="3067"/>
      <c r="R70" s="4659"/>
      <c r="S70" s="4632"/>
      <c r="T70" s="4514"/>
      <c r="U70" s="4526"/>
      <c r="V70" s="1762" t="s">
        <v>1408</v>
      </c>
      <c r="W70" s="1630">
        <v>14400000</v>
      </c>
      <c r="X70" s="1630"/>
      <c r="Y70" s="1630"/>
      <c r="Z70" s="1743">
        <v>20</v>
      </c>
      <c r="AA70" s="2024" t="s">
        <v>124</v>
      </c>
      <c r="AB70" s="4508"/>
      <c r="AC70" s="4508"/>
      <c r="AD70" s="4508"/>
      <c r="AE70" s="4508"/>
      <c r="AF70" s="3236"/>
      <c r="AG70" s="3236"/>
      <c r="AH70" s="3236"/>
      <c r="AI70" s="3236"/>
      <c r="AJ70" s="3236"/>
      <c r="AK70" s="3236"/>
      <c r="AL70" s="3236"/>
      <c r="AM70" s="3236"/>
      <c r="AN70" s="3236"/>
      <c r="AO70" s="3236"/>
      <c r="AP70" s="3236"/>
      <c r="AQ70" s="3236"/>
      <c r="AR70" s="3236"/>
      <c r="AS70" s="3236"/>
      <c r="AT70" s="3236"/>
      <c r="AU70" s="3236"/>
      <c r="AV70" s="3236"/>
      <c r="AW70" s="3236"/>
      <c r="AX70" s="3236"/>
      <c r="AY70" s="3236"/>
      <c r="AZ70" s="3236"/>
      <c r="BA70" s="3236"/>
      <c r="BB70" s="3236"/>
      <c r="BC70" s="3236"/>
      <c r="BD70" s="3236"/>
      <c r="BE70" s="3236"/>
      <c r="BF70" s="3236"/>
      <c r="BG70" s="3236"/>
      <c r="BH70" s="4639"/>
      <c r="BI70" s="4573"/>
      <c r="BJ70" s="4573"/>
      <c r="BK70" s="4641"/>
      <c r="BL70" s="4639"/>
      <c r="BM70" s="4639"/>
      <c r="BN70" s="4635"/>
      <c r="BO70" s="4635"/>
      <c r="BP70" s="4635"/>
      <c r="BQ70" s="4637"/>
      <c r="BR70" s="4597"/>
    </row>
    <row r="71" spans="1:70" s="1798" customFormat="1" ht="41.25" customHeight="1" x14ac:dyDescent="0.25">
      <c r="A71" s="1916"/>
      <c r="B71" s="48"/>
      <c r="C71" s="48"/>
      <c r="D71" s="1917"/>
      <c r="E71" s="1918"/>
      <c r="F71" s="1919"/>
      <c r="G71" s="4623"/>
      <c r="H71" s="4623"/>
      <c r="I71" s="4624"/>
      <c r="J71" s="4507">
        <v>91</v>
      </c>
      <c r="K71" s="3084" t="s">
        <v>1409</v>
      </c>
      <c r="L71" s="3084" t="s">
        <v>1410</v>
      </c>
      <c r="M71" s="4653">
        <v>54</v>
      </c>
      <c r="N71" s="4650">
        <v>44</v>
      </c>
      <c r="O71" s="1748"/>
      <c r="P71" s="3233"/>
      <c r="Q71" s="3067"/>
      <c r="R71" s="4630">
        <f>(+W71+W73)/S54</f>
        <v>0.17139778249418175</v>
      </c>
      <c r="S71" s="4632"/>
      <c r="T71" s="3067"/>
      <c r="U71" s="3067" t="s">
        <v>1411</v>
      </c>
      <c r="V71" s="3084" t="s">
        <v>1412</v>
      </c>
      <c r="W71" s="1630">
        <f>60000000+31988604.86</f>
        <v>91988604.859999999</v>
      </c>
      <c r="X71" s="1630"/>
      <c r="Y71" s="1630"/>
      <c r="Z71" s="1743">
        <v>21</v>
      </c>
      <c r="AA71" s="2024" t="s">
        <v>1383</v>
      </c>
      <c r="AB71" s="4508"/>
      <c r="AC71" s="4508"/>
      <c r="AD71" s="4508"/>
      <c r="AE71" s="4508"/>
      <c r="AF71" s="3236"/>
      <c r="AG71" s="3236"/>
      <c r="AH71" s="3236"/>
      <c r="AI71" s="3236"/>
      <c r="AJ71" s="3236"/>
      <c r="AK71" s="3236"/>
      <c r="AL71" s="3236"/>
      <c r="AM71" s="3236"/>
      <c r="AN71" s="3236"/>
      <c r="AO71" s="3236"/>
      <c r="AP71" s="3236"/>
      <c r="AQ71" s="3236"/>
      <c r="AR71" s="3236"/>
      <c r="AS71" s="3236"/>
      <c r="AT71" s="3236"/>
      <c r="AU71" s="3236"/>
      <c r="AV71" s="3236"/>
      <c r="AW71" s="3236"/>
      <c r="AX71" s="3236"/>
      <c r="AY71" s="3236"/>
      <c r="AZ71" s="3236"/>
      <c r="BA71" s="3236"/>
      <c r="BB71" s="3236"/>
      <c r="BC71" s="3236"/>
      <c r="BD71" s="3236"/>
      <c r="BE71" s="3236"/>
      <c r="BF71" s="3236"/>
      <c r="BG71" s="3236"/>
      <c r="BH71" s="4639"/>
      <c r="BI71" s="4573"/>
      <c r="BJ71" s="4573"/>
      <c r="BK71" s="4641"/>
      <c r="BL71" s="4639"/>
      <c r="BM71" s="4639"/>
      <c r="BN71" s="4635"/>
      <c r="BO71" s="4635"/>
      <c r="BP71" s="4635"/>
      <c r="BQ71" s="4637"/>
      <c r="BR71" s="4597"/>
    </row>
    <row r="72" spans="1:70" s="1798" customFormat="1" ht="41.25" customHeight="1" x14ac:dyDescent="0.25">
      <c r="A72" s="1916"/>
      <c r="B72" s="48"/>
      <c r="C72" s="48"/>
      <c r="D72" s="1917"/>
      <c r="E72" s="1918"/>
      <c r="F72" s="1919"/>
      <c r="G72" s="4623"/>
      <c r="H72" s="4623"/>
      <c r="I72" s="4624"/>
      <c r="J72" s="4508"/>
      <c r="K72" s="3067"/>
      <c r="L72" s="3067"/>
      <c r="M72" s="4654"/>
      <c r="N72" s="4651"/>
      <c r="O72" s="1748"/>
      <c r="P72" s="3233"/>
      <c r="Q72" s="3067"/>
      <c r="R72" s="4649"/>
      <c r="S72" s="4632"/>
      <c r="T72" s="3067"/>
      <c r="U72" s="3067"/>
      <c r="V72" s="3067"/>
      <c r="W72" s="1630">
        <v>9885764</v>
      </c>
      <c r="X72" s="1630">
        <v>9000000</v>
      </c>
      <c r="Y72" s="1630">
        <v>9000000</v>
      </c>
      <c r="Z72" s="1743">
        <v>20</v>
      </c>
      <c r="AA72" s="2024" t="s">
        <v>124</v>
      </c>
      <c r="AB72" s="4508"/>
      <c r="AC72" s="4508"/>
      <c r="AD72" s="4508"/>
      <c r="AE72" s="4508"/>
      <c r="AF72" s="3236"/>
      <c r="AG72" s="3236"/>
      <c r="AH72" s="3236"/>
      <c r="AI72" s="3236"/>
      <c r="AJ72" s="3236"/>
      <c r="AK72" s="3236"/>
      <c r="AL72" s="3236"/>
      <c r="AM72" s="3236"/>
      <c r="AN72" s="3236"/>
      <c r="AO72" s="3236"/>
      <c r="AP72" s="3236"/>
      <c r="AQ72" s="3236"/>
      <c r="AR72" s="3236"/>
      <c r="AS72" s="3236"/>
      <c r="AT72" s="3236"/>
      <c r="AU72" s="3236"/>
      <c r="AV72" s="3236"/>
      <c r="AW72" s="3236"/>
      <c r="AX72" s="3236"/>
      <c r="AY72" s="3236"/>
      <c r="AZ72" s="3236"/>
      <c r="BA72" s="3236"/>
      <c r="BB72" s="3236"/>
      <c r="BC72" s="3236"/>
      <c r="BD72" s="3236"/>
      <c r="BE72" s="3236"/>
      <c r="BF72" s="3236"/>
      <c r="BG72" s="3236"/>
      <c r="BH72" s="4639"/>
      <c r="BI72" s="4573"/>
      <c r="BJ72" s="4573"/>
      <c r="BK72" s="4641"/>
      <c r="BL72" s="4639"/>
      <c r="BM72" s="4639"/>
      <c r="BN72" s="4635"/>
      <c r="BO72" s="4635"/>
      <c r="BP72" s="4635"/>
      <c r="BQ72" s="4637"/>
      <c r="BR72" s="4597"/>
    </row>
    <row r="73" spans="1:70" s="1798" customFormat="1" ht="37.5" customHeight="1" x14ac:dyDescent="0.25">
      <c r="A73" s="1916"/>
      <c r="B73" s="48"/>
      <c r="C73" s="48"/>
      <c r="D73" s="1917"/>
      <c r="E73" s="1918"/>
      <c r="F73" s="1919"/>
      <c r="G73" s="4623"/>
      <c r="H73" s="4623"/>
      <c r="I73" s="4624"/>
      <c r="J73" s="4509"/>
      <c r="K73" s="3068"/>
      <c r="L73" s="3068"/>
      <c r="M73" s="4655"/>
      <c r="N73" s="4652"/>
      <c r="O73" s="1748"/>
      <c r="P73" s="3233"/>
      <c r="Q73" s="3067"/>
      <c r="R73" s="4631"/>
      <c r="S73" s="4632"/>
      <c r="T73" s="3067"/>
      <c r="U73" s="3068"/>
      <c r="V73" s="3068"/>
      <c r="W73" s="1630">
        <f>17146218-17146218</f>
        <v>0</v>
      </c>
      <c r="X73" s="1630"/>
      <c r="Y73" s="1630"/>
      <c r="Z73" s="1743">
        <v>25</v>
      </c>
      <c r="AA73" s="2024" t="s">
        <v>1413</v>
      </c>
      <c r="AB73" s="4508"/>
      <c r="AC73" s="4508"/>
      <c r="AD73" s="4508"/>
      <c r="AE73" s="4508"/>
      <c r="AF73" s="3236"/>
      <c r="AG73" s="3236"/>
      <c r="AH73" s="3236"/>
      <c r="AI73" s="3236"/>
      <c r="AJ73" s="3236"/>
      <c r="AK73" s="3236"/>
      <c r="AL73" s="3236"/>
      <c r="AM73" s="3236"/>
      <c r="AN73" s="3236"/>
      <c r="AO73" s="3236"/>
      <c r="AP73" s="3236"/>
      <c r="AQ73" s="3236"/>
      <c r="AR73" s="3236"/>
      <c r="AS73" s="3236"/>
      <c r="AT73" s="3236"/>
      <c r="AU73" s="3236"/>
      <c r="AV73" s="3236"/>
      <c r="AW73" s="3236"/>
      <c r="AX73" s="3236"/>
      <c r="AY73" s="3236"/>
      <c r="AZ73" s="3236"/>
      <c r="BA73" s="3236"/>
      <c r="BB73" s="3236"/>
      <c r="BC73" s="3236"/>
      <c r="BD73" s="3236"/>
      <c r="BE73" s="3236"/>
      <c r="BF73" s="3236"/>
      <c r="BG73" s="3236"/>
      <c r="BH73" s="4639"/>
      <c r="BI73" s="4573"/>
      <c r="BJ73" s="4573"/>
      <c r="BK73" s="4641"/>
      <c r="BL73" s="4639"/>
      <c r="BM73" s="4639"/>
      <c r="BN73" s="4635"/>
      <c r="BO73" s="4635"/>
      <c r="BP73" s="4635"/>
      <c r="BQ73" s="4637"/>
      <c r="BR73" s="4597"/>
    </row>
    <row r="74" spans="1:70" s="1798" customFormat="1" ht="60.75" customHeight="1" x14ac:dyDescent="0.25">
      <c r="A74" s="1916"/>
      <c r="B74" s="48"/>
      <c r="C74" s="48"/>
      <c r="D74" s="1917"/>
      <c r="E74" s="1918"/>
      <c r="F74" s="1919"/>
      <c r="G74" s="4623"/>
      <c r="H74" s="4623"/>
      <c r="I74" s="4624"/>
      <c r="J74" s="1913">
        <v>92</v>
      </c>
      <c r="K74" s="1915" t="s">
        <v>1414</v>
      </c>
      <c r="L74" s="1915" t="s">
        <v>1415</v>
      </c>
      <c r="M74" s="1929">
        <v>1</v>
      </c>
      <c r="N74" s="1931">
        <v>0.75</v>
      </c>
      <c r="O74" s="1748"/>
      <c r="P74" s="3233"/>
      <c r="Q74" s="3067"/>
      <c r="R74" s="1932">
        <f>+W74/S54</f>
        <v>0</v>
      </c>
      <c r="S74" s="4632"/>
      <c r="T74" s="3067"/>
      <c r="U74" s="1751" t="s">
        <v>1416</v>
      </c>
      <c r="V74" s="1751" t="s">
        <v>1417</v>
      </c>
      <c r="W74" s="1933">
        <f>30000000-30000000</f>
        <v>0</v>
      </c>
      <c r="X74" s="1933"/>
      <c r="Y74" s="1933"/>
      <c r="Z74" s="1743">
        <v>20</v>
      </c>
      <c r="AA74" s="2024" t="s">
        <v>124</v>
      </c>
      <c r="AB74" s="4509"/>
      <c r="AC74" s="4509"/>
      <c r="AD74" s="4509"/>
      <c r="AE74" s="4509"/>
      <c r="AF74" s="3237"/>
      <c r="AG74" s="3237"/>
      <c r="AH74" s="3237"/>
      <c r="AI74" s="3237"/>
      <c r="AJ74" s="3237"/>
      <c r="AK74" s="3237"/>
      <c r="AL74" s="3237"/>
      <c r="AM74" s="3237"/>
      <c r="AN74" s="3237"/>
      <c r="AO74" s="3237"/>
      <c r="AP74" s="3237"/>
      <c r="AQ74" s="3237"/>
      <c r="AR74" s="3237"/>
      <c r="AS74" s="3237"/>
      <c r="AT74" s="3237"/>
      <c r="AU74" s="3237"/>
      <c r="AV74" s="3237"/>
      <c r="AW74" s="3237"/>
      <c r="AX74" s="3237"/>
      <c r="AY74" s="3237"/>
      <c r="AZ74" s="3237"/>
      <c r="BA74" s="3237"/>
      <c r="BB74" s="3237"/>
      <c r="BC74" s="3237"/>
      <c r="BD74" s="3237"/>
      <c r="BE74" s="3237"/>
      <c r="BF74" s="3237"/>
      <c r="BG74" s="3237"/>
      <c r="BH74" s="3239"/>
      <c r="BI74" s="4574"/>
      <c r="BJ74" s="4574"/>
      <c r="BK74" s="4642"/>
      <c r="BL74" s="3239"/>
      <c r="BM74" s="3239"/>
      <c r="BN74" s="4635"/>
      <c r="BO74" s="4635"/>
      <c r="BP74" s="4635"/>
      <c r="BQ74" s="4638"/>
      <c r="BR74" s="4598"/>
    </row>
    <row r="75" spans="1:70" s="1798" customFormat="1" ht="15.75" x14ac:dyDescent="0.25">
      <c r="A75" s="1855"/>
      <c r="B75" s="872"/>
      <c r="C75" s="872"/>
      <c r="D75" s="1855"/>
      <c r="E75" s="872"/>
      <c r="F75" s="1863"/>
      <c r="G75" s="1898">
        <v>21</v>
      </c>
      <c r="H75" s="1767" t="s">
        <v>1418</v>
      </c>
      <c r="I75" s="1767"/>
      <c r="J75" s="1767"/>
      <c r="K75" s="1541"/>
      <c r="L75" s="1541"/>
      <c r="M75" s="814"/>
      <c r="N75" s="1899"/>
      <c r="O75" s="1542"/>
      <c r="P75" s="814"/>
      <c r="Q75" s="1541"/>
      <c r="R75" s="822"/>
      <c r="S75" s="1849"/>
      <c r="T75" s="1541"/>
      <c r="U75" s="815"/>
      <c r="V75" s="815"/>
      <c r="W75" s="815"/>
      <c r="X75" s="815"/>
      <c r="Y75" s="815"/>
      <c r="Z75" s="815"/>
      <c r="AA75" s="815"/>
      <c r="AB75" s="815"/>
      <c r="AC75" s="814"/>
      <c r="AD75" s="814"/>
      <c r="AE75" s="814"/>
      <c r="AF75" s="814"/>
      <c r="AG75" s="814"/>
      <c r="AH75" s="814"/>
      <c r="AI75" s="814"/>
      <c r="AJ75" s="814"/>
      <c r="AK75" s="814"/>
      <c r="AL75" s="814"/>
      <c r="AM75" s="814"/>
      <c r="AN75" s="814"/>
      <c r="AO75" s="814"/>
      <c r="AP75" s="814"/>
      <c r="AQ75" s="814"/>
      <c r="AR75" s="814"/>
      <c r="AS75" s="814"/>
      <c r="AT75" s="814"/>
      <c r="AU75" s="814"/>
      <c r="AV75" s="814"/>
      <c r="AW75" s="814"/>
      <c r="AX75" s="1824"/>
      <c r="AY75" s="1824"/>
      <c r="AZ75" s="1824"/>
      <c r="BA75" s="1824"/>
      <c r="BB75" s="1824"/>
      <c r="BC75" s="1824"/>
      <c r="BD75" s="1824"/>
      <c r="BE75" s="1824"/>
      <c r="BF75" s="1824"/>
      <c r="BG75" s="1824"/>
      <c r="BH75" s="1824"/>
      <c r="BI75" s="1851"/>
      <c r="BJ75" s="1851"/>
      <c r="BK75" s="1824"/>
      <c r="BL75" s="1824"/>
      <c r="BM75" s="1824"/>
      <c r="BN75" s="1824"/>
      <c r="BO75" s="1824"/>
      <c r="BP75" s="1824"/>
      <c r="BQ75" s="1824"/>
      <c r="BR75" s="1852"/>
    </row>
    <row r="76" spans="1:70" s="1798" customFormat="1" ht="79.5" customHeight="1" x14ac:dyDescent="0.25">
      <c r="A76" s="1538"/>
      <c r="B76" s="860"/>
      <c r="C76" s="860"/>
      <c r="D76" s="1900"/>
      <c r="E76" s="1894"/>
      <c r="F76" s="1901"/>
      <c r="G76" s="860"/>
      <c r="H76" s="860"/>
      <c r="I76" s="1586"/>
      <c r="J76" s="4507">
        <v>93</v>
      </c>
      <c r="K76" s="4541" t="s">
        <v>1419</v>
      </c>
      <c r="L76" s="4552" t="s">
        <v>1420</v>
      </c>
      <c r="M76" s="4660">
        <v>36</v>
      </c>
      <c r="N76" s="4660">
        <v>36</v>
      </c>
      <c r="O76" s="1747"/>
      <c r="P76" s="4355" t="s">
        <v>1421</v>
      </c>
      <c r="Q76" s="4383" t="s">
        <v>1422</v>
      </c>
      <c r="R76" s="4625">
        <f>+(W76+W77)/$S$76</f>
        <v>0.25982774744453385</v>
      </c>
      <c r="S76" s="4600">
        <f>SUM(W76:W82)</f>
        <v>109129992</v>
      </c>
      <c r="T76" s="4545" t="s">
        <v>1423</v>
      </c>
      <c r="U76" s="4673" t="s">
        <v>1424</v>
      </c>
      <c r="V76" s="4673" t="s">
        <v>1425</v>
      </c>
      <c r="W76" s="1935">
        <v>11861000</v>
      </c>
      <c r="X76" s="1935">
        <v>11342000</v>
      </c>
      <c r="Y76" s="1935">
        <v>11342000</v>
      </c>
      <c r="Z76" s="1756">
        <v>20</v>
      </c>
      <c r="AA76" s="1836" t="s">
        <v>124</v>
      </c>
      <c r="AB76" s="4584">
        <v>20555</v>
      </c>
      <c r="AC76" s="4462">
        <v>20555</v>
      </c>
      <c r="AD76" s="4592">
        <v>21361</v>
      </c>
      <c r="AE76" s="4462">
        <v>21361</v>
      </c>
      <c r="AF76" s="4578">
        <v>30460</v>
      </c>
      <c r="AG76" s="4553">
        <v>30460</v>
      </c>
      <c r="AH76" s="4578">
        <v>9593</v>
      </c>
      <c r="AI76" s="4553">
        <v>9593</v>
      </c>
      <c r="AJ76" s="4578">
        <v>1762</v>
      </c>
      <c r="AK76" s="4553">
        <v>1762</v>
      </c>
      <c r="AL76" s="4578">
        <v>101</v>
      </c>
      <c r="AM76" s="4553">
        <v>101</v>
      </c>
      <c r="AN76" s="4578">
        <v>308</v>
      </c>
      <c r="AO76" s="4553">
        <v>308</v>
      </c>
      <c r="AP76" s="4578">
        <v>277</v>
      </c>
      <c r="AQ76" s="4553">
        <v>277</v>
      </c>
      <c r="AR76" s="4578">
        <v>0</v>
      </c>
      <c r="AS76" s="4553">
        <v>0</v>
      </c>
      <c r="AT76" s="4578">
        <v>0</v>
      </c>
      <c r="AU76" s="4553">
        <v>0</v>
      </c>
      <c r="AV76" s="4578">
        <v>0</v>
      </c>
      <c r="AW76" s="4553">
        <v>0</v>
      </c>
      <c r="AX76" s="4614">
        <v>0</v>
      </c>
      <c r="AY76" s="4613">
        <v>0</v>
      </c>
      <c r="AZ76" s="4614">
        <v>2907</v>
      </c>
      <c r="BA76" s="4613">
        <v>2907</v>
      </c>
      <c r="BB76" s="3236">
        <v>2589</v>
      </c>
      <c r="BC76" s="3235">
        <v>2589</v>
      </c>
      <c r="BD76" s="4614">
        <v>2954</v>
      </c>
      <c r="BE76" s="4613">
        <v>2954</v>
      </c>
      <c r="BF76" s="4611">
        <v>41916</v>
      </c>
      <c r="BG76" s="4610">
        <v>41916</v>
      </c>
      <c r="BH76" s="4610">
        <v>3</v>
      </c>
      <c r="BI76" s="4661">
        <f>+X76+X77+X82</f>
        <v>32221002</v>
      </c>
      <c r="BJ76" s="4661">
        <f>+Y76+Y77+Y82</f>
        <v>22684000</v>
      </c>
      <c r="BK76" s="4664">
        <f>+BJ76/BI76</f>
        <v>0.70401286713554101</v>
      </c>
      <c r="BL76" s="4596" t="s">
        <v>124</v>
      </c>
      <c r="BM76" s="4596" t="s">
        <v>1426</v>
      </c>
      <c r="BN76" s="4596" t="s">
        <v>1427</v>
      </c>
      <c r="BO76" s="4593">
        <v>43525</v>
      </c>
      <c r="BP76" s="4593">
        <v>43676</v>
      </c>
      <c r="BQ76" s="4593">
        <v>43666</v>
      </c>
      <c r="BR76" s="4597" t="s">
        <v>1261</v>
      </c>
    </row>
    <row r="77" spans="1:70" s="1798" customFormat="1" ht="35.25" customHeight="1" x14ac:dyDescent="0.25">
      <c r="A77" s="1538"/>
      <c r="B77" s="860"/>
      <c r="C77" s="860"/>
      <c r="D77" s="1900"/>
      <c r="E77" s="1894"/>
      <c r="F77" s="1901"/>
      <c r="G77" s="860"/>
      <c r="H77" s="860"/>
      <c r="I77" s="1586"/>
      <c r="J77" s="4509"/>
      <c r="K77" s="4543"/>
      <c r="L77" s="4552"/>
      <c r="M77" s="4660"/>
      <c r="N77" s="4660"/>
      <c r="O77" s="1748"/>
      <c r="P77" s="4356"/>
      <c r="Q77" s="4545"/>
      <c r="R77" s="4625"/>
      <c r="S77" s="4600"/>
      <c r="T77" s="4545"/>
      <c r="U77" s="4673"/>
      <c r="V77" s="4673"/>
      <c r="W77" s="1935">
        <f>0+16494000</f>
        <v>16494000</v>
      </c>
      <c r="X77" s="1935">
        <v>14177500</v>
      </c>
      <c r="Y77" s="1935">
        <v>5671000</v>
      </c>
      <c r="Z77" s="1756">
        <v>88</v>
      </c>
      <c r="AA77" s="1836" t="s">
        <v>451</v>
      </c>
      <c r="AB77" s="4584"/>
      <c r="AC77" s="4592"/>
      <c r="AD77" s="4592"/>
      <c r="AE77" s="4592"/>
      <c r="AF77" s="4578"/>
      <c r="AG77" s="4578"/>
      <c r="AH77" s="4578"/>
      <c r="AI77" s="4578"/>
      <c r="AJ77" s="4578"/>
      <c r="AK77" s="4578"/>
      <c r="AL77" s="4578"/>
      <c r="AM77" s="4578"/>
      <c r="AN77" s="4578"/>
      <c r="AO77" s="4578"/>
      <c r="AP77" s="4578"/>
      <c r="AQ77" s="4578"/>
      <c r="AR77" s="4578"/>
      <c r="AS77" s="4578"/>
      <c r="AT77" s="4578"/>
      <c r="AU77" s="4578"/>
      <c r="AV77" s="4578"/>
      <c r="AW77" s="4578"/>
      <c r="AX77" s="4614"/>
      <c r="AY77" s="4614"/>
      <c r="AZ77" s="4614"/>
      <c r="BA77" s="4614"/>
      <c r="BB77" s="3236"/>
      <c r="BC77" s="3236"/>
      <c r="BD77" s="4614"/>
      <c r="BE77" s="4614"/>
      <c r="BF77" s="4611"/>
      <c r="BG77" s="4611"/>
      <c r="BH77" s="4611"/>
      <c r="BI77" s="4662"/>
      <c r="BJ77" s="4662"/>
      <c r="BK77" s="4665"/>
      <c r="BL77" s="4597"/>
      <c r="BM77" s="4597"/>
      <c r="BN77" s="4597"/>
      <c r="BO77" s="4594"/>
      <c r="BP77" s="4594"/>
      <c r="BQ77" s="4594"/>
      <c r="BR77" s="4597"/>
    </row>
    <row r="78" spans="1:70" s="1798" customFormat="1" ht="46.5" customHeight="1" x14ac:dyDescent="0.25">
      <c r="A78" s="1538"/>
      <c r="B78" s="860"/>
      <c r="C78" s="860"/>
      <c r="D78" s="1900"/>
      <c r="E78" s="1894"/>
      <c r="F78" s="1901"/>
      <c r="G78" s="860"/>
      <c r="H78" s="860"/>
      <c r="I78" s="1586"/>
      <c r="J78" s="4507">
        <v>94</v>
      </c>
      <c r="K78" s="4541" t="s">
        <v>1428</v>
      </c>
      <c r="L78" s="4542" t="s">
        <v>1429</v>
      </c>
      <c r="M78" s="4654">
        <v>65</v>
      </c>
      <c r="N78" s="4650">
        <v>0</v>
      </c>
      <c r="O78" s="1748"/>
      <c r="P78" s="4356"/>
      <c r="Q78" s="4494"/>
      <c r="R78" s="4669">
        <f>(W78+W79)/S76</f>
        <v>0.64143686549523438</v>
      </c>
      <c r="S78" s="4599"/>
      <c r="T78" s="4494"/>
      <c r="U78" s="4494" t="s">
        <v>1430</v>
      </c>
      <c r="V78" s="4494" t="s">
        <v>1431</v>
      </c>
      <c r="W78" s="1936">
        <v>60000000</v>
      </c>
      <c r="X78" s="1936"/>
      <c r="Y78" s="1936"/>
      <c r="Z78" s="1937">
        <v>21</v>
      </c>
      <c r="AA78" s="1774" t="s">
        <v>1383</v>
      </c>
      <c r="AB78" s="4592"/>
      <c r="AC78" s="4592"/>
      <c r="AD78" s="4592"/>
      <c r="AE78" s="4592"/>
      <c r="AF78" s="4578"/>
      <c r="AG78" s="4578"/>
      <c r="AH78" s="4578"/>
      <c r="AI78" s="4578"/>
      <c r="AJ78" s="4578"/>
      <c r="AK78" s="4578"/>
      <c r="AL78" s="4578"/>
      <c r="AM78" s="4578"/>
      <c r="AN78" s="4578"/>
      <c r="AO78" s="4578"/>
      <c r="AP78" s="4578"/>
      <c r="AQ78" s="4578"/>
      <c r="AR78" s="4578"/>
      <c r="AS78" s="4578"/>
      <c r="AT78" s="4578"/>
      <c r="AU78" s="4578"/>
      <c r="AV78" s="4578"/>
      <c r="AW78" s="4578"/>
      <c r="AX78" s="4614"/>
      <c r="AY78" s="4614"/>
      <c r="AZ78" s="4614"/>
      <c r="BA78" s="4614"/>
      <c r="BB78" s="3236"/>
      <c r="BC78" s="3236"/>
      <c r="BD78" s="4614"/>
      <c r="BE78" s="4614"/>
      <c r="BF78" s="4611"/>
      <c r="BG78" s="4611"/>
      <c r="BH78" s="4611"/>
      <c r="BI78" s="4662"/>
      <c r="BJ78" s="4662"/>
      <c r="BK78" s="4665"/>
      <c r="BL78" s="4597"/>
      <c r="BM78" s="4597"/>
      <c r="BN78" s="4597"/>
      <c r="BO78" s="4594"/>
      <c r="BP78" s="4594"/>
      <c r="BQ78" s="4594"/>
      <c r="BR78" s="4597"/>
    </row>
    <row r="79" spans="1:70" s="1798" customFormat="1" ht="35.25" customHeight="1" x14ac:dyDescent="0.25">
      <c r="A79" s="1538"/>
      <c r="B79" s="860"/>
      <c r="C79" s="860"/>
      <c r="D79" s="1900"/>
      <c r="E79" s="1894"/>
      <c r="F79" s="1901"/>
      <c r="G79" s="860"/>
      <c r="H79" s="860"/>
      <c r="I79" s="1586"/>
      <c r="J79" s="4509"/>
      <c r="K79" s="4543"/>
      <c r="L79" s="4543"/>
      <c r="M79" s="4655"/>
      <c r="N79" s="4652"/>
      <c r="O79" s="1748" t="s">
        <v>1432</v>
      </c>
      <c r="P79" s="4356"/>
      <c r="Q79" s="4494"/>
      <c r="R79" s="4670"/>
      <c r="S79" s="4599"/>
      <c r="T79" s="4494"/>
      <c r="U79" s="4424"/>
      <c r="V79" s="4424"/>
      <c r="W79" s="1877">
        <v>10000000</v>
      </c>
      <c r="X79" s="1877"/>
      <c r="Y79" s="1877"/>
      <c r="Z79" s="1742">
        <v>20</v>
      </c>
      <c r="AA79" s="2024" t="s">
        <v>124</v>
      </c>
      <c r="AB79" s="4592"/>
      <c r="AC79" s="4592"/>
      <c r="AD79" s="4592"/>
      <c r="AE79" s="4592"/>
      <c r="AF79" s="4578"/>
      <c r="AG79" s="4578"/>
      <c r="AH79" s="4578"/>
      <c r="AI79" s="4578"/>
      <c r="AJ79" s="4578"/>
      <c r="AK79" s="4578"/>
      <c r="AL79" s="4578"/>
      <c r="AM79" s="4578"/>
      <c r="AN79" s="4578"/>
      <c r="AO79" s="4578"/>
      <c r="AP79" s="4578"/>
      <c r="AQ79" s="4578"/>
      <c r="AR79" s="4578"/>
      <c r="AS79" s="4578"/>
      <c r="AT79" s="4578"/>
      <c r="AU79" s="4578"/>
      <c r="AV79" s="4578"/>
      <c r="AW79" s="4578"/>
      <c r="AX79" s="4614"/>
      <c r="AY79" s="4614"/>
      <c r="AZ79" s="4614"/>
      <c r="BA79" s="4614"/>
      <c r="BB79" s="3236"/>
      <c r="BC79" s="3236"/>
      <c r="BD79" s="4614"/>
      <c r="BE79" s="4614"/>
      <c r="BF79" s="4611"/>
      <c r="BG79" s="4611"/>
      <c r="BH79" s="4611"/>
      <c r="BI79" s="4662"/>
      <c r="BJ79" s="4662"/>
      <c r="BK79" s="4665"/>
      <c r="BL79" s="4597"/>
      <c r="BM79" s="4597"/>
      <c r="BN79" s="4597"/>
      <c r="BO79" s="4594"/>
      <c r="BP79" s="4594"/>
      <c r="BQ79" s="4594"/>
      <c r="BR79" s="4597"/>
    </row>
    <row r="80" spans="1:70" s="1798" customFormat="1" ht="33" customHeight="1" x14ac:dyDescent="0.25">
      <c r="A80" s="1538"/>
      <c r="B80" s="860"/>
      <c r="C80" s="860"/>
      <c r="D80" s="1900"/>
      <c r="E80" s="1894"/>
      <c r="F80" s="1901"/>
      <c r="G80" s="860"/>
      <c r="H80" s="860"/>
      <c r="I80" s="1586"/>
      <c r="J80" s="4507">
        <v>95</v>
      </c>
      <c r="K80" s="4413" t="s">
        <v>1433</v>
      </c>
      <c r="L80" s="4413" t="s">
        <v>1434</v>
      </c>
      <c r="M80" s="4653">
        <v>500</v>
      </c>
      <c r="N80" s="4650">
        <v>554</v>
      </c>
      <c r="O80" s="1748" t="s">
        <v>1435</v>
      </c>
      <c r="P80" s="4356"/>
      <c r="Q80" s="4494"/>
      <c r="R80" s="4604">
        <f>+W80/S76</f>
        <v>0</v>
      </c>
      <c r="S80" s="4599"/>
      <c r="T80" s="4494"/>
      <c r="U80" s="4413" t="s">
        <v>1436</v>
      </c>
      <c r="V80" s="3084" t="s">
        <v>1437</v>
      </c>
      <c r="W80" s="3126">
        <f>10000000-10000000</f>
        <v>0</v>
      </c>
      <c r="X80" s="3126"/>
      <c r="Y80" s="3126"/>
      <c r="Z80" s="3139"/>
      <c r="AA80" s="3375"/>
      <c r="AB80" s="4592"/>
      <c r="AC80" s="4592"/>
      <c r="AD80" s="4592"/>
      <c r="AE80" s="4592"/>
      <c r="AF80" s="4578"/>
      <c r="AG80" s="4578"/>
      <c r="AH80" s="4578"/>
      <c r="AI80" s="4578"/>
      <c r="AJ80" s="4578"/>
      <c r="AK80" s="4578"/>
      <c r="AL80" s="4578"/>
      <c r="AM80" s="4578"/>
      <c r="AN80" s="4578"/>
      <c r="AO80" s="4578"/>
      <c r="AP80" s="4578"/>
      <c r="AQ80" s="4578"/>
      <c r="AR80" s="4578"/>
      <c r="AS80" s="4578"/>
      <c r="AT80" s="4578"/>
      <c r="AU80" s="4578"/>
      <c r="AV80" s="4578"/>
      <c r="AW80" s="4578"/>
      <c r="AX80" s="4614"/>
      <c r="AY80" s="4614"/>
      <c r="AZ80" s="4614"/>
      <c r="BA80" s="4614"/>
      <c r="BB80" s="3236"/>
      <c r="BC80" s="3236"/>
      <c r="BD80" s="4614"/>
      <c r="BE80" s="4614"/>
      <c r="BF80" s="4611"/>
      <c r="BG80" s="4611"/>
      <c r="BH80" s="4611"/>
      <c r="BI80" s="4662"/>
      <c r="BJ80" s="4662"/>
      <c r="BK80" s="4665"/>
      <c r="BL80" s="4597"/>
      <c r="BM80" s="4597"/>
      <c r="BN80" s="4597"/>
      <c r="BO80" s="4594"/>
      <c r="BP80" s="4594"/>
      <c r="BQ80" s="4594"/>
      <c r="BR80" s="4597"/>
    </row>
    <row r="81" spans="1:70" s="1798" customFormat="1" ht="59.25" customHeight="1" x14ac:dyDescent="0.25">
      <c r="A81" s="1538"/>
      <c r="B81" s="860"/>
      <c r="C81" s="860"/>
      <c r="D81" s="1900"/>
      <c r="E81" s="1894"/>
      <c r="F81" s="1901"/>
      <c r="G81" s="860"/>
      <c r="H81" s="860"/>
      <c r="I81" s="1586"/>
      <c r="J81" s="4509"/>
      <c r="K81" s="4424"/>
      <c r="L81" s="4424"/>
      <c r="M81" s="4655"/>
      <c r="N81" s="4652"/>
      <c r="O81" s="1748" t="s">
        <v>1438</v>
      </c>
      <c r="P81" s="4356"/>
      <c r="Q81" s="4494"/>
      <c r="R81" s="4606"/>
      <c r="S81" s="4599"/>
      <c r="T81" s="4494"/>
      <c r="U81" s="4424"/>
      <c r="V81" s="3068"/>
      <c r="W81" s="4672"/>
      <c r="X81" s="4672"/>
      <c r="Y81" s="4672"/>
      <c r="Z81" s="4667"/>
      <c r="AA81" s="3376"/>
      <c r="AB81" s="4592"/>
      <c r="AC81" s="4592"/>
      <c r="AD81" s="4592"/>
      <c r="AE81" s="4592"/>
      <c r="AF81" s="4578"/>
      <c r="AG81" s="4578"/>
      <c r="AH81" s="4578"/>
      <c r="AI81" s="4578"/>
      <c r="AJ81" s="4578"/>
      <c r="AK81" s="4578"/>
      <c r="AL81" s="4578"/>
      <c r="AM81" s="4578"/>
      <c r="AN81" s="4578"/>
      <c r="AO81" s="4578"/>
      <c r="AP81" s="4578"/>
      <c r="AQ81" s="4578"/>
      <c r="AR81" s="4578"/>
      <c r="AS81" s="4578"/>
      <c r="AT81" s="4578"/>
      <c r="AU81" s="4578"/>
      <c r="AV81" s="4578"/>
      <c r="AW81" s="4578"/>
      <c r="AX81" s="4614"/>
      <c r="AY81" s="4614"/>
      <c r="AZ81" s="4614"/>
      <c r="BA81" s="4614"/>
      <c r="BB81" s="3236"/>
      <c r="BC81" s="3236"/>
      <c r="BD81" s="4614"/>
      <c r="BE81" s="4614"/>
      <c r="BF81" s="4611"/>
      <c r="BG81" s="4611"/>
      <c r="BH81" s="4611"/>
      <c r="BI81" s="4662"/>
      <c r="BJ81" s="4662"/>
      <c r="BK81" s="4665"/>
      <c r="BL81" s="4597"/>
      <c r="BM81" s="4597"/>
      <c r="BN81" s="4597"/>
      <c r="BO81" s="4594"/>
      <c r="BP81" s="4594"/>
      <c r="BQ81" s="4594"/>
      <c r="BR81" s="4597"/>
    </row>
    <row r="82" spans="1:70" s="1798" customFormat="1" ht="78.75" customHeight="1" x14ac:dyDescent="0.25">
      <c r="A82" s="1538"/>
      <c r="B82" s="860"/>
      <c r="C82" s="860"/>
      <c r="D82" s="1900"/>
      <c r="E82" s="1894"/>
      <c r="F82" s="1901"/>
      <c r="G82" s="860"/>
      <c r="H82" s="860"/>
      <c r="I82" s="1586"/>
      <c r="J82" s="1913">
        <v>96</v>
      </c>
      <c r="K82" s="1914" t="s">
        <v>1439</v>
      </c>
      <c r="L82" s="1914" t="s">
        <v>1440</v>
      </c>
      <c r="M82" s="1929">
        <v>2</v>
      </c>
      <c r="N82" s="1931">
        <v>0</v>
      </c>
      <c r="O82" s="1749"/>
      <c r="P82" s="4357"/>
      <c r="Q82" s="4424"/>
      <c r="R82" s="1938">
        <f>+W82/S76</f>
        <v>9.87353870602318E-2</v>
      </c>
      <c r="S82" s="4599"/>
      <c r="T82" s="4494"/>
      <c r="U82" s="1780" t="s">
        <v>1441</v>
      </c>
      <c r="V82" s="1780" t="s">
        <v>1442</v>
      </c>
      <c r="W82" s="1877">
        <v>10774992</v>
      </c>
      <c r="X82" s="1877">
        <v>6701502</v>
      </c>
      <c r="Y82" s="1877">
        <v>5671000</v>
      </c>
      <c r="Z82" s="1742">
        <v>20</v>
      </c>
      <c r="AA82" s="2024" t="s">
        <v>124</v>
      </c>
      <c r="AB82" s="4592"/>
      <c r="AC82" s="4567"/>
      <c r="AD82" s="4592"/>
      <c r="AE82" s="4567"/>
      <c r="AF82" s="4578"/>
      <c r="AG82" s="4554"/>
      <c r="AH82" s="4578"/>
      <c r="AI82" s="4554"/>
      <c r="AJ82" s="4578"/>
      <c r="AK82" s="4554"/>
      <c r="AL82" s="4578"/>
      <c r="AM82" s="4554"/>
      <c r="AN82" s="4578"/>
      <c r="AO82" s="4554"/>
      <c r="AP82" s="4578"/>
      <c r="AQ82" s="4554"/>
      <c r="AR82" s="4578"/>
      <c r="AS82" s="4554"/>
      <c r="AT82" s="4578"/>
      <c r="AU82" s="4554"/>
      <c r="AV82" s="4578"/>
      <c r="AW82" s="4554"/>
      <c r="AX82" s="4614"/>
      <c r="AY82" s="4615"/>
      <c r="AZ82" s="4614"/>
      <c r="BA82" s="4615"/>
      <c r="BB82" s="3236"/>
      <c r="BC82" s="3237"/>
      <c r="BD82" s="4614"/>
      <c r="BE82" s="4615"/>
      <c r="BF82" s="4611"/>
      <c r="BG82" s="4612"/>
      <c r="BH82" s="4612"/>
      <c r="BI82" s="4663"/>
      <c r="BJ82" s="4663"/>
      <c r="BK82" s="4666"/>
      <c r="BL82" s="4598"/>
      <c r="BM82" s="4598"/>
      <c r="BN82" s="4598"/>
      <c r="BO82" s="4595"/>
      <c r="BP82" s="4595"/>
      <c r="BQ82" s="4595"/>
      <c r="BR82" s="4597"/>
    </row>
    <row r="83" spans="1:70" s="1798" customFormat="1" ht="15.75" customHeight="1" x14ac:dyDescent="0.25">
      <c r="A83" s="1855"/>
      <c r="B83" s="872"/>
      <c r="C83" s="872"/>
      <c r="D83" s="1855"/>
      <c r="E83" s="872"/>
      <c r="F83" s="1863"/>
      <c r="G83" s="1898">
        <v>22</v>
      </c>
      <c r="H83" s="1767" t="s">
        <v>1443</v>
      </c>
      <c r="I83" s="1767"/>
      <c r="J83" s="1767"/>
      <c r="K83" s="1541"/>
      <c r="L83" s="1541"/>
      <c r="M83" s="814"/>
      <c r="N83" s="1939"/>
      <c r="O83" s="1542"/>
      <c r="P83" s="814"/>
      <c r="Q83" s="1545"/>
      <c r="R83" s="814"/>
      <c r="S83" s="1849"/>
      <c r="T83" s="1541"/>
      <c r="U83" s="1541"/>
      <c r="V83" s="815"/>
      <c r="W83" s="815"/>
      <c r="X83" s="815"/>
      <c r="Y83" s="815"/>
      <c r="Z83" s="815"/>
      <c r="AA83" s="815"/>
      <c r="AB83" s="815"/>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1824"/>
      <c r="AY83" s="1824"/>
      <c r="AZ83" s="1824"/>
      <c r="BA83" s="1824"/>
      <c r="BB83" s="1824"/>
      <c r="BC83" s="1824"/>
      <c r="BD83" s="1824"/>
      <c r="BE83" s="1824"/>
      <c r="BF83" s="1824"/>
      <c r="BG83" s="1824"/>
      <c r="BH83" s="1824"/>
      <c r="BI83" s="1851"/>
      <c r="BJ83" s="1851"/>
      <c r="BK83" s="1824"/>
      <c r="BL83" s="1824"/>
      <c r="BM83" s="1824"/>
      <c r="BN83" s="1824"/>
      <c r="BO83" s="1824"/>
      <c r="BP83" s="1824"/>
      <c r="BQ83" s="1824"/>
      <c r="BR83" s="1852"/>
    </row>
    <row r="84" spans="1:70" s="1798" customFormat="1" ht="45" customHeight="1" x14ac:dyDescent="0.25">
      <c r="A84" s="1940"/>
      <c r="B84" s="775"/>
      <c r="C84" s="775"/>
      <c r="D84" s="1940"/>
      <c r="E84" s="775"/>
      <c r="F84" s="1941"/>
      <c r="G84" s="4668"/>
      <c r="H84" s="4668"/>
      <c r="I84" s="4506"/>
      <c r="J84" s="4508">
        <v>97</v>
      </c>
      <c r="K84" s="4494" t="s">
        <v>1444</v>
      </c>
      <c r="L84" s="4494" t="s">
        <v>1445</v>
      </c>
      <c r="M84" s="4582">
        <v>52</v>
      </c>
      <c r="N84" s="4582">
        <v>52</v>
      </c>
      <c r="O84" s="1942"/>
      <c r="P84" s="4356" t="s">
        <v>1446</v>
      </c>
      <c r="Q84" s="4494" t="s">
        <v>1447</v>
      </c>
      <c r="R84" s="4671">
        <f>SUM(W84:W89)/S84</f>
        <v>1</v>
      </c>
      <c r="S84" s="4599">
        <f>+W84+W85+W89</f>
        <v>30000000</v>
      </c>
      <c r="T84" s="4494" t="s">
        <v>1448</v>
      </c>
      <c r="U84" s="4545" t="s">
        <v>1449</v>
      </c>
      <c r="V84" s="4674" t="s">
        <v>1450</v>
      </c>
      <c r="W84" s="1943">
        <f>10000000</f>
        <v>10000000</v>
      </c>
      <c r="X84" s="1943">
        <v>10000000</v>
      </c>
      <c r="Y84" s="1943">
        <v>1000000</v>
      </c>
      <c r="Z84" s="1755">
        <v>20</v>
      </c>
      <c r="AA84" s="1836" t="s">
        <v>1451</v>
      </c>
      <c r="AB84" s="4584">
        <v>20555</v>
      </c>
      <c r="AC84" s="4462">
        <v>20555</v>
      </c>
      <c r="AD84" s="4592">
        <v>21361</v>
      </c>
      <c r="AE84" s="4462">
        <v>21361</v>
      </c>
      <c r="AF84" s="4592">
        <v>30460</v>
      </c>
      <c r="AG84" s="4462">
        <v>30460</v>
      </c>
      <c r="AH84" s="4592">
        <v>9593</v>
      </c>
      <c r="AI84" s="4462">
        <v>9593</v>
      </c>
      <c r="AJ84" s="4592">
        <v>1762</v>
      </c>
      <c r="AK84" s="4462">
        <v>1762</v>
      </c>
      <c r="AL84" s="4592">
        <v>101</v>
      </c>
      <c r="AM84" s="4462">
        <v>101</v>
      </c>
      <c r="AN84" s="4592">
        <v>308</v>
      </c>
      <c r="AO84" s="4462">
        <v>308</v>
      </c>
      <c r="AP84" s="4592">
        <v>277</v>
      </c>
      <c r="AQ84" s="4462">
        <v>277</v>
      </c>
      <c r="AR84" s="4592">
        <v>0</v>
      </c>
      <c r="AS84" s="4462">
        <v>0</v>
      </c>
      <c r="AT84" s="4592">
        <v>0</v>
      </c>
      <c r="AU84" s="4462">
        <v>0</v>
      </c>
      <c r="AV84" s="4592">
        <v>0</v>
      </c>
      <c r="AW84" s="4462">
        <v>0</v>
      </c>
      <c r="AX84" s="4592">
        <v>0</v>
      </c>
      <c r="AY84" s="4462">
        <v>0</v>
      </c>
      <c r="AZ84" s="4578">
        <v>2907</v>
      </c>
      <c r="BA84" s="4553">
        <v>2907</v>
      </c>
      <c r="BB84" s="4578">
        <v>2589</v>
      </c>
      <c r="BC84" s="4553">
        <v>2589</v>
      </c>
      <c r="BD84" s="4578">
        <v>2954</v>
      </c>
      <c r="BE84" s="4553">
        <v>2954</v>
      </c>
      <c r="BF84" s="4592">
        <v>41916</v>
      </c>
      <c r="BG84" s="4462">
        <v>41916</v>
      </c>
      <c r="BH84" s="4462">
        <v>2</v>
      </c>
      <c r="BI84" s="4683">
        <f>+X84+X85+X89</f>
        <v>30000000</v>
      </c>
      <c r="BJ84" s="4683">
        <f>+Y84+Y85+Y89</f>
        <v>21000000</v>
      </c>
      <c r="BK84" s="4686">
        <f>+BJ84/BI84</f>
        <v>0.7</v>
      </c>
      <c r="BL84" s="4355" t="s">
        <v>1452</v>
      </c>
      <c r="BM84" s="4355" t="s">
        <v>1453</v>
      </c>
      <c r="BN84" s="4434">
        <v>43558</v>
      </c>
      <c r="BO84" s="4434">
        <v>43558</v>
      </c>
      <c r="BP84" s="4434">
        <v>43710</v>
      </c>
      <c r="BQ84" s="4462" t="s">
        <v>1454</v>
      </c>
      <c r="BR84" s="4597" t="s">
        <v>1261</v>
      </c>
    </row>
    <row r="85" spans="1:70" s="1798" customFormat="1" ht="15.75" customHeight="1" x14ac:dyDescent="0.25">
      <c r="A85" s="1940"/>
      <c r="B85" s="775"/>
      <c r="C85" s="775"/>
      <c r="D85" s="1940"/>
      <c r="E85" s="775"/>
      <c r="F85" s="1941"/>
      <c r="G85" s="4668"/>
      <c r="H85" s="4668"/>
      <c r="I85" s="4506"/>
      <c r="J85" s="4508"/>
      <c r="K85" s="4494"/>
      <c r="L85" s="4494"/>
      <c r="M85" s="4582"/>
      <c r="N85" s="4582"/>
      <c r="O85" s="1942"/>
      <c r="P85" s="4356"/>
      <c r="Q85" s="4494"/>
      <c r="R85" s="4671"/>
      <c r="S85" s="4599"/>
      <c r="T85" s="4494"/>
      <c r="U85" s="4545"/>
      <c r="V85" s="4674"/>
      <c r="W85" s="4675">
        <f>0+20000000-9000000</f>
        <v>11000000</v>
      </c>
      <c r="X85" s="4678">
        <v>11000000</v>
      </c>
      <c r="Y85" s="4678">
        <v>11000000</v>
      </c>
      <c r="Z85" s="4681">
        <v>88</v>
      </c>
      <c r="AA85" s="4681" t="s">
        <v>451</v>
      </c>
      <c r="AB85" s="4584"/>
      <c r="AC85" s="4592"/>
      <c r="AD85" s="4592"/>
      <c r="AE85" s="4592"/>
      <c r="AF85" s="4592"/>
      <c r="AG85" s="4592"/>
      <c r="AH85" s="4592"/>
      <c r="AI85" s="4592"/>
      <c r="AJ85" s="4592"/>
      <c r="AK85" s="4592"/>
      <c r="AL85" s="4592"/>
      <c r="AM85" s="4592"/>
      <c r="AN85" s="4592"/>
      <c r="AO85" s="4592"/>
      <c r="AP85" s="4592"/>
      <c r="AQ85" s="4592"/>
      <c r="AR85" s="4592"/>
      <c r="AS85" s="4592"/>
      <c r="AT85" s="4592"/>
      <c r="AU85" s="4592"/>
      <c r="AV85" s="4592"/>
      <c r="AW85" s="4592"/>
      <c r="AX85" s="4592"/>
      <c r="AY85" s="4592"/>
      <c r="AZ85" s="4592"/>
      <c r="BA85" s="4578"/>
      <c r="BB85" s="4592"/>
      <c r="BC85" s="4578"/>
      <c r="BD85" s="4592"/>
      <c r="BE85" s="4578"/>
      <c r="BF85" s="4592"/>
      <c r="BG85" s="4592"/>
      <c r="BH85" s="4592"/>
      <c r="BI85" s="4684"/>
      <c r="BJ85" s="4684"/>
      <c r="BK85" s="4687"/>
      <c r="BL85" s="4592"/>
      <c r="BM85" s="4356"/>
      <c r="BN85" s="4592"/>
      <c r="BO85" s="4592"/>
      <c r="BP85" s="4592"/>
      <c r="BQ85" s="4592"/>
      <c r="BR85" s="4597"/>
    </row>
    <row r="86" spans="1:70" s="1798" customFormat="1" ht="18" customHeight="1" x14ac:dyDescent="0.25">
      <c r="A86" s="1940"/>
      <c r="B86" s="775"/>
      <c r="C86" s="775"/>
      <c r="D86" s="1940"/>
      <c r="E86" s="775"/>
      <c r="F86" s="1941"/>
      <c r="G86" s="4668"/>
      <c r="H86" s="4668"/>
      <c r="I86" s="4506"/>
      <c r="J86" s="4508"/>
      <c r="K86" s="4494"/>
      <c r="L86" s="4494"/>
      <c r="M86" s="4582"/>
      <c r="N86" s="4582"/>
      <c r="O86" s="1942" t="s">
        <v>1455</v>
      </c>
      <c r="P86" s="4356"/>
      <c r="Q86" s="4494"/>
      <c r="R86" s="4671"/>
      <c r="S86" s="4599"/>
      <c r="T86" s="4494"/>
      <c r="U86" s="4545"/>
      <c r="V86" s="4674"/>
      <c r="W86" s="4676"/>
      <c r="X86" s="4679"/>
      <c r="Y86" s="4679"/>
      <c r="Z86" s="4682"/>
      <c r="AA86" s="4682"/>
      <c r="AB86" s="4584"/>
      <c r="AC86" s="4592"/>
      <c r="AD86" s="4592"/>
      <c r="AE86" s="4592"/>
      <c r="AF86" s="4592"/>
      <c r="AG86" s="4592"/>
      <c r="AH86" s="4592"/>
      <c r="AI86" s="4592"/>
      <c r="AJ86" s="4592"/>
      <c r="AK86" s="4592"/>
      <c r="AL86" s="4592"/>
      <c r="AM86" s="4592"/>
      <c r="AN86" s="4592"/>
      <c r="AO86" s="4592"/>
      <c r="AP86" s="4592"/>
      <c r="AQ86" s="4592"/>
      <c r="AR86" s="4592"/>
      <c r="AS86" s="4592"/>
      <c r="AT86" s="4592"/>
      <c r="AU86" s="4592"/>
      <c r="AV86" s="4592"/>
      <c r="AW86" s="4592"/>
      <c r="AX86" s="4592"/>
      <c r="AY86" s="4592"/>
      <c r="AZ86" s="4592"/>
      <c r="BA86" s="4578"/>
      <c r="BB86" s="4592"/>
      <c r="BC86" s="4578"/>
      <c r="BD86" s="4592"/>
      <c r="BE86" s="4578"/>
      <c r="BF86" s="4592"/>
      <c r="BG86" s="4592"/>
      <c r="BH86" s="4592"/>
      <c r="BI86" s="4684"/>
      <c r="BJ86" s="4684"/>
      <c r="BK86" s="4687"/>
      <c r="BL86" s="4592"/>
      <c r="BM86" s="4356"/>
      <c r="BN86" s="4592"/>
      <c r="BO86" s="4592"/>
      <c r="BP86" s="4592"/>
      <c r="BQ86" s="4592"/>
      <c r="BR86" s="4597"/>
    </row>
    <row r="87" spans="1:70" s="1798" customFormat="1" ht="15.75" customHeight="1" x14ac:dyDescent="0.25">
      <c r="A87" s="1940"/>
      <c r="B87" s="775"/>
      <c r="C87" s="775"/>
      <c r="D87" s="1940"/>
      <c r="E87" s="775"/>
      <c r="F87" s="1941"/>
      <c r="G87" s="4668"/>
      <c r="H87" s="4668"/>
      <c r="I87" s="4506"/>
      <c r="J87" s="4508"/>
      <c r="K87" s="4494"/>
      <c r="L87" s="4494"/>
      <c r="M87" s="4582"/>
      <c r="N87" s="4582"/>
      <c r="O87" s="1942" t="s">
        <v>1456</v>
      </c>
      <c r="P87" s="4356"/>
      <c r="Q87" s="4494"/>
      <c r="R87" s="4671"/>
      <c r="S87" s="4599"/>
      <c r="T87" s="4494"/>
      <c r="U87" s="4545"/>
      <c r="V87" s="4674"/>
      <c r="W87" s="4676"/>
      <c r="X87" s="4679"/>
      <c r="Y87" s="4679"/>
      <c r="Z87" s="4682"/>
      <c r="AA87" s="4682"/>
      <c r="AB87" s="4584"/>
      <c r="AC87" s="4592"/>
      <c r="AD87" s="4592"/>
      <c r="AE87" s="4592"/>
      <c r="AF87" s="4592"/>
      <c r="AG87" s="4592"/>
      <c r="AH87" s="4592"/>
      <c r="AI87" s="4592"/>
      <c r="AJ87" s="4592"/>
      <c r="AK87" s="4592"/>
      <c r="AL87" s="4592"/>
      <c r="AM87" s="4592"/>
      <c r="AN87" s="4592"/>
      <c r="AO87" s="4592"/>
      <c r="AP87" s="4592"/>
      <c r="AQ87" s="4592"/>
      <c r="AR87" s="4592"/>
      <c r="AS87" s="4592"/>
      <c r="AT87" s="4592"/>
      <c r="AU87" s="4592"/>
      <c r="AV87" s="4592"/>
      <c r="AW87" s="4592"/>
      <c r="AX87" s="4592"/>
      <c r="AY87" s="4592"/>
      <c r="AZ87" s="4592"/>
      <c r="BA87" s="4578"/>
      <c r="BB87" s="4592"/>
      <c r="BC87" s="4578"/>
      <c r="BD87" s="4592"/>
      <c r="BE87" s="4578"/>
      <c r="BF87" s="4592"/>
      <c r="BG87" s="4592"/>
      <c r="BH87" s="4592"/>
      <c r="BI87" s="4684"/>
      <c r="BJ87" s="4684"/>
      <c r="BK87" s="4687"/>
      <c r="BL87" s="4592"/>
      <c r="BM87" s="4356"/>
      <c r="BN87" s="4592"/>
      <c r="BO87" s="4592"/>
      <c r="BP87" s="4592"/>
      <c r="BQ87" s="4592"/>
      <c r="BR87" s="4597"/>
    </row>
    <row r="88" spans="1:70" s="1798" customFormat="1" ht="15.75" customHeight="1" x14ac:dyDescent="0.25">
      <c r="A88" s="1940"/>
      <c r="B88" s="775"/>
      <c r="C88" s="775"/>
      <c r="D88" s="1940"/>
      <c r="E88" s="775"/>
      <c r="F88" s="1941"/>
      <c r="G88" s="4668"/>
      <c r="H88" s="4668"/>
      <c r="I88" s="4506"/>
      <c r="J88" s="4508"/>
      <c r="K88" s="4494"/>
      <c r="L88" s="4494"/>
      <c r="M88" s="4582"/>
      <c r="N88" s="4582"/>
      <c r="O88" s="1942"/>
      <c r="P88" s="4356"/>
      <c r="Q88" s="4494"/>
      <c r="R88" s="4671"/>
      <c r="S88" s="4599"/>
      <c r="T88" s="4494"/>
      <c r="U88" s="4545"/>
      <c r="V88" s="4674"/>
      <c r="W88" s="4677"/>
      <c r="X88" s="4680"/>
      <c r="Y88" s="4680"/>
      <c r="Z88" s="3213"/>
      <c r="AA88" s="3213"/>
      <c r="AB88" s="4584"/>
      <c r="AC88" s="4592"/>
      <c r="AD88" s="4592"/>
      <c r="AE88" s="4592"/>
      <c r="AF88" s="4592"/>
      <c r="AG88" s="4592"/>
      <c r="AH88" s="4592"/>
      <c r="AI88" s="4592"/>
      <c r="AJ88" s="4592"/>
      <c r="AK88" s="4592"/>
      <c r="AL88" s="4592"/>
      <c r="AM88" s="4592"/>
      <c r="AN88" s="4592"/>
      <c r="AO88" s="4592"/>
      <c r="AP88" s="4592"/>
      <c r="AQ88" s="4592"/>
      <c r="AR88" s="4592"/>
      <c r="AS88" s="4592"/>
      <c r="AT88" s="4592"/>
      <c r="AU88" s="4592"/>
      <c r="AV88" s="4592"/>
      <c r="AW88" s="4592"/>
      <c r="AX88" s="4592"/>
      <c r="AY88" s="4592"/>
      <c r="AZ88" s="4592"/>
      <c r="BA88" s="4578"/>
      <c r="BB88" s="4592"/>
      <c r="BC88" s="4578"/>
      <c r="BD88" s="4592"/>
      <c r="BE88" s="4578"/>
      <c r="BF88" s="4592"/>
      <c r="BG88" s="4592"/>
      <c r="BH88" s="4592"/>
      <c r="BI88" s="4684"/>
      <c r="BJ88" s="4684"/>
      <c r="BK88" s="4687"/>
      <c r="BL88" s="4592"/>
      <c r="BM88" s="4356"/>
      <c r="BN88" s="4592"/>
      <c r="BO88" s="4592"/>
      <c r="BP88" s="4592"/>
      <c r="BQ88" s="4592"/>
      <c r="BR88" s="4597"/>
    </row>
    <row r="89" spans="1:70" s="1798" customFormat="1" ht="81" customHeight="1" x14ac:dyDescent="0.25">
      <c r="A89" s="1940"/>
      <c r="B89" s="775"/>
      <c r="C89" s="775"/>
      <c r="D89" s="1944"/>
      <c r="E89" s="1945"/>
      <c r="F89" s="1946"/>
      <c r="G89" s="4668"/>
      <c r="H89" s="4668"/>
      <c r="I89" s="4506"/>
      <c r="J89" s="4508"/>
      <c r="K89" s="4494"/>
      <c r="L89" s="4494"/>
      <c r="M89" s="4582"/>
      <c r="N89" s="4582"/>
      <c r="O89" s="1942"/>
      <c r="P89" s="4356"/>
      <c r="Q89" s="4494"/>
      <c r="R89" s="4671"/>
      <c r="S89" s="4599"/>
      <c r="T89" s="4494"/>
      <c r="U89" s="4494"/>
      <c r="V89" s="1785" t="s">
        <v>1457</v>
      </c>
      <c r="W89" s="1947">
        <f>0+9000000</f>
        <v>9000000</v>
      </c>
      <c r="X89" s="1947">
        <v>9000000</v>
      </c>
      <c r="Y89" s="1947">
        <v>9000000</v>
      </c>
      <c r="Z89" s="1755">
        <v>20</v>
      </c>
      <c r="AA89" s="1948" t="s">
        <v>323</v>
      </c>
      <c r="AB89" s="4584"/>
      <c r="AC89" s="4567"/>
      <c r="AD89" s="4592"/>
      <c r="AE89" s="4567"/>
      <c r="AF89" s="4592"/>
      <c r="AG89" s="4567"/>
      <c r="AH89" s="4592"/>
      <c r="AI89" s="4567"/>
      <c r="AJ89" s="4592"/>
      <c r="AK89" s="4567"/>
      <c r="AL89" s="4592"/>
      <c r="AM89" s="4567"/>
      <c r="AN89" s="4592"/>
      <c r="AO89" s="4567"/>
      <c r="AP89" s="4592"/>
      <c r="AQ89" s="4567"/>
      <c r="AR89" s="4592"/>
      <c r="AS89" s="4567"/>
      <c r="AT89" s="4592"/>
      <c r="AU89" s="4567"/>
      <c r="AV89" s="4592"/>
      <c r="AW89" s="4567"/>
      <c r="AX89" s="4592"/>
      <c r="AY89" s="4567"/>
      <c r="AZ89" s="4592"/>
      <c r="BA89" s="4554"/>
      <c r="BB89" s="4592"/>
      <c r="BC89" s="4554"/>
      <c r="BD89" s="4592"/>
      <c r="BE89" s="4554"/>
      <c r="BF89" s="4592"/>
      <c r="BG89" s="4567"/>
      <c r="BH89" s="4567"/>
      <c r="BI89" s="4685"/>
      <c r="BJ89" s="4685"/>
      <c r="BK89" s="4688"/>
      <c r="BL89" s="4567"/>
      <c r="BM89" s="4357"/>
      <c r="BN89" s="4567"/>
      <c r="BO89" s="4567"/>
      <c r="BP89" s="4567"/>
      <c r="BQ89" s="4567"/>
      <c r="BR89" s="4597"/>
    </row>
    <row r="90" spans="1:70" s="1798" customFormat="1" ht="15.75" customHeight="1" x14ac:dyDescent="0.25">
      <c r="A90" s="1949"/>
      <c r="B90" s="1950"/>
      <c r="C90" s="1951"/>
      <c r="D90" s="1886">
        <v>7</v>
      </c>
      <c r="E90" s="1887" t="s">
        <v>1458</v>
      </c>
      <c r="F90" s="1887"/>
      <c r="G90" s="1768"/>
      <c r="H90" s="1768"/>
      <c r="I90" s="1768"/>
      <c r="J90" s="1768"/>
      <c r="K90" s="1952"/>
      <c r="L90" s="1952"/>
      <c r="M90" s="1768"/>
      <c r="N90" s="1953"/>
      <c r="O90" s="1954"/>
      <c r="P90" s="1954"/>
      <c r="Q90" s="1955"/>
      <c r="R90" s="1956"/>
      <c r="S90" s="1957"/>
      <c r="T90" s="1952"/>
      <c r="U90" s="1952"/>
      <c r="V90" s="1952"/>
      <c r="W90" s="1952"/>
      <c r="X90" s="1952"/>
      <c r="Y90" s="1952"/>
      <c r="Z90" s="1952"/>
      <c r="AA90" s="1952"/>
      <c r="AB90" s="1954"/>
      <c r="AC90" s="1954"/>
      <c r="AD90" s="1954"/>
      <c r="AE90" s="1954"/>
      <c r="AF90" s="85"/>
      <c r="AG90" s="85"/>
      <c r="AH90" s="85"/>
      <c r="AI90" s="85"/>
      <c r="AJ90" s="85"/>
      <c r="AK90" s="85"/>
      <c r="AL90" s="85"/>
      <c r="AM90" s="85"/>
      <c r="AN90" s="85"/>
      <c r="AO90" s="85"/>
      <c r="AP90" s="85"/>
      <c r="AQ90" s="85"/>
      <c r="AR90" s="85"/>
      <c r="AS90" s="85"/>
      <c r="AT90" s="1958"/>
      <c r="AU90" s="1958"/>
      <c r="AV90" s="1958"/>
      <c r="AW90" s="1958"/>
      <c r="AX90" s="1959"/>
      <c r="AY90" s="1959"/>
      <c r="AZ90" s="1959"/>
      <c r="BA90" s="1959"/>
      <c r="BB90" s="1960"/>
      <c r="BC90" s="1960"/>
      <c r="BD90" s="1959"/>
      <c r="BE90" s="1959"/>
      <c r="BF90" s="1961"/>
      <c r="BG90" s="1961"/>
      <c r="BH90" s="1961"/>
      <c r="BI90" s="1962"/>
      <c r="BJ90" s="1962"/>
      <c r="BK90" s="1961"/>
      <c r="BL90" s="1961"/>
      <c r="BM90" s="1961"/>
      <c r="BN90" s="1961"/>
      <c r="BO90" s="1961"/>
      <c r="BP90" s="1961"/>
      <c r="BQ90" s="1961"/>
      <c r="BR90" s="1963"/>
    </row>
    <row r="91" spans="1:70" s="1798" customFormat="1" ht="15.75" customHeight="1" x14ac:dyDescent="0.25">
      <c r="A91" s="1949"/>
      <c r="B91" s="1950"/>
      <c r="C91" s="1950"/>
      <c r="D91" s="1812"/>
      <c r="E91" s="1813"/>
      <c r="F91" s="1814"/>
      <c r="G91" s="1964">
        <v>23</v>
      </c>
      <c r="H91" s="1965" t="s">
        <v>1459</v>
      </c>
      <c r="I91" s="1966"/>
      <c r="J91" s="1966"/>
      <c r="K91" s="1967"/>
      <c r="L91" s="1967"/>
      <c r="M91" s="1968"/>
      <c r="N91" s="1969"/>
      <c r="O91" s="1848"/>
      <c r="P91" s="1968"/>
      <c r="Q91" s="1970"/>
      <c r="R91" s="1968"/>
      <c r="S91" s="1971"/>
      <c r="T91" s="1967"/>
      <c r="U91" s="1967"/>
      <c r="V91" s="1967"/>
      <c r="W91" s="1967"/>
      <c r="X91" s="1967"/>
      <c r="Y91" s="1967"/>
      <c r="Z91" s="1967"/>
      <c r="AA91" s="1967"/>
      <c r="AB91" s="1967"/>
      <c r="AC91" s="1967"/>
      <c r="AD91" s="1967"/>
      <c r="AE91" s="1968"/>
      <c r="AF91" s="1968"/>
      <c r="AG91" s="1968"/>
      <c r="AH91" s="1968"/>
      <c r="AI91" s="1968"/>
      <c r="AJ91" s="1968"/>
      <c r="AK91" s="1968"/>
      <c r="AL91" s="1968"/>
      <c r="AM91" s="1968"/>
      <c r="AN91" s="1968"/>
      <c r="AO91" s="1968"/>
      <c r="AP91" s="1968"/>
      <c r="AQ91" s="1968"/>
      <c r="AR91" s="1968"/>
      <c r="AS91" s="1968"/>
      <c r="AT91" s="1968"/>
      <c r="AU91" s="1968"/>
      <c r="AV91" s="1968"/>
      <c r="AW91" s="1968"/>
      <c r="AX91" s="1972"/>
      <c r="AY91" s="1972"/>
      <c r="AZ91" s="1972"/>
      <c r="BA91" s="1972"/>
      <c r="BB91" s="1973"/>
      <c r="BC91" s="1973"/>
      <c r="BD91" s="1972"/>
      <c r="BE91" s="1972"/>
      <c r="BF91" s="1972"/>
      <c r="BG91" s="1972"/>
      <c r="BH91" s="1972"/>
      <c r="BI91" s="1974"/>
      <c r="BJ91" s="1974"/>
      <c r="BK91" s="1972"/>
      <c r="BL91" s="1972"/>
      <c r="BM91" s="1972"/>
      <c r="BN91" s="1972"/>
      <c r="BO91" s="1972"/>
      <c r="BP91" s="1972"/>
      <c r="BQ91" s="1972"/>
      <c r="BR91" s="1975"/>
    </row>
    <row r="92" spans="1:70" s="1798" customFormat="1" ht="89.25" customHeight="1" x14ac:dyDescent="0.25">
      <c r="A92" s="1949"/>
      <c r="B92" s="1950"/>
      <c r="C92" s="1950"/>
      <c r="D92" s="1826"/>
      <c r="E92" s="1827"/>
      <c r="F92" s="1828"/>
      <c r="G92" s="1976"/>
      <c r="H92" s="875"/>
      <c r="I92" s="1977"/>
      <c r="J92" s="1881">
        <v>98</v>
      </c>
      <c r="K92" s="1878" t="s">
        <v>1460</v>
      </c>
      <c r="L92" s="1878" t="s">
        <v>1461</v>
      </c>
      <c r="M92" s="1930">
        <v>55</v>
      </c>
      <c r="N92" s="1745">
        <v>160</v>
      </c>
      <c r="O92" s="1942"/>
      <c r="P92" s="4356" t="s">
        <v>1462</v>
      </c>
      <c r="Q92" s="4494" t="s">
        <v>1463</v>
      </c>
      <c r="R92" s="1978">
        <v>0</v>
      </c>
      <c r="S92" s="4599">
        <f>+W94+W96</f>
        <v>0</v>
      </c>
      <c r="T92" s="4494" t="s">
        <v>1464</v>
      </c>
      <c r="U92" s="1878" t="s">
        <v>1465</v>
      </c>
      <c r="V92" s="1753" t="s">
        <v>1466</v>
      </c>
      <c r="W92" s="1933"/>
      <c r="X92" s="1905"/>
      <c r="Y92" s="1905"/>
      <c r="Z92" s="3141"/>
      <c r="AA92" s="4690"/>
      <c r="AB92" s="4461">
        <v>20555</v>
      </c>
      <c r="AC92" s="4462">
        <v>20555</v>
      </c>
      <c r="AD92" s="4461">
        <v>21361</v>
      </c>
      <c r="AE92" s="4462">
        <v>21361</v>
      </c>
      <c r="AF92" s="4689">
        <v>30460</v>
      </c>
      <c r="AG92" s="4553">
        <v>30460</v>
      </c>
      <c r="AH92" s="4689">
        <v>9593</v>
      </c>
      <c r="AI92" s="4553">
        <v>9593</v>
      </c>
      <c r="AJ92" s="4689">
        <v>1762</v>
      </c>
      <c r="AK92" s="4553">
        <v>1762</v>
      </c>
      <c r="AL92" s="4689">
        <v>93</v>
      </c>
      <c r="AM92" s="4553">
        <v>93</v>
      </c>
      <c r="AN92" s="4689">
        <v>238</v>
      </c>
      <c r="AO92" s="4553">
        <v>238</v>
      </c>
      <c r="AP92" s="4689">
        <v>245</v>
      </c>
      <c r="AQ92" s="4553">
        <v>245</v>
      </c>
      <c r="AR92" s="4689">
        <v>0</v>
      </c>
      <c r="AS92" s="4553">
        <v>0</v>
      </c>
      <c r="AT92" s="4689">
        <v>0</v>
      </c>
      <c r="AU92" s="4553">
        <v>0</v>
      </c>
      <c r="AV92" s="4689">
        <v>0</v>
      </c>
      <c r="AW92" s="4553">
        <v>0</v>
      </c>
      <c r="AX92" s="4693">
        <v>0</v>
      </c>
      <c r="AY92" s="4613">
        <v>0</v>
      </c>
      <c r="AZ92" s="4693">
        <v>2629</v>
      </c>
      <c r="BA92" s="4613">
        <v>2629</v>
      </c>
      <c r="BB92" s="4693">
        <v>2665</v>
      </c>
      <c r="BC92" s="4613">
        <v>2665</v>
      </c>
      <c r="BD92" s="4693">
        <v>2683</v>
      </c>
      <c r="BE92" s="4613">
        <v>2683</v>
      </c>
      <c r="BF92" s="4697">
        <v>43946</v>
      </c>
      <c r="BG92" s="4610">
        <v>43946</v>
      </c>
      <c r="BH92" s="4610"/>
      <c r="BI92" s="4601"/>
      <c r="BJ92" s="4601"/>
      <c r="BK92" s="4610"/>
      <c r="BL92" s="4610"/>
      <c r="BM92" s="4610"/>
      <c r="BN92" s="4610"/>
      <c r="BO92" s="4610"/>
      <c r="BP92" s="4610"/>
      <c r="BQ92" s="4610"/>
      <c r="BR92" s="4598" t="s">
        <v>1261</v>
      </c>
    </row>
    <row r="93" spans="1:70" s="1798" customFormat="1" ht="81" customHeight="1" x14ac:dyDescent="0.25">
      <c r="A93" s="1949"/>
      <c r="B93" s="1950"/>
      <c r="C93" s="1950"/>
      <c r="D93" s="1826"/>
      <c r="E93" s="1827"/>
      <c r="F93" s="1828"/>
      <c r="G93" s="875"/>
      <c r="H93" s="875"/>
      <c r="I93" s="1977"/>
      <c r="J93" s="1766">
        <v>99</v>
      </c>
      <c r="K93" s="1866" t="s">
        <v>1467</v>
      </c>
      <c r="L93" s="1866" t="s">
        <v>1468</v>
      </c>
      <c r="M93" s="1934">
        <v>150</v>
      </c>
      <c r="N93" s="1979">
        <v>750</v>
      </c>
      <c r="O93" s="1980"/>
      <c r="P93" s="4356"/>
      <c r="Q93" s="4494"/>
      <c r="R93" s="1981">
        <v>0</v>
      </c>
      <c r="S93" s="4599"/>
      <c r="T93" s="4494"/>
      <c r="U93" s="1866" t="s">
        <v>1469</v>
      </c>
      <c r="V93" s="1982" t="s">
        <v>1470</v>
      </c>
      <c r="W93" s="1905"/>
      <c r="X93" s="1905"/>
      <c r="Y93" s="1905"/>
      <c r="Z93" s="3142"/>
      <c r="AA93" s="4691"/>
      <c r="AB93" s="4461"/>
      <c r="AC93" s="4592"/>
      <c r="AD93" s="4461"/>
      <c r="AE93" s="4592"/>
      <c r="AF93" s="4689"/>
      <c r="AG93" s="4578"/>
      <c r="AH93" s="4689"/>
      <c r="AI93" s="4578"/>
      <c r="AJ93" s="4689"/>
      <c r="AK93" s="4578"/>
      <c r="AL93" s="4689"/>
      <c r="AM93" s="4578"/>
      <c r="AN93" s="4689"/>
      <c r="AO93" s="4578"/>
      <c r="AP93" s="4689"/>
      <c r="AQ93" s="4578"/>
      <c r="AR93" s="4689"/>
      <c r="AS93" s="4578"/>
      <c r="AT93" s="4689"/>
      <c r="AU93" s="4578"/>
      <c r="AV93" s="4689"/>
      <c r="AW93" s="4578"/>
      <c r="AX93" s="4693"/>
      <c r="AY93" s="4614"/>
      <c r="AZ93" s="4693"/>
      <c r="BA93" s="4614"/>
      <c r="BB93" s="4693"/>
      <c r="BC93" s="4614"/>
      <c r="BD93" s="4693"/>
      <c r="BE93" s="4614"/>
      <c r="BF93" s="4697"/>
      <c r="BG93" s="4611"/>
      <c r="BH93" s="4611"/>
      <c r="BI93" s="4602"/>
      <c r="BJ93" s="4602"/>
      <c r="BK93" s="4611"/>
      <c r="BL93" s="4611"/>
      <c r="BM93" s="4611"/>
      <c r="BN93" s="4611"/>
      <c r="BO93" s="4611"/>
      <c r="BP93" s="4611"/>
      <c r="BQ93" s="4611"/>
      <c r="BR93" s="4694"/>
    </row>
    <row r="94" spans="1:70" s="1798" customFormat="1" ht="72" customHeight="1" x14ac:dyDescent="0.25">
      <c r="A94" s="1949"/>
      <c r="B94" s="1950"/>
      <c r="C94" s="1950"/>
      <c r="D94" s="1826"/>
      <c r="E94" s="1827"/>
      <c r="F94" s="1828"/>
      <c r="G94" s="875"/>
      <c r="H94" s="875"/>
      <c r="I94" s="1977"/>
      <c r="J94" s="1766">
        <v>100</v>
      </c>
      <c r="K94" s="1866" t="s">
        <v>1471</v>
      </c>
      <c r="L94" s="1866" t="s">
        <v>1472</v>
      </c>
      <c r="M94" s="1934">
        <v>6</v>
      </c>
      <c r="N94" s="1983">
        <v>11</v>
      </c>
      <c r="O94" s="1942"/>
      <c r="P94" s="4356"/>
      <c r="Q94" s="4494"/>
      <c r="R94" s="1981">
        <v>0</v>
      </c>
      <c r="S94" s="4599"/>
      <c r="T94" s="4494"/>
      <c r="U94" s="1866" t="s">
        <v>1471</v>
      </c>
      <c r="V94" s="1982" t="s">
        <v>1473</v>
      </c>
      <c r="W94" s="1984"/>
      <c r="X94" s="1984"/>
      <c r="Y94" s="1984"/>
      <c r="Z94" s="3142"/>
      <c r="AA94" s="4691"/>
      <c r="AB94" s="4461"/>
      <c r="AC94" s="4592"/>
      <c r="AD94" s="4461"/>
      <c r="AE94" s="4592"/>
      <c r="AF94" s="4689"/>
      <c r="AG94" s="4578"/>
      <c r="AH94" s="4689"/>
      <c r="AI94" s="4578"/>
      <c r="AJ94" s="4689"/>
      <c r="AK94" s="4578"/>
      <c r="AL94" s="4689"/>
      <c r="AM94" s="4578"/>
      <c r="AN94" s="4689"/>
      <c r="AO94" s="4578"/>
      <c r="AP94" s="4689"/>
      <c r="AQ94" s="4578"/>
      <c r="AR94" s="4689"/>
      <c r="AS94" s="4578"/>
      <c r="AT94" s="4689"/>
      <c r="AU94" s="4578"/>
      <c r="AV94" s="4689"/>
      <c r="AW94" s="4578"/>
      <c r="AX94" s="4693"/>
      <c r="AY94" s="4614"/>
      <c r="AZ94" s="4693"/>
      <c r="BA94" s="4614"/>
      <c r="BB94" s="4693"/>
      <c r="BC94" s="4614"/>
      <c r="BD94" s="4693"/>
      <c r="BE94" s="4614"/>
      <c r="BF94" s="4697"/>
      <c r="BG94" s="4611"/>
      <c r="BH94" s="4611"/>
      <c r="BI94" s="4602"/>
      <c r="BJ94" s="4602"/>
      <c r="BK94" s="4611"/>
      <c r="BL94" s="4611"/>
      <c r="BM94" s="4611"/>
      <c r="BN94" s="4611"/>
      <c r="BO94" s="4611"/>
      <c r="BP94" s="4611"/>
      <c r="BQ94" s="4611"/>
      <c r="BR94" s="4694"/>
    </row>
    <row r="95" spans="1:70" s="1798" customFormat="1" ht="49.5" customHeight="1" x14ac:dyDescent="0.25">
      <c r="A95" s="1949"/>
      <c r="B95" s="1950"/>
      <c r="C95" s="1950"/>
      <c r="D95" s="1826"/>
      <c r="E95" s="1827"/>
      <c r="F95" s="1828"/>
      <c r="G95" s="875"/>
      <c r="H95" s="875"/>
      <c r="I95" s="1977"/>
      <c r="J95" s="1766">
        <v>101</v>
      </c>
      <c r="K95" s="1866" t="s">
        <v>1474</v>
      </c>
      <c r="L95" s="1866" t="s">
        <v>1475</v>
      </c>
      <c r="M95" s="1934">
        <v>54</v>
      </c>
      <c r="N95" s="1752">
        <v>0</v>
      </c>
      <c r="O95" s="1942"/>
      <c r="P95" s="4356"/>
      <c r="Q95" s="4494"/>
      <c r="R95" s="1981">
        <v>0</v>
      </c>
      <c r="S95" s="4599"/>
      <c r="T95" s="4494"/>
      <c r="U95" s="1866" t="s">
        <v>1476</v>
      </c>
      <c r="V95" s="1754" t="s">
        <v>1477</v>
      </c>
      <c r="W95" s="1905"/>
      <c r="X95" s="1905"/>
      <c r="Y95" s="1905"/>
      <c r="Z95" s="3142"/>
      <c r="AA95" s="4691"/>
      <c r="AB95" s="4461"/>
      <c r="AC95" s="4592"/>
      <c r="AD95" s="4461"/>
      <c r="AE95" s="4592"/>
      <c r="AF95" s="4689"/>
      <c r="AG95" s="4578"/>
      <c r="AH95" s="4689"/>
      <c r="AI95" s="4578"/>
      <c r="AJ95" s="4689"/>
      <c r="AK95" s="4578"/>
      <c r="AL95" s="4689"/>
      <c r="AM95" s="4578"/>
      <c r="AN95" s="4689"/>
      <c r="AO95" s="4578"/>
      <c r="AP95" s="4689"/>
      <c r="AQ95" s="4578"/>
      <c r="AR95" s="4689"/>
      <c r="AS95" s="4578"/>
      <c r="AT95" s="4689"/>
      <c r="AU95" s="4578"/>
      <c r="AV95" s="4689"/>
      <c r="AW95" s="4578"/>
      <c r="AX95" s="4693"/>
      <c r="AY95" s="4614"/>
      <c r="AZ95" s="4693"/>
      <c r="BA95" s="4614"/>
      <c r="BB95" s="4693"/>
      <c r="BC95" s="4614"/>
      <c r="BD95" s="4693"/>
      <c r="BE95" s="4614"/>
      <c r="BF95" s="4697"/>
      <c r="BG95" s="4611"/>
      <c r="BH95" s="4611"/>
      <c r="BI95" s="4602"/>
      <c r="BJ95" s="4602"/>
      <c r="BK95" s="4611"/>
      <c r="BL95" s="4611"/>
      <c r="BM95" s="4611"/>
      <c r="BN95" s="4611"/>
      <c r="BO95" s="4611"/>
      <c r="BP95" s="4611"/>
      <c r="BQ95" s="4611"/>
      <c r="BR95" s="4694"/>
    </row>
    <row r="96" spans="1:70" s="1798" customFormat="1" ht="60.75" customHeight="1" x14ac:dyDescent="0.25">
      <c r="A96" s="1949"/>
      <c r="B96" s="1950"/>
      <c r="C96" s="1950"/>
      <c r="D96" s="1826"/>
      <c r="E96" s="1827"/>
      <c r="F96" s="1828"/>
      <c r="G96" s="875"/>
      <c r="H96" s="875"/>
      <c r="I96" s="1977"/>
      <c r="J96" s="1913">
        <v>102</v>
      </c>
      <c r="K96" s="1914" t="s">
        <v>1478</v>
      </c>
      <c r="L96" s="1914" t="s">
        <v>1479</v>
      </c>
      <c r="M96" s="1985">
        <v>1</v>
      </c>
      <c r="N96" s="1752">
        <v>0</v>
      </c>
      <c r="O96" s="1942"/>
      <c r="P96" s="4356"/>
      <c r="Q96" s="4494"/>
      <c r="R96" s="1938">
        <v>0</v>
      </c>
      <c r="S96" s="4599"/>
      <c r="T96" s="4494"/>
      <c r="U96" s="1914" t="s">
        <v>1480</v>
      </c>
      <c r="V96" s="1751" t="s">
        <v>1481</v>
      </c>
      <c r="W96" s="1986"/>
      <c r="X96" s="1764"/>
      <c r="Y96" s="1764"/>
      <c r="Z96" s="3166"/>
      <c r="AA96" s="4692"/>
      <c r="AB96" s="4461"/>
      <c r="AC96" s="4567"/>
      <c r="AD96" s="4461"/>
      <c r="AE96" s="4567"/>
      <c r="AF96" s="4689"/>
      <c r="AG96" s="4554"/>
      <c r="AH96" s="4689"/>
      <c r="AI96" s="4554"/>
      <c r="AJ96" s="4689"/>
      <c r="AK96" s="4554"/>
      <c r="AL96" s="4689"/>
      <c r="AM96" s="4554"/>
      <c r="AN96" s="4689"/>
      <c r="AO96" s="4554"/>
      <c r="AP96" s="4689"/>
      <c r="AQ96" s="4554"/>
      <c r="AR96" s="4689"/>
      <c r="AS96" s="4554"/>
      <c r="AT96" s="4689"/>
      <c r="AU96" s="4554"/>
      <c r="AV96" s="4689"/>
      <c r="AW96" s="4554"/>
      <c r="AX96" s="4693"/>
      <c r="AY96" s="4615"/>
      <c r="AZ96" s="4693"/>
      <c r="BA96" s="4615"/>
      <c r="BB96" s="4693"/>
      <c r="BC96" s="4615"/>
      <c r="BD96" s="4693"/>
      <c r="BE96" s="4615"/>
      <c r="BF96" s="4697"/>
      <c r="BG96" s="4612"/>
      <c r="BH96" s="4612"/>
      <c r="BI96" s="4603"/>
      <c r="BJ96" s="4603"/>
      <c r="BK96" s="4612"/>
      <c r="BL96" s="4612"/>
      <c r="BM96" s="4612"/>
      <c r="BN96" s="4612"/>
      <c r="BO96" s="4612"/>
      <c r="BP96" s="4612"/>
      <c r="BQ96" s="4612"/>
      <c r="BR96" s="4596"/>
    </row>
    <row r="97" spans="1:70" s="1798" customFormat="1" ht="16.5" customHeight="1" x14ac:dyDescent="0.25">
      <c r="A97" s="1987"/>
      <c r="B97" s="1988"/>
      <c r="C97" s="1988"/>
      <c r="D97" s="1987"/>
      <c r="E97" s="1988"/>
      <c r="F97" s="1989"/>
      <c r="G97" s="1898">
        <v>24</v>
      </c>
      <c r="H97" s="1767" t="s">
        <v>1482</v>
      </c>
      <c r="I97" s="1767"/>
      <c r="J97" s="1767"/>
      <c r="K97" s="1541"/>
      <c r="L97" s="1541"/>
      <c r="M97" s="1767"/>
      <c r="N97" s="1990"/>
      <c r="O97" s="1542"/>
      <c r="P97" s="1767"/>
      <c r="Q97" s="1545"/>
      <c r="R97" s="1817"/>
      <c r="S97" s="1991"/>
      <c r="T97" s="1541"/>
      <c r="U97" s="1541"/>
      <c r="V97" s="1541"/>
      <c r="W97" s="1541"/>
      <c r="X97" s="1541"/>
      <c r="Y97" s="1541"/>
      <c r="Z97" s="1541"/>
      <c r="AA97" s="1541"/>
      <c r="AB97" s="1767"/>
      <c r="AC97" s="1767"/>
      <c r="AD97" s="1767"/>
      <c r="AE97" s="1767"/>
      <c r="AF97" s="1767"/>
      <c r="AG97" s="1767"/>
      <c r="AH97" s="1767"/>
      <c r="AI97" s="1767"/>
      <c r="AJ97" s="1767"/>
      <c r="AK97" s="1767"/>
      <c r="AL97" s="1767"/>
      <c r="AM97" s="1767"/>
      <c r="AN97" s="1767"/>
      <c r="AO97" s="1767"/>
      <c r="AP97" s="1767"/>
      <c r="AQ97" s="1767"/>
      <c r="AR97" s="1767"/>
      <c r="AS97" s="1767"/>
      <c r="AT97" s="1823"/>
      <c r="AU97" s="1823"/>
      <c r="AV97" s="1823"/>
      <c r="AW97" s="1823"/>
      <c r="AX97" s="1824"/>
      <c r="AY97" s="1824"/>
      <c r="AZ97" s="1824"/>
      <c r="BA97" s="1824"/>
      <c r="BB97" s="1824"/>
      <c r="BC97" s="1824"/>
      <c r="BD97" s="1824"/>
      <c r="BE97" s="1824"/>
      <c r="BF97" s="1824"/>
      <c r="BG97" s="1824"/>
      <c r="BH97" s="1824"/>
      <c r="BI97" s="1851"/>
      <c r="BJ97" s="1851"/>
      <c r="BK97" s="1824"/>
      <c r="BL97" s="1824"/>
      <c r="BM97" s="1824"/>
      <c r="BN97" s="1824"/>
      <c r="BO97" s="1824"/>
      <c r="BP97" s="1824"/>
      <c r="BQ97" s="1824"/>
      <c r="BR97" s="1852"/>
    </row>
    <row r="98" spans="1:70" s="1798" customFormat="1" ht="58.5" customHeight="1" x14ac:dyDescent="0.25">
      <c r="A98" s="1916"/>
      <c r="B98" s="48"/>
      <c r="C98" s="48"/>
      <c r="D98" s="1916"/>
      <c r="E98" s="48"/>
      <c r="F98" s="1992"/>
      <c r="G98" s="875"/>
      <c r="H98" s="875"/>
      <c r="I98" s="1977"/>
      <c r="J98" s="1881">
        <v>103</v>
      </c>
      <c r="K98" s="1878" t="s">
        <v>1483</v>
      </c>
      <c r="L98" s="1878" t="s">
        <v>1484</v>
      </c>
      <c r="M98" s="1930">
        <v>1</v>
      </c>
      <c r="N98" s="1752">
        <v>5</v>
      </c>
      <c r="O98" s="1942"/>
      <c r="P98" s="4355" t="s">
        <v>1485</v>
      </c>
      <c r="Q98" s="4413" t="s">
        <v>1486</v>
      </c>
      <c r="R98" s="1978">
        <f>+W98/S98</f>
        <v>1.3996309129478067E-2</v>
      </c>
      <c r="S98" s="4695">
        <f>SUM(W98:W104)</f>
        <v>709972887</v>
      </c>
      <c r="T98" s="4541" t="s">
        <v>1487</v>
      </c>
      <c r="U98" s="4413" t="s">
        <v>1488</v>
      </c>
      <c r="V98" s="1782" t="s">
        <v>1489</v>
      </c>
      <c r="W98" s="1986">
        <v>9937000</v>
      </c>
      <c r="X98" s="1764"/>
      <c r="Y98" s="1764"/>
      <c r="Z98" s="1760" t="s">
        <v>123</v>
      </c>
      <c r="AA98" s="2024" t="s">
        <v>124</v>
      </c>
      <c r="AB98" s="4363">
        <v>21554</v>
      </c>
      <c r="AC98" s="4355">
        <v>21554</v>
      </c>
      <c r="AD98" s="4355">
        <v>22392</v>
      </c>
      <c r="AE98" s="4355">
        <v>22392</v>
      </c>
      <c r="AF98" s="4355">
        <v>31677</v>
      </c>
      <c r="AG98" s="4355">
        <v>31677</v>
      </c>
      <c r="AH98" s="4355">
        <v>10302</v>
      </c>
      <c r="AI98" s="4355">
        <v>10302</v>
      </c>
      <c r="AJ98" s="4355">
        <v>1874</v>
      </c>
      <c r="AK98" s="4355">
        <v>1874</v>
      </c>
      <c r="AL98" s="4355">
        <v>93</v>
      </c>
      <c r="AM98" s="4355">
        <v>93</v>
      </c>
      <c r="AN98" s="4355">
        <v>238</v>
      </c>
      <c r="AO98" s="4355">
        <v>238</v>
      </c>
      <c r="AP98" s="4355">
        <v>245</v>
      </c>
      <c r="AQ98" s="4355">
        <v>245</v>
      </c>
      <c r="AR98" s="4355">
        <v>0</v>
      </c>
      <c r="AS98" s="4355">
        <v>0</v>
      </c>
      <c r="AT98" s="4355">
        <v>0</v>
      </c>
      <c r="AU98" s="4355">
        <v>0</v>
      </c>
      <c r="AV98" s="4355">
        <v>0</v>
      </c>
      <c r="AW98" s="4355">
        <v>0</v>
      </c>
      <c r="AX98" s="4355">
        <v>0</v>
      </c>
      <c r="AY98" s="4355">
        <v>0</v>
      </c>
      <c r="AZ98" s="4355">
        <v>2629</v>
      </c>
      <c r="BA98" s="4355">
        <v>2629</v>
      </c>
      <c r="BB98" s="4355">
        <v>2629</v>
      </c>
      <c r="BC98" s="4355">
        <v>2629</v>
      </c>
      <c r="BD98" s="4355">
        <v>2683</v>
      </c>
      <c r="BE98" s="4355">
        <v>2683</v>
      </c>
      <c r="BF98" s="4355">
        <v>43946</v>
      </c>
      <c r="BG98" s="4355">
        <v>43946</v>
      </c>
      <c r="BH98" s="4462">
        <v>8</v>
      </c>
      <c r="BI98" s="4683">
        <f>+X99+X100+X102+X103+X104+X106+X107+X108</f>
        <v>1680598796</v>
      </c>
      <c r="BJ98" s="4683">
        <f>+Y99+Y100+Y102+Y103+Y104+Y106+Y107+Y108</f>
        <v>1643136296</v>
      </c>
      <c r="BK98" s="4686">
        <f>+BJ98/BI98</f>
        <v>0.97770883801109187</v>
      </c>
      <c r="BL98" s="4355" t="s">
        <v>1332</v>
      </c>
      <c r="BM98" s="4541" t="s">
        <v>1490</v>
      </c>
      <c r="BN98" s="4434">
        <v>43527</v>
      </c>
      <c r="BO98" s="4434">
        <v>43527</v>
      </c>
      <c r="BP98" s="4462" t="s">
        <v>1491</v>
      </c>
      <c r="BQ98" s="4434">
        <v>43809</v>
      </c>
      <c r="BR98" s="4593" t="s">
        <v>1261</v>
      </c>
    </row>
    <row r="99" spans="1:70" s="1798" customFormat="1" ht="30.75" customHeight="1" x14ac:dyDescent="0.25">
      <c r="A99" s="1916"/>
      <c r="B99" s="48"/>
      <c r="C99" s="48"/>
      <c r="D99" s="1916"/>
      <c r="E99" s="48"/>
      <c r="F99" s="1992"/>
      <c r="G99" s="875"/>
      <c r="H99" s="875"/>
      <c r="I99" s="1977"/>
      <c r="J99" s="4507">
        <v>104</v>
      </c>
      <c r="K99" s="4355" t="s">
        <v>1492</v>
      </c>
      <c r="L99" s="1866" t="s">
        <v>1493</v>
      </c>
      <c r="M99" s="4393">
        <v>50</v>
      </c>
      <c r="N99" s="4555">
        <v>54</v>
      </c>
      <c r="O99" s="4356" t="s">
        <v>1494</v>
      </c>
      <c r="P99" s="4356"/>
      <c r="Q99" s="4494"/>
      <c r="R99" s="4698">
        <f>(+W99+W100)/S98</f>
        <v>3.9936736344693684E-2</v>
      </c>
      <c r="S99" s="4544"/>
      <c r="T99" s="4542"/>
      <c r="U99" s="4494"/>
      <c r="V99" s="4413" t="s">
        <v>1495</v>
      </c>
      <c r="W99" s="1630">
        <v>9937000</v>
      </c>
      <c r="X99" s="2023">
        <v>9924250</v>
      </c>
      <c r="Y99" s="2023">
        <v>9924250</v>
      </c>
      <c r="Z99" s="1760" t="s">
        <v>123</v>
      </c>
      <c r="AA99" s="2024" t="s">
        <v>124</v>
      </c>
      <c r="AB99" s="4369"/>
      <c r="AC99" s="4356"/>
      <c r="AD99" s="4356"/>
      <c r="AE99" s="4356"/>
      <c r="AF99" s="4356"/>
      <c r="AG99" s="4356"/>
      <c r="AH99" s="4356"/>
      <c r="AI99" s="4356"/>
      <c r="AJ99" s="4356"/>
      <c r="AK99" s="4356"/>
      <c r="AL99" s="4356"/>
      <c r="AM99" s="4356"/>
      <c r="AN99" s="4356"/>
      <c r="AO99" s="4356"/>
      <c r="AP99" s="4356"/>
      <c r="AQ99" s="4356"/>
      <c r="AR99" s="4356"/>
      <c r="AS99" s="4356"/>
      <c r="AT99" s="4356"/>
      <c r="AU99" s="4356"/>
      <c r="AV99" s="4356"/>
      <c r="AW99" s="4356"/>
      <c r="AX99" s="4356"/>
      <c r="AY99" s="4356"/>
      <c r="AZ99" s="4356"/>
      <c r="BA99" s="4356"/>
      <c r="BB99" s="4356"/>
      <c r="BC99" s="4356"/>
      <c r="BD99" s="4356"/>
      <c r="BE99" s="4356"/>
      <c r="BF99" s="4356"/>
      <c r="BG99" s="4356"/>
      <c r="BH99" s="4592"/>
      <c r="BI99" s="4684"/>
      <c r="BJ99" s="4684"/>
      <c r="BK99" s="4687"/>
      <c r="BL99" s="4356"/>
      <c r="BM99" s="4542"/>
      <c r="BN99" s="4435"/>
      <c r="BO99" s="4435"/>
      <c r="BP99" s="4592"/>
      <c r="BQ99" s="4435"/>
      <c r="BR99" s="4594"/>
    </row>
    <row r="100" spans="1:70" s="1798" customFormat="1" ht="33.75" customHeight="1" x14ac:dyDescent="0.25">
      <c r="A100" s="1916"/>
      <c r="B100" s="48"/>
      <c r="C100" s="48"/>
      <c r="D100" s="1916"/>
      <c r="E100" s="48"/>
      <c r="F100" s="1992"/>
      <c r="G100" s="875"/>
      <c r="H100" s="875"/>
      <c r="I100" s="1977"/>
      <c r="J100" s="4509"/>
      <c r="K100" s="4357"/>
      <c r="L100" s="1914"/>
      <c r="M100" s="4391"/>
      <c r="N100" s="4551"/>
      <c r="O100" s="4356"/>
      <c r="P100" s="4356"/>
      <c r="Q100" s="4494"/>
      <c r="R100" s="4670"/>
      <c r="S100" s="4544"/>
      <c r="T100" s="4542"/>
      <c r="U100" s="4494"/>
      <c r="V100" s="4424"/>
      <c r="W100" s="2023">
        <f>0+18417000</f>
        <v>18417000</v>
      </c>
      <c r="X100" s="2023">
        <v>14177500</v>
      </c>
      <c r="Y100" s="2023">
        <v>5671000</v>
      </c>
      <c r="Z100" s="1760">
        <v>88</v>
      </c>
      <c r="AA100" s="2024" t="s">
        <v>1496</v>
      </c>
      <c r="AB100" s="4369"/>
      <c r="AC100" s="4356"/>
      <c r="AD100" s="4356"/>
      <c r="AE100" s="4356"/>
      <c r="AF100" s="4356"/>
      <c r="AG100" s="4356"/>
      <c r="AH100" s="4356"/>
      <c r="AI100" s="4356"/>
      <c r="AJ100" s="4356"/>
      <c r="AK100" s="4356"/>
      <c r="AL100" s="4356"/>
      <c r="AM100" s="4356"/>
      <c r="AN100" s="4356"/>
      <c r="AO100" s="4356"/>
      <c r="AP100" s="4356"/>
      <c r="AQ100" s="4356"/>
      <c r="AR100" s="4356"/>
      <c r="AS100" s="4356"/>
      <c r="AT100" s="4356"/>
      <c r="AU100" s="4356"/>
      <c r="AV100" s="4356"/>
      <c r="AW100" s="4356"/>
      <c r="AX100" s="4356"/>
      <c r="AY100" s="4356"/>
      <c r="AZ100" s="4356"/>
      <c r="BA100" s="4356"/>
      <c r="BB100" s="4356"/>
      <c r="BC100" s="4356"/>
      <c r="BD100" s="4356"/>
      <c r="BE100" s="4356"/>
      <c r="BF100" s="4356"/>
      <c r="BG100" s="4356"/>
      <c r="BH100" s="4592"/>
      <c r="BI100" s="4684"/>
      <c r="BJ100" s="4684"/>
      <c r="BK100" s="4687"/>
      <c r="BL100" s="4356"/>
      <c r="BM100" s="4542"/>
      <c r="BN100" s="4435"/>
      <c r="BO100" s="4435"/>
      <c r="BP100" s="4592"/>
      <c r="BQ100" s="4435"/>
      <c r="BR100" s="4594"/>
    </row>
    <row r="101" spans="1:70" s="1798" customFormat="1" ht="47.25" customHeight="1" x14ac:dyDescent="0.25">
      <c r="A101" s="1916"/>
      <c r="B101" s="48"/>
      <c r="C101" s="48"/>
      <c r="D101" s="1916"/>
      <c r="E101" s="48"/>
      <c r="F101" s="1992"/>
      <c r="G101" s="875"/>
      <c r="H101" s="875"/>
      <c r="I101" s="1977"/>
      <c r="J101" s="4507">
        <v>105</v>
      </c>
      <c r="K101" s="4541" t="s">
        <v>1497</v>
      </c>
      <c r="L101" s="1914"/>
      <c r="M101" s="4393">
        <v>47</v>
      </c>
      <c r="N101" s="4393">
        <v>47</v>
      </c>
      <c r="O101" s="4356"/>
      <c r="P101" s="4356"/>
      <c r="Q101" s="4494"/>
      <c r="R101" s="4698">
        <f>(+W101+W102)/S98</f>
        <v>0.87564172996369649</v>
      </c>
      <c r="S101" s="4544"/>
      <c r="T101" s="4542"/>
      <c r="U101" s="4494"/>
      <c r="V101" s="3084" t="s">
        <v>1498</v>
      </c>
      <c r="W101" s="2023">
        <v>9937000</v>
      </c>
      <c r="X101" s="2023"/>
      <c r="Y101" s="2023"/>
      <c r="Z101" s="1760" t="s">
        <v>123</v>
      </c>
      <c r="AA101" s="1773" t="s">
        <v>124</v>
      </c>
      <c r="AB101" s="4369"/>
      <c r="AC101" s="4356"/>
      <c r="AD101" s="4356"/>
      <c r="AE101" s="4356"/>
      <c r="AF101" s="4356"/>
      <c r="AG101" s="4356"/>
      <c r="AH101" s="4356"/>
      <c r="AI101" s="4356"/>
      <c r="AJ101" s="4356"/>
      <c r="AK101" s="4356"/>
      <c r="AL101" s="4356"/>
      <c r="AM101" s="4356"/>
      <c r="AN101" s="4356"/>
      <c r="AO101" s="4356"/>
      <c r="AP101" s="4356"/>
      <c r="AQ101" s="4356"/>
      <c r="AR101" s="4356"/>
      <c r="AS101" s="4356"/>
      <c r="AT101" s="4356"/>
      <c r="AU101" s="4356"/>
      <c r="AV101" s="4356"/>
      <c r="AW101" s="4356"/>
      <c r="AX101" s="4356"/>
      <c r="AY101" s="4356"/>
      <c r="AZ101" s="4356"/>
      <c r="BA101" s="4356"/>
      <c r="BB101" s="4356"/>
      <c r="BC101" s="4356"/>
      <c r="BD101" s="4356"/>
      <c r="BE101" s="4356"/>
      <c r="BF101" s="4356"/>
      <c r="BG101" s="4356"/>
      <c r="BH101" s="4592"/>
      <c r="BI101" s="4684"/>
      <c r="BJ101" s="4684"/>
      <c r="BK101" s="4687"/>
      <c r="BL101" s="4356"/>
      <c r="BM101" s="4542"/>
      <c r="BN101" s="4435"/>
      <c r="BO101" s="4435"/>
      <c r="BP101" s="4592"/>
      <c r="BQ101" s="4435"/>
      <c r="BR101" s="4594"/>
    </row>
    <row r="102" spans="1:70" s="1798" customFormat="1" ht="42.75" customHeight="1" x14ac:dyDescent="0.25">
      <c r="A102" s="1916"/>
      <c r="B102" s="48"/>
      <c r="C102" s="48"/>
      <c r="D102" s="1916"/>
      <c r="E102" s="48"/>
      <c r="F102" s="1992"/>
      <c r="G102" s="875"/>
      <c r="H102" s="875"/>
      <c r="I102" s="1977"/>
      <c r="J102" s="4509"/>
      <c r="K102" s="4543"/>
      <c r="L102" s="1993" t="s">
        <v>1493</v>
      </c>
      <c r="M102" s="4391"/>
      <c r="N102" s="4391"/>
      <c r="O102" s="4356"/>
      <c r="P102" s="4356"/>
      <c r="Q102" s="4494"/>
      <c r="R102" s="4670"/>
      <c r="S102" s="4544"/>
      <c r="T102" s="4542"/>
      <c r="U102" s="4494"/>
      <c r="V102" s="4515"/>
      <c r="W102" s="1864">
        <v>611744887</v>
      </c>
      <c r="X102" s="1864">
        <v>464200520</v>
      </c>
      <c r="Y102" s="1864">
        <v>464200520</v>
      </c>
      <c r="Z102" s="1756">
        <v>88</v>
      </c>
      <c r="AA102" s="1836" t="s">
        <v>1496</v>
      </c>
      <c r="AB102" s="4369"/>
      <c r="AC102" s="4356"/>
      <c r="AD102" s="4356"/>
      <c r="AE102" s="4356"/>
      <c r="AF102" s="4356"/>
      <c r="AG102" s="4356"/>
      <c r="AH102" s="4356"/>
      <c r="AI102" s="4356"/>
      <c r="AJ102" s="4356"/>
      <c r="AK102" s="4356"/>
      <c r="AL102" s="4356"/>
      <c r="AM102" s="4356"/>
      <c r="AN102" s="4356"/>
      <c r="AO102" s="4356"/>
      <c r="AP102" s="4356"/>
      <c r="AQ102" s="4356"/>
      <c r="AR102" s="4356"/>
      <c r="AS102" s="4356"/>
      <c r="AT102" s="4356"/>
      <c r="AU102" s="4356"/>
      <c r="AV102" s="4356"/>
      <c r="AW102" s="4356"/>
      <c r="AX102" s="4356"/>
      <c r="AY102" s="4356"/>
      <c r="AZ102" s="4356"/>
      <c r="BA102" s="4356"/>
      <c r="BB102" s="4356"/>
      <c r="BC102" s="4356"/>
      <c r="BD102" s="4356"/>
      <c r="BE102" s="4356"/>
      <c r="BF102" s="4356"/>
      <c r="BG102" s="4356"/>
      <c r="BH102" s="4592"/>
      <c r="BI102" s="4684"/>
      <c r="BJ102" s="4684"/>
      <c r="BK102" s="4687"/>
      <c r="BL102" s="4356"/>
      <c r="BM102" s="4542"/>
      <c r="BN102" s="4435"/>
      <c r="BO102" s="4435"/>
      <c r="BP102" s="4592"/>
      <c r="BQ102" s="4435"/>
      <c r="BR102" s="4594"/>
    </row>
    <row r="103" spans="1:70" s="1798" customFormat="1" ht="33" customHeight="1" x14ac:dyDescent="0.25">
      <c r="A103" s="1916"/>
      <c r="B103" s="48"/>
      <c r="C103" s="48"/>
      <c r="D103" s="1916"/>
      <c r="E103" s="48"/>
      <c r="F103" s="1992"/>
      <c r="G103" s="875"/>
      <c r="H103" s="875"/>
      <c r="I103" s="1977"/>
      <c r="J103" s="4507">
        <v>106</v>
      </c>
      <c r="K103" s="4541" t="s">
        <v>1499</v>
      </c>
      <c r="L103" s="1993" t="s">
        <v>1500</v>
      </c>
      <c r="M103" s="4507">
        <v>1</v>
      </c>
      <c r="N103" s="4555">
        <v>0.75</v>
      </c>
      <c r="O103" s="4356"/>
      <c r="P103" s="4356"/>
      <c r="Q103" s="4494"/>
      <c r="R103" s="4698">
        <f>(+W103+W104)/S98</f>
        <v>7.0425224562131766E-2</v>
      </c>
      <c r="S103" s="4544"/>
      <c r="T103" s="4542"/>
      <c r="U103" s="4494"/>
      <c r="V103" s="4702" t="s">
        <v>1501</v>
      </c>
      <c r="W103" s="1864">
        <v>15900000</v>
      </c>
      <c r="X103" s="1864">
        <v>14236000</v>
      </c>
      <c r="Y103" s="1864">
        <v>14236000</v>
      </c>
      <c r="Z103" s="1756" t="s">
        <v>123</v>
      </c>
      <c r="AA103" s="1836" t="s">
        <v>124</v>
      </c>
      <c r="AB103" s="4369"/>
      <c r="AC103" s="4356"/>
      <c r="AD103" s="4356"/>
      <c r="AE103" s="4356"/>
      <c r="AF103" s="4356"/>
      <c r="AG103" s="4356"/>
      <c r="AH103" s="4356"/>
      <c r="AI103" s="4356"/>
      <c r="AJ103" s="4356"/>
      <c r="AK103" s="4356"/>
      <c r="AL103" s="4356"/>
      <c r="AM103" s="4356"/>
      <c r="AN103" s="4356"/>
      <c r="AO103" s="4356"/>
      <c r="AP103" s="4356"/>
      <c r="AQ103" s="4356"/>
      <c r="AR103" s="4356"/>
      <c r="AS103" s="4356"/>
      <c r="AT103" s="4356"/>
      <c r="AU103" s="4356"/>
      <c r="AV103" s="4356"/>
      <c r="AW103" s="4356"/>
      <c r="AX103" s="4356"/>
      <c r="AY103" s="4356"/>
      <c r="AZ103" s="4356"/>
      <c r="BA103" s="4356"/>
      <c r="BB103" s="4356"/>
      <c r="BC103" s="4356"/>
      <c r="BD103" s="4356"/>
      <c r="BE103" s="4356"/>
      <c r="BF103" s="4356"/>
      <c r="BG103" s="4356"/>
      <c r="BH103" s="4592"/>
      <c r="BI103" s="4684"/>
      <c r="BJ103" s="4684"/>
      <c r="BK103" s="4687"/>
      <c r="BL103" s="4356"/>
      <c r="BM103" s="4542"/>
      <c r="BN103" s="4435"/>
      <c r="BO103" s="4435"/>
      <c r="BP103" s="4592"/>
      <c r="BQ103" s="4435"/>
      <c r="BR103" s="4594"/>
    </row>
    <row r="104" spans="1:70" s="1798" customFormat="1" ht="45" customHeight="1" thickBot="1" x14ac:dyDescent="0.3">
      <c r="A104" s="1916"/>
      <c r="B104" s="48"/>
      <c r="C104" s="48"/>
      <c r="D104" s="1916"/>
      <c r="E104" s="48"/>
      <c r="F104" s="1992"/>
      <c r="G104" s="875"/>
      <c r="H104" s="875"/>
      <c r="I104" s="875"/>
      <c r="J104" s="4509"/>
      <c r="K104" s="4543"/>
      <c r="L104" s="1993"/>
      <c r="M104" s="4509"/>
      <c r="N104" s="4704"/>
      <c r="O104" s="1781"/>
      <c r="P104" s="1781"/>
      <c r="Q104" s="1790"/>
      <c r="R104" s="4670"/>
      <c r="S104" s="4696"/>
      <c r="T104" s="1995"/>
      <c r="U104" s="1790"/>
      <c r="V104" s="4515"/>
      <c r="W104" s="1996">
        <f>0+34100000</f>
        <v>34100000</v>
      </c>
      <c r="X104" s="1864">
        <v>34100000</v>
      </c>
      <c r="Y104" s="1864">
        <v>5144000</v>
      </c>
      <c r="Z104" s="1756">
        <v>88</v>
      </c>
      <c r="AA104" s="1836" t="s">
        <v>1496</v>
      </c>
      <c r="AB104" s="4370"/>
      <c r="AC104" s="4357"/>
      <c r="AD104" s="4357"/>
      <c r="AE104" s="4357"/>
      <c r="AF104" s="4357"/>
      <c r="AG104" s="4357"/>
      <c r="AH104" s="4357"/>
      <c r="AI104" s="4357"/>
      <c r="AJ104" s="4357"/>
      <c r="AK104" s="4357"/>
      <c r="AL104" s="4357"/>
      <c r="AM104" s="4357"/>
      <c r="AN104" s="4357"/>
      <c r="AO104" s="4357"/>
      <c r="AP104" s="4357"/>
      <c r="AQ104" s="4357"/>
      <c r="AR104" s="4357"/>
      <c r="AS104" s="4357"/>
      <c r="AT104" s="4357"/>
      <c r="AU104" s="4357"/>
      <c r="AV104" s="4357"/>
      <c r="AW104" s="4357"/>
      <c r="AX104" s="4357"/>
      <c r="AY104" s="4357"/>
      <c r="AZ104" s="4357"/>
      <c r="BA104" s="4357"/>
      <c r="BB104" s="4357"/>
      <c r="BC104" s="4357"/>
      <c r="BD104" s="4357"/>
      <c r="BE104" s="4357"/>
      <c r="BF104" s="4357"/>
      <c r="BG104" s="4357"/>
      <c r="BH104" s="4592"/>
      <c r="BI104" s="4684"/>
      <c r="BJ104" s="4684"/>
      <c r="BK104" s="4687"/>
      <c r="BL104" s="4356"/>
      <c r="BM104" s="4542"/>
      <c r="BN104" s="4435"/>
      <c r="BO104" s="4435"/>
      <c r="BP104" s="4592"/>
      <c r="BQ104" s="4435"/>
      <c r="BR104" s="4594"/>
    </row>
    <row r="105" spans="1:70" s="1798" customFormat="1" ht="41.25" customHeight="1" x14ac:dyDescent="0.25">
      <c r="A105" s="1916"/>
      <c r="B105" s="48"/>
      <c r="C105" s="48"/>
      <c r="D105" s="1916"/>
      <c r="E105" s="48"/>
      <c r="F105" s="1992"/>
      <c r="G105" s="875"/>
      <c r="H105" s="875"/>
      <c r="I105" s="875"/>
      <c r="J105" s="3081">
        <v>107</v>
      </c>
      <c r="K105" s="4530" t="s">
        <v>1502</v>
      </c>
      <c r="L105" s="4530" t="s">
        <v>1503</v>
      </c>
      <c r="M105" s="4703">
        <v>1</v>
      </c>
      <c r="N105" s="4550">
        <v>0.75</v>
      </c>
      <c r="O105" s="3232" t="s">
        <v>1504</v>
      </c>
      <c r="P105" s="3081" t="s">
        <v>1505</v>
      </c>
      <c r="Q105" s="3047" t="s">
        <v>1506</v>
      </c>
      <c r="R105" s="4705">
        <f>SUM(W105:W108)/S105</f>
        <v>1</v>
      </c>
      <c r="S105" s="3087">
        <f>SUM(W105:W108)</f>
        <v>1294717884</v>
      </c>
      <c r="T105" s="4530" t="s">
        <v>1487</v>
      </c>
      <c r="U105" s="3047" t="s">
        <v>1488</v>
      </c>
      <c r="V105" s="3084" t="s">
        <v>1507</v>
      </c>
      <c r="W105" s="1630">
        <v>150000000</v>
      </c>
      <c r="X105" s="1998"/>
      <c r="Y105" s="1999"/>
      <c r="Z105" s="1937">
        <v>35</v>
      </c>
      <c r="AA105" s="1774" t="s">
        <v>1508</v>
      </c>
      <c r="AB105" s="3045">
        <v>21554</v>
      </c>
      <c r="AC105" s="3232">
        <v>21554</v>
      </c>
      <c r="AD105" s="3081">
        <v>22392</v>
      </c>
      <c r="AE105" s="4507">
        <v>22392</v>
      </c>
      <c r="AF105" s="3112">
        <v>31677</v>
      </c>
      <c r="AG105" s="3240">
        <v>31677</v>
      </c>
      <c r="AH105" s="3103">
        <v>10302</v>
      </c>
      <c r="AI105" s="3235">
        <v>10302</v>
      </c>
      <c r="AJ105" s="3112">
        <v>15916</v>
      </c>
      <c r="AK105" s="3240">
        <v>15916</v>
      </c>
      <c r="AL105" s="3103">
        <v>15683</v>
      </c>
      <c r="AM105" s="3235">
        <v>15683</v>
      </c>
      <c r="AN105" s="3103">
        <v>238</v>
      </c>
      <c r="AO105" s="3235">
        <v>238</v>
      </c>
      <c r="AP105" s="3112">
        <v>245</v>
      </c>
      <c r="AQ105" s="3240">
        <v>245</v>
      </c>
      <c r="AR105" s="3103">
        <v>0</v>
      </c>
      <c r="AS105" s="3235">
        <v>0</v>
      </c>
      <c r="AT105" s="3103">
        <v>0</v>
      </c>
      <c r="AU105" s="3235">
        <v>0</v>
      </c>
      <c r="AV105" s="3103">
        <v>0</v>
      </c>
      <c r="AW105" s="3235">
        <v>0</v>
      </c>
      <c r="AX105" s="4708">
        <v>0</v>
      </c>
      <c r="AY105" s="4699">
        <v>0</v>
      </c>
      <c r="AZ105" s="4708">
        <v>2629</v>
      </c>
      <c r="BA105" s="4699">
        <v>2629</v>
      </c>
      <c r="BB105" s="4708">
        <v>2665</v>
      </c>
      <c r="BC105" s="4699">
        <v>2665</v>
      </c>
      <c r="BD105" s="4708">
        <v>2683</v>
      </c>
      <c r="BE105" s="4699">
        <v>2683</v>
      </c>
      <c r="BF105" s="4694">
        <v>43946</v>
      </c>
      <c r="BG105" s="4596">
        <v>43946</v>
      </c>
      <c r="BH105" s="4592"/>
      <c r="BI105" s="4684"/>
      <c r="BJ105" s="4684"/>
      <c r="BK105" s="4687"/>
      <c r="BL105" s="4356"/>
      <c r="BM105" s="4542"/>
      <c r="BN105" s="4435"/>
      <c r="BO105" s="4435"/>
      <c r="BP105" s="4592"/>
      <c r="BQ105" s="4435"/>
      <c r="BR105" s="4594"/>
    </row>
    <row r="106" spans="1:70" s="1798" customFormat="1" ht="32.25" customHeight="1" x14ac:dyDescent="0.25">
      <c r="A106" s="1916"/>
      <c r="B106" s="48"/>
      <c r="C106" s="48"/>
      <c r="D106" s="1916"/>
      <c r="E106" s="48"/>
      <c r="F106" s="1992"/>
      <c r="G106" s="875"/>
      <c r="H106" s="875"/>
      <c r="I106" s="875"/>
      <c r="J106" s="3081"/>
      <c r="K106" s="4530"/>
      <c r="L106" s="4530"/>
      <c r="M106" s="4703"/>
      <c r="N106" s="4656"/>
      <c r="O106" s="3233"/>
      <c r="P106" s="3081"/>
      <c r="Q106" s="3047"/>
      <c r="R106" s="4706"/>
      <c r="S106" s="3087"/>
      <c r="T106" s="4530"/>
      <c r="U106" s="3047"/>
      <c r="V106" s="3068"/>
      <c r="W106" s="1630">
        <v>44717884</v>
      </c>
      <c r="X106" s="2000">
        <v>43960526</v>
      </c>
      <c r="Y106" s="2001">
        <v>43960526</v>
      </c>
      <c r="Z106" s="1742">
        <v>20</v>
      </c>
      <c r="AA106" s="2024" t="s">
        <v>1508</v>
      </c>
      <c r="AB106" s="3045"/>
      <c r="AC106" s="3233"/>
      <c r="AD106" s="3081"/>
      <c r="AE106" s="4508"/>
      <c r="AF106" s="3112"/>
      <c r="AG106" s="4639"/>
      <c r="AH106" s="3103"/>
      <c r="AI106" s="3236"/>
      <c r="AJ106" s="3112"/>
      <c r="AK106" s="4639"/>
      <c r="AL106" s="3103"/>
      <c r="AM106" s="3236"/>
      <c r="AN106" s="3103"/>
      <c r="AO106" s="3236"/>
      <c r="AP106" s="3112"/>
      <c r="AQ106" s="4639"/>
      <c r="AR106" s="3103"/>
      <c r="AS106" s="3236"/>
      <c r="AT106" s="3103"/>
      <c r="AU106" s="3236"/>
      <c r="AV106" s="3103"/>
      <c r="AW106" s="3236"/>
      <c r="AX106" s="4708"/>
      <c r="AY106" s="4700"/>
      <c r="AZ106" s="4708"/>
      <c r="BA106" s="4700"/>
      <c r="BB106" s="4708"/>
      <c r="BC106" s="4700"/>
      <c r="BD106" s="4708"/>
      <c r="BE106" s="4700"/>
      <c r="BF106" s="4694"/>
      <c r="BG106" s="4597"/>
      <c r="BH106" s="4592"/>
      <c r="BI106" s="4684"/>
      <c r="BJ106" s="4684"/>
      <c r="BK106" s="4687"/>
      <c r="BL106" s="4356"/>
      <c r="BM106" s="4542"/>
      <c r="BN106" s="4435"/>
      <c r="BO106" s="4435"/>
      <c r="BP106" s="4592"/>
      <c r="BQ106" s="4435"/>
      <c r="BR106" s="4594"/>
    </row>
    <row r="107" spans="1:70" s="1798" customFormat="1" ht="41.25" customHeight="1" x14ac:dyDescent="0.25">
      <c r="A107" s="1916"/>
      <c r="B107" s="48"/>
      <c r="C107" s="48"/>
      <c r="D107" s="2002"/>
      <c r="E107" s="2003"/>
      <c r="F107" s="2004"/>
      <c r="G107" s="875"/>
      <c r="H107" s="875"/>
      <c r="I107" s="875"/>
      <c r="J107" s="3081"/>
      <c r="K107" s="4530"/>
      <c r="L107" s="4530"/>
      <c r="M107" s="4703"/>
      <c r="N107" s="4656"/>
      <c r="O107" s="3233"/>
      <c r="P107" s="3081"/>
      <c r="Q107" s="3047"/>
      <c r="R107" s="4706"/>
      <c r="S107" s="3087"/>
      <c r="T107" s="4530"/>
      <c r="U107" s="3047"/>
      <c r="V107" s="1772" t="s">
        <v>1509</v>
      </c>
      <c r="W107" s="1630">
        <v>1000000000</v>
      </c>
      <c r="X107" s="2000">
        <v>1000000000</v>
      </c>
      <c r="Y107" s="2001">
        <v>1000000000</v>
      </c>
      <c r="Z107" s="1742">
        <v>88</v>
      </c>
      <c r="AA107" s="1836" t="s">
        <v>1496</v>
      </c>
      <c r="AB107" s="3045"/>
      <c r="AC107" s="3233"/>
      <c r="AD107" s="3081"/>
      <c r="AE107" s="4508"/>
      <c r="AF107" s="3112"/>
      <c r="AG107" s="4639"/>
      <c r="AH107" s="3103"/>
      <c r="AI107" s="3236"/>
      <c r="AJ107" s="3112"/>
      <c r="AK107" s="4639"/>
      <c r="AL107" s="3103"/>
      <c r="AM107" s="3236"/>
      <c r="AN107" s="3103"/>
      <c r="AO107" s="3236"/>
      <c r="AP107" s="3112"/>
      <c r="AQ107" s="4639"/>
      <c r="AR107" s="3103"/>
      <c r="AS107" s="3236"/>
      <c r="AT107" s="3103"/>
      <c r="AU107" s="3236"/>
      <c r="AV107" s="3103"/>
      <c r="AW107" s="3236"/>
      <c r="AX107" s="4708"/>
      <c r="AY107" s="4700"/>
      <c r="AZ107" s="4708"/>
      <c r="BA107" s="4700"/>
      <c r="BB107" s="4708"/>
      <c r="BC107" s="4700"/>
      <c r="BD107" s="4708"/>
      <c r="BE107" s="4700"/>
      <c r="BF107" s="4694"/>
      <c r="BG107" s="4597"/>
      <c r="BH107" s="4592"/>
      <c r="BI107" s="4684"/>
      <c r="BJ107" s="4684"/>
      <c r="BK107" s="4687"/>
      <c r="BL107" s="4356"/>
      <c r="BM107" s="4542"/>
      <c r="BN107" s="4435"/>
      <c r="BO107" s="4435"/>
      <c r="BP107" s="4592"/>
      <c r="BQ107" s="4435"/>
      <c r="BR107" s="4594"/>
    </row>
    <row r="108" spans="1:70" s="1798" customFormat="1" ht="76.5" customHeight="1" thickBot="1" x14ac:dyDescent="0.3">
      <c r="A108" s="1916"/>
      <c r="B108" s="48"/>
      <c r="C108" s="48"/>
      <c r="D108" s="48"/>
      <c r="E108" s="48"/>
      <c r="F108" s="48"/>
      <c r="G108" s="875"/>
      <c r="H108" s="875"/>
      <c r="I108" s="875"/>
      <c r="J108" s="3081"/>
      <c r="K108" s="4530"/>
      <c r="L108" s="4530"/>
      <c r="M108" s="4703"/>
      <c r="N108" s="4704"/>
      <c r="O108" s="3234"/>
      <c r="P108" s="3081"/>
      <c r="Q108" s="3047"/>
      <c r="R108" s="4707"/>
      <c r="S108" s="3087"/>
      <c r="T108" s="4530"/>
      <c r="U108" s="3047"/>
      <c r="V108" s="1746" t="s">
        <v>1510</v>
      </c>
      <c r="W108" s="2005">
        <v>100000000</v>
      </c>
      <c r="X108" s="2005">
        <v>100000000</v>
      </c>
      <c r="Y108" s="2005">
        <v>100000000</v>
      </c>
      <c r="Z108" s="1742">
        <v>20</v>
      </c>
      <c r="AA108" s="2024" t="s">
        <v>1511</v>
      </c>
      <c r="AB108" s="3045"/>
      <c r="AC108" s="3234"/>
      <c r="AD108" s="3081"/>
      <c r="AE108" s="4509"/>
      <c r="AF108" s="3112"/>
      <c r="AG108" s="3239"/>
      <c r="AH108" s="3103"/>
      <c r="AI108" s="3237"/>
      <c r="AJ108" s="3112"/>
      <c r="AK108" s="3239"/>
      <c r="AL108" s="3103"/>
      <c r="AM108" s="3237"/>
      <c r="AN108" s="3103"/>
      <c r="AO108" s="3237"/>
      <c r="AP108" s="3112"/>
      <c r="AQ108" s="3239"/>
      <c r="AR108" s="3103"/>
      <c r="AS108" s="3237"/>
      <c r="AT108" s="3103"/>
      <c r="AU108" s="3237"/>
      <c r="AV108" s="3103"/>
      <c r="AW108" s="3237"/>
      <c r="AX108" s="4708"/>
      <c r="AY108" s="4701"/>
      <c r="AZ108" s="4708"/>
      <c r="BA108" s="4701"/>
      <c r="BB108" s="4708"/>
      <c r="BC108" s="4701"/>
      <c r="BD108" s="4708"/>
      <c r="BE108" s="4701"/>
      <c r="BF108" s="4694"/>
      <c r="BG108" s="4598"/>
      <c r="BH108" s="4567"/>
      <c r="BI108" s="4685"/>
      <c r="BJ108" s="4685"/>
      <c r="BK108" s="4688"/>
      <c r="BL108" s="4357"/>
      <c r="BM108" s="4543"/>
      <c r="BN108" s="4616"/>
      <c r="BO108" s="4616"/>
      <c r="BP108" s="4567"/>
      <c r="BQ108" s="4616"/>
      <c r="BR108" s="4595"/>
    </row>
    <row r="109" spans="1:70" s="1798" customFormat="1" ht="15.75" x14ac:dyDescent="0.25">
      <c r="A109" s="1949"/>
      <c r="B109" s="1950"/>
      <c r="C109" s="1951"/>
      <c r="D109" s="1886">
        <v>8</v>
      </c>
      <c r="E109" s="1887" t="s">
        <v>1512</v>
      </c>
      <c r="F109" s="1887"/>
      <c r="G109" s="1803"/>
      <c r="H109" s="1803"/>
      <c r="I109" s="1803"/>
      <c r="J109" s="1887"/>
      <c r="K109" s="806"/>
      <c r="L109" s="806"/>
      <c r="M109" s="44"/>
      <c r="N109" s="2006"/>
      <c r="O109" s="2007"/>
      <c r="P109" s="2007"/>
      <c r="Q109" s="2008"/>
      <c r="R109" s="2009"/>
      <c r="S109" s="2010"/>
      <c r="T109" s="806"/>
      <c r="U109" s="806"/>
      <c r="V109" s="806"/>
      <c r="W109" s="806"/>
      <c r="X109" s="806"/>
      <c r="Y109" s="806"/>
      <c r="Z109" s="806"/>
      <c r="AA109" s="806"/>
      <c r="AB109" s="806"/>
      <c r="AC109" s="806"/>
      <c r="AD109" s="2007"/>
      <c r="AE109" s="2007"/>
      <c r="AF109" s="2011"/>
      <c r="AG109" s="2011"/>
      <c r="AH109" s="2011"/>
      <c r="AI109" s="2011"/>
      <c r="AJ109" s="2011"/>
      <c r="AK109" s="2011"/>
      <c r="AL109" s="2011"/>
      <c r="AM109" s="2011"/>
      <c r="AN109" s="2011"/>
      <c r="AO109" s="2011"/>
      <c r="AP109" s="2011"/>
      <c r="AQ109" s="2011"/>
      <c r="AR109" s="2011"/>
      <c r="AS109" s="2011"/>
      <c r="AT109" s="2012"/>
      <c r="AU109" s="2012"/>
      <c r="AV109" s="2012"/>
      <c r="AW109" s="2012"/>
      <c r="AX109" s="2013"/>
      <c r="AY109" s="2013"/>
      <c r="AZ109" s="2013"/>
      <c r="BA109" s="2013"/>
      <c r="BB109" s="2013"/>
      <c r="BC109" s="2013"/>
      <c r="BD109" s="2013"/>
      <c r="BE109" s="2013"/>
      <c r="BF109" s="2014"/>
      <c r="BG109" s="2014"/>
      <c r="BH109" s="2014"/>
      <c r="BI109" s="2015"/>
      <c r="BJ109" s="2015"/>
      <c r="BK109" s="2014"/>
      <c r="BL109" s="2014"/>
      <c r="BM109" s="2014"/>
      <c r="BN109" s="2014"/>
      <c r="BO109" s="2014"/>
      <c r="BP109" s="2014"/>
      <c r="BQ109" s="2014"/>
      <c r="BR109" s="2016"/>
    </row>
    <row r="110" spans="1:70" s="1798" customFormat="1" ht="15.75" x14ac:dyDescent="0.25">
      <c r="A110" s="1949"/>
      <c r="B110" s="1950"/>
      <c r="C110" s="1950"/>
      <c r="D110" s="2017"/>
      <c r="E110" s="2018"/>
      <c r="F110" s="2019"/>
      <c r="G110" s="1898">
        <v>25</v>
      </c>
      <c r="H110" s="1767" t="s">
        <v>1513</v>
      </c>
      <c r="I110" s="1767"/>
      <c r="J110" s="1767"/>
      <c r="K110" s="1541"/>
      <c r="L110" s="1541"/>
      <c r="M110" s="814"/>
      <c r="N110" s="1990"/>
      <c r="O110" s="1542"/>
      <c r="P110" s="814"/>
      <c r="Q110" s="1545"/>
      <c r="R110" s="814"/>
      <c r="S110" s="1849"/>
      <c r="T110" s="1541"/>
      <c r="U110" s="1541"/>
      <c r="V110" s="1541"/>
      <c r="W110" s="1541"/>
      <c r="X110" s="1541"/>
      <c r="Y110" s="1541"/>
      <c r="Z110" s="1541"/>
      <c r="AA110" s="1541"/>
      <c r="AB110" s="1541"/>
      <c r="AC110" s="1541"/>
      <c r="AD110" s="814"/>
      <c r="AE110" s="814"/>
      <c r="AF110" s="814"/>
      <c r="AG110" s="814"/>
      <c r="AH110" s="814"/>
      <c r="AI110" s="814"/>
      <c r="AJ110" s="814"/>
      <c r="AK110" s="814"/>
      <c r="AL110" s="814"/>
      <c r="AM110" s="814"/>
      <c r="AN110" s="814"/>
      <c r="AO110" s="814"/>
      <c r="AP110" s="814"/>
      <c r="AQ110" s="814"/>
      <c r="AR110" s="814"/>
      <c r="AS110" s="814"/>
      <c r="AT110" s="814"/>
      <c r="AU110" s="814"/>
      <c r="AV110" s="814"/>
      <c r="AW110" s="814"/>
      <c r="AX110" s="1824"/>
      <c r="AY110" s="1824"/>
      <c r="AZ110" s="1824"/>
      <c r="BA110" s="1824"/>
      <c r="BB110" s="1824"/>
      <c r="BC110" s="1824"/>
      <c r="BD110" s="1824"/>
      <c r="BE110" s="1824"/>
      <c r="BF110" s="1824"/>
      <c r="BG110" s="1824"/>
      <c r="BH110" s="1824"/>
      <c r="BI110" s="1851"/>
      <c r="BJ110" s="1851"/>
      <c r="BK110" s="1824"/>
      <c r="BL110" s="1824"/>
      <c r="BM110" s="1824"/>
      <c r="BN110" s="1824"/>
      <c r="BO110" s="1824"/>
      <c r="BP110" s="1824"/>
      <c r="BQ110" s="1824"/>
      <c r="BR110" s="1852"/>
    </row>
    <row r="111" spans="1:70" s="1798" customFormat="1" ht="36.75" customHeight="1" x14ac:dyDescent="0.25">
      <c r="A111" s="1949"/>
      <c r="B111" s="1950"/>
      <c r="C111" s="1950"/>
      <c r="D111" s="2020"/>
      <c r="E111" s="2021"/>
      <c r="F111" s="2022"/>
      <c r="G111" s="860"/>
      <c r="H111" s="860"/>
      <c r="I111" s="860"/>
      <c r="J111" s="4507">
        <v>108</v>
      </c>
      <c r="K111" s="4541" t="s">
        <v>1514</v>
      </c>
      <c r="L111" s="4541" t="s">
        <v>1515</v>
      </c>
      <c r="M111" s="4653">
        <v>4</v>
      </c>
      <c r="N111" s="4553">
        <v>0</v>
      </c>
      <c r="O111" s="4355" t="s">
        <v>1516</v>
      </c>
      <c r="P111" s="4355" t="s">
        <v>1517</v>
      </c>
      <c r="Q111" s="4494" t="s">
        <v>1518</v>
      </c>
      <c r="R111" s="4698">
        <f>(+W111+W112)/S111</f>
        <v>0.27072585259981274</v>
      </c>
      <c r="S111" s="4544">
        <f>+W111+W113</f>
        <v>36705028</v>
      </c>
      <c r="T111" s="4494" t="s">
        <v>1519</v>
      </c>
      <c r="U111" s="4413" t="s">
        <v>1520</v>
      </c>
      <c r="V111" s="3084" t="s">
        <v>1521</v>
      </c>
      <c r="W111" s="4709">
        <v>9937000</v>
      </c>
      <c r="X111" s="4709"/>
      <c r="Y111" s="4709"/>
      <c r="Z111" s="3106">
        <v>20</v>
      </c>
      <c r="AA111" s="4711" t="s">
        <v>69</v>
      </c>
      <c r="AB111" s="4462">
        <v>21554</v>
      </c>
      <c r="AC111" s="4462">
        <v>21554</v>
      </c>
      <c r="AD111" s="4462">
        <v>22392</v>
      </c>
      <c r="AE111" s="4462">
        <v>22392</v>
      </c>
      <c r="AF111" s="4462">
        <v>31677</v>
      </c>
      <c r="AG111" s="4462">
        <v>31677</v>
      </c>
      <c r="AH111" s="4462">
        <v>10302</v>
      </c>
      <c r="AI111" s="4462">
        <v>10302</v>
      </c>
      <c r="AJ111" s="4462">
        <v>15916</v>
      </c>
      <c r="AK111" s="4462">
        <v>15916</v>
      </c>
      <c r="AL111" s="4462">
        <v>15683</v>
      </c>
      <c r="AM111" s="4462">
        <v>15683</v>
      </c>
      <c r="AN111" s="4462">
        <v>238</v>
      </c>
      <c r="AO111" s="4462">
        <v>238</v>
      </c>
      <c r="AP111" s="4462">
        <v>245</v>
      </c>
      <c r="AQ111" s="4462">
        <v>245</v>
      </c>
      <c r="AR111" s="4462">
        <v>0</v>
      </c>
      <c r="AS111" s="4462">
        <v>0</v>
      </c>
      <c r="AT111" s="4462">
        <v>0</v>
      </c>
      <c r="AU111" s="4462">
        <v>0</v>
      </c>
      <c r="AV111" s="4462">
        <v>0</v>
      </c>
      <c r="AW111" s="4462">
        <v>0</v>
      </c>
      <c r="AX111" s="4462">
        <v>0</v>
      </c>
      <c r="AY111" s="4462">
        <v>0</v>
      </c>
      <c r="AZ111" s="4462">
        <v>2629</v>
      </c>
      <c r="BA111" s="4462">
        <v>2629</v>
      </c>
      <c r="BB111" s="4462">
        <v>2665</v>
      </c>
      <c r="BC111" s="4462">
        <v>2665</v>
      </c>
      <c r="BD111" s="4462">
        <v>2683</v>
      </c>
      <c r="BE111" s="4462">
        <v>2683</v>
      </c>
      <c r="BF111" s="4462">
        <v>43946</v>
      </c>
      <c r="BG111" s="4462">
        <v>43946</v>
      </c>
      <c r="BH111" s="1776"/>
      <c r="BI111" s="2025"/>
      <c r="BJ111" s="2025"/>
      <c r="BK111" s="1776"/>
      <c r="BL111" s="1776"/>
      <c r="BM111" s="1776"/>
      <c r="BN111" s="4593"/>
      <c r="BO111" s="4593"/>
      <c r="BP111" s="4593"/>
      <c r="BQ111" s="4593"/>
      <c r="BR111" s="4596" t="s">
        <v>1261</v>
      </c>
    </row>
    <row r="112" spans="1:70" s="1798" customFormat="1" ht="36" customHeight="1" x14ac:dyDescent="0.25">
      <c r="A112" s="1949"/>
      <c r="B112" s="1950"/>
      <c r="C112" s="1950"/>
      <c r="D112" s="2020"/>
      <c r="E112" s="2021"/>
      <c r="F112" s="2022"/>
      <c r="G112" s="860"/>
      <c r="H112" s="860"/>
      <c r="I112" s="860"/>
      <c r="J112" s="4509"/>
      <c r="K112" s="4543"/>
      <c r="L112" s="4543"/>
      <c r="M112" s="4655"/>
      <c r="N112" s="4554"/>
      <c r="O112" s="4356"/>
      <c r="P112" s="4356"/>
      <c r="Q112" s="4494"/>
      <c r="R112" s="4670"/>
      <c r="S112" s="4544"/>
      <c r="T112" s="4494"/>
      <c r="U112" s="4424"/>
      <c r="V112" s="3068"/>
      <c r="W112" s="4710"/>
      <c r="X112" s="4710"/>
      <c r="Y112" s="4710"/>
      <c r="Z112" s="3106"/>
      <c r="AA112" s="4711"/>
      <c r="AB112" s="4592"/>
      <c r="AC112" s="4592"/>
      <c r="AD112" s="4592"/>
      <c r="AE112" s="4592"/>
      <c r="AF112" s="4592"/>
      <c r="AG112" s="4592"/>
      <c r="AH112" s="4592"/>
      <c r="AI112" s="4592"/>
      <c r="AJ112" s="4592"/>
      <c r="AK112" s="4592"/>
      <c r="AL112" s="4592"/>
      <c r="AM112" s="4592"/>
      <c r="AN112" s="4592"/>
      <c r="AO112" s="4592"/>
      <c r="AP112" s="4592"/>
      <c r="AQ112" s="4592"/>
      <c r="AR112" s="4592"/>
      <c r="AS112" s="4592"/>
      <c r="AT112" s="4592"/>
      <c r="AU112" s="4592"/>
      <c r="AV112" s="4592"/>
      <c r="AW112" s="4592"/>
      <c r="AX112" s="4592"/>
      <c r="AY112" s="4592"/>
      <c r="AZ112" s="4592"/>
      <c r="BA112" s="4592"/>
      <c r="BB112" s="4592"/>
      <c r="BC112" s="4592"/>
      <c r="BD112" s="4592"/>
      <c r="BE112" s="4592"/>
      <c r="BF112" s="4592"/>
      <c r="BG112" s="4592"/>
      <c r="BH112" s="1942"/>
      <c r="BI112" s="2027"/>
      <c r="BJ112" s="2027"/>
      <c r="BK112" s="1942"/>
      <c r="BL112" s="1942"/>
      <c r="BM112" s="1942"/>
      <c r="BN112" s="4594"/>
      <c r="BO112" s="4594"/>
      <c r="BP112" s="4594"/>
      <c r="BQ112" s="4594"/>
      <c r="BR112" s="4597"/>
    </row>
    <row r="113" spans="1:70" s="1798" customFormat="1" ht="95.25" customHeight="1" x14ac:dyDescent="0.25">
      <c r="A113" s="1949"/>
      <c r="B113" s="1950"/>
      <c r="C113" s="1950"/>
      <c r="D113" s="2020"/>
      <c r="E113" s="2021"/>
      <c r="F113" s="2022"/>
      <c r="G113" s="860"/>
      <c r="H113" s="860"/>
      <c r="I113" s="860"/>
      <c r="J113" s="1913">
        <v>109</v>
      </c>
      <c r="K113" s="1914" t="s">
        <v>1522</v>
      </c>
      <c r="L113" s="1914" t="s">
        <v>1523</v>
      </c>
      <c r="M113" s="1929">
        <v>52</v>
      </c>
      <c r="N113" s="2028">
        <v>0</v>
      </c>
      <c r="O113" s="4357"/>
      <c r="P113" s="4357"/>
      <c r="Q113" s="4494"/>
      <c r="R113" s="1787">
        <f>(W113)/S111</f>
        <v>0.72927414740018726</v>
      </c>
      <c r="S113" s="4544"/>
      <c r="T113" s="4494"/>
      <c r="U113" s="1914" t="s">
        <v>1524</v>
      </c>
      <c r="V113" s="1915" t="s">
        <v>1525</v>
      </c>
      <c r="W113" s="2023">
        <v>26768028</v>
      </c>
      <c r="X113" s="2023"/>
      <c r="Y113" s="2023"/>
      <c r="Z113" s="1742">
        <v>20</v>
      </c>
      <c r="AA113" s="2024" t="s">
        <v>124</v>
      </c>
      <c r="AB113" s="4567"/>
      <c r="AC113" s="4567"/>
      <c r="AD113" s="4567"/>
      <c r="AE113" s="4567"/>
      <c r="AF113" s="4567"/>
      <c r="AG113" s="4567"/>
      <c r="AH113" s="4567"/>
      <c r="AI113" s="4567"/>
      <c r="AJ113" s="4567"/>
      <c r="AK113" s="4567"/>
      <c r="AL113" s="4567"/>
      <c r="AM113" s="4567"/>
      <c r="AN113" s="4567"/>
      <c r="AO113" s="4567"/>
      <c r="AP113" s="4567"/>
      <c r="AQ113" s="4567"/>
      <c r="AR113" s="4567"/>
      <c r="AS113" s="4567"/>
      <c r="AT113" s="4567"/>
      <c r="AU113" s="4567"/>
      <c r="AV113" s="4567"/>
      <c r="AW113" s="4567"/>
      <c r="AX113" s="4567"/>
      <c r="AY113" s="4567"/>
      <c r="AZ113" s="4567"/>
      <c r="BA113" s="4567"/>
      <c r="BB113" s="4567"/>
      <c r="BC113" s="4567"/>
      <c r="BD113" s="4567"/>
      <c r="BE113" s="4567"/>
      <c r="BF113" s="4567"/>
      <c r="BG113" s="4567"/>
      <c r="BH113" s="1942"/>
      <c r="BI113" s="2027"/>
      <c r="BJ113" s="2027"/>
      <c r="BK113" s="1942"/>
      <c r="BL113" s="1942"/>
      <c r="BM113" s="1942"/>
      <c r="BN113" s="4595"/>
      <c r="BO113" s="4595"/>
      <c r="BP113" s="4595"/>
      <c r="BQ113" s="4595"/>
      <c r="BR113" s="4598"/>
    </row>
    <row r="114" spans="1:70" s="1798" customFormat="1" ht="16.5" thickBot="1" x14ac:dyDescent="0.3">
      <c r="A114" s="1987"/>
      <c r="B114" s="1988"/>
      <c r="C114" s="1988"/>
      <c r="D114" s="1987"/>
      <c r="E114" s="1988"/>
      <c r="F114" s="1989"/>
      <c r="G114" s="1898">
        <v>26</v>
      </c>
      <c r="H114" s="1767" t="s">
        <v>1526</v>
      </c>
      <c r="I114" s="1767"/>
      <c r="J114" s="1767"/>
      <c r="K114" s="1541"/>
      <c r="L114" s="1541"/>
      <c r="M114" s="814"/>
      <c r="N114" s="2029"/>
      <c r="O114" s="1542"/>
      <c r="P114" s="814"/>
      <c r="Q114" s="1545"/>
      <c r="R114" s="814"/>
      <c r="S114" s="1849"/>
      <c r="T114" s="1541"/>
      <c r="U114" s="1541"/>
      <c r="V114" s="1541"/>
      <c r="W114" s="1541"/>
      <c r="X114" s="1541"/>
      <c r="Y114" s="1541"/>
      <c r="Z114" s="1541"/>
      <c r="AA114" s="1541"/>
      <c r="AB114" s="1541"/>
      <c r="AC114" s="1541"/>
      <c r="AD114" s="1541"/>
      <c r="AE114" s="1541"/>
      <c r="AF114" s="814"/>
      <c r="AG114" s="814"/>
      <c r="AH114" s="814"/>
      <c r="AI114" s="814"/>
      <c r="AJ114" s="814"/>
      <c r="AK114" s="814"/>
      <c r="AL114" s="814"/>
      <c r="AM114" s="814"/>
      <c r="AN114" s="814"/>
      <c r="AO114" s="814"/>
      <c r="AP114" s="814"/>
      <c r="AQ114" s="814"/>
      <c r="AR114" s="814"/>
      <c r="AS114" s="814"/>
      <c r="AT114" s="814"/>
      <c r="AU114" s="814"/>
      <c r="AV114" s="814"/>
      <c r="AW114" s="814"/>
      <c r="AX114" s="1824"/>
      <c r="AY114" s="1824"/>
      <c r="AZ114" s="1824"/>
      <c r="BA114" s="1824"/>
      <c r="BB114" s="1824"/>
      <c r="BC114" s="1824"/>
      <c r="BD114" s="1824"/>
      <c r="BE114" s="1824"/>
      <c r="BF114" s="1824"/>
      <c r="BG114" s="1824"/>
      <c r="BH114" s="1824"/>
      <c r="BI114" s="1851"/>
      <c r="BJ114" s="1851"/>
      <c r="BK114" s="1824"/>
      <c r="BL114" s="1824"/>
      <c r="BM114" s="1824"/>
      <c r="BN114" s="1824"/>
      <c r="BO114" s="1824"/>
      <c r="BP114" s="1824"/>
      <c r="BQ114" s="1824"/>
      <c r="BR114" s="1852"/>
    </row>
    <row r="115" spans="1:70" s="1798" customFormat="1" ht="53.25" customHeight="1" x14ac:dyDescent="0.25">
      <c r="A115" s="1949" t="s">
        <v>565</v>
      </c>
      <c r="B115" s="1950"/>
      <c r="C115" s="1950"/>
      <c r="D115" s="1949"/>
      <c r="E115" s="1950"/>
      <c r="F115" s="1951"/>
      <c r="G115" s="4354"/>
      <c r="H115" s="1778"/>
      <c r="I115" s="4354"/>
      <c r="J115" s="3045">
        <v>110</v>
      </c>
      <c r="K115" s="4358" t="s">
        <v>1527</v>
      </c>
      <c r="L115" s="4354" t="s">
        <v>1528</v>
      </c>
      <c r="M115" s="4715">
        <v>200</v>
      </c>
      <c r="N115" s="4716">
        <v>268</v>
      </c>
      <c r="O115" s="4354" t="s">
        <v>1529</v>
      </c>
      <c r="P115" s="4354" t="s">
        <v>1530</v>
      </c>
      <c r="Q115" s="4358" t="s">
        <v>1531</v>
      </c>
      <c r="R115" s="4712">
        <f>(+W115+W116+W117)/S115</f>
        <v>1</v>
      </c>
      <c r="S115" s="4713">
        <f>+W115+W116+W117</f>
        <v>706195624</v>
      </c>
      <c r="T115" s="4714" t="s">
        <v>1532</v>
      </c>
      <c r="U115" s="4358" t="s">
        <v>1533</v>
      </c>
      <c r="V115" s="3047" t="s">
        <v>1534</v>
      </c>
      <c r="W115" s="1630">
        <f>600000000+56195624</f>
        <v>656195624</v>
      </c>
      <c r="X115" s="1630">
        <v>285612138</v>
      </c>
      <c r="Y115" s="1630"/>
      <c r="Z115" s="1742">
        <v>25</v>
      </c>
      <c r="AA115" s="2024" t="s">
        <v>1535</v>
      </c>
      <c r="AB115" s="4462">
        <v>21554</v>
      </c>
      <c r="AC115" s="4462">
        <v>21554</v>
      </c>
      <c r="AD115" s="4462">
        <v>22392</v>
      </c>
      <c r="AE115" s="4462">
        <v>22392</v>
      </c>
      <c r="AF115" s="4462">
        <v>31677</v>
      </c>
      <c r="AG115" s="4462">
        <v>31677</v>
      </c>
      <c r="AH115" s="4462">
        <v>10302</v>
      </c>
      <c r="AI115" s="4462">
        <v>10302</v>
      </c>
      <c r="AJ115" s="4462">
        <v>15916</v>
      </c>
      <c r="AK115" s="4462">
        <v>15916</v>
      </c>
      <c r="AL115" s="4462">
        <v>15683</v>
      </c>
      <c r="AM115" s="4462">
        <v>15683</v>
      </c>
      <c r="AN115" s="4462">
        <v>238</v>
      </c>
      <c r="AO115" s="4462">
        <v>238</v>
      </c>
      <c r="AP115" s="4462">
        <v>245</v>
      </c>
      <c r="AQ115" s="4462">
        <v>245</v>
      </c>
      <c r="AR115" s="4462">
        <v>0</v>
      </c>
      <c r="AS115" s="4462">
        <v>0</v>
      </c>
      <c r="AT115" s="4462">
        <v>0</v>
      </c>
      <c r="AU115" s="4462">
        <v>0</v>
      </c>
      <c r="AV115" s="4462">
        <v>0</v>
      </c>
      <c r="AW115" s="4462">
        <v>0</v>
      </c>
      <c r="AX115" s="4462">
        <v>0</v>
      </c>
      <c r="AY115" s="4462">
        <v>0</v>
      </c>
      <c r="AZ115" s="4462">
        <v>2629</v>
      </c>
      <c r="BA115" s="4462">
        <v>2629</v>
      </c>
      <c r="BB115" s="4462">
        <v>2665</v>
      </c>
      <c r="BC115" s="4462">
        <v>2665</v>
      </c>
      <c r="BD115" s="4462">
        <v>2683</v>
      </c>
      <c r="BE115" s="4462">
        <v>2683</v>
      </c>
      <c r="BF115" s="4462">
        <v>43946</v>
      </c>
      <c r="BG115" s="4462">
        <v>43946</v>
      </c>
      <c r="BH115" s="4462">
        <v>5</v>
      </c>
      <c r="BI115" s="4719">
        <f>+X115+X116+X117</f>
        <v>315856138</v>
      </c>
      <c r="BJ115" s="4719">
        <v>15670000</v>
      </c>
      <c r="BK115" s="4722">
        <f>+BJ115/BI115</f>
        <v>4.9611193561798064E-2</v>
      </c>
      <c r="BL115" s="3110" t="s">
        <v>1536</v>
      </c>
      <c r="BM115" s="3110" t="s">
        <v>1537</v>
      </c>
      <c r="BN115" s="4729">
        <v>43509</v>
      </c>
      <c r="BO115" s="4729">
        <v>43509</v>
      </c>
      <c r="BP115" s="4729">
        <v>43782</v>
      </c>
      <c r="BQ115" s="4729">
        <v>43782</v>
      </c>
      <c r="BR115" s="4725" t="s">
        <v>1261</v>
      </c>
    </row>
    <row r="116" spans="1:70" s="1798" customFormat="1" ht="53.25" customHeight="1" x14ac:dyDescent="0.25">
      <c r="A116" s="1949"/>
      <c r="B116" s="1950"/>
      <c r="C116" s="1950"/>
      <c r="D116" s="1949"/>
      <c r="E116" s="1950"/>
      <c r="F116" s="1951"/>
      <c r="G116" s="4354"/>
      <c r="H116" s="1778"/>
      <c r="I116" s="4354"/>
      <c r="J116" s="3045"/>
      <c r="K116" s="4358"/>
      <c r="L116" s="4354"/>
      <c r="M116" s="4715"/>
      <c r="N116" s="4717"/>
      <c r="O116" s="4354"/>
      <c r="P116" s="4354"/>
      <c r="Q116" s="4358"/>
      <c r="R116" s="4712"/>
      <c r="S116" s="4713"/>
      <c r="T116" s="4714"/>
      <c r="U116" s="4358"/>
      <c r="V116" s="3047"/>
      <c r="W116" s="1630">
        <v>10000000</v>
      </c>
      <c r="X116" s="1630">
        <v>10000000</v>
      </c>
      <c r="Y116" s="1630">
        <v>10000000</v>
      </c>
      <c r="Z116" s="1760">
        <v>20</v>
      </c>
      <c r="AA116" s="1773" t="s">
        <v>124</v>
      </c>
      <c r="AB116" s="4592"/>
      <c r="AC116" s="4592"/>
      <c r="AD116" s="4592"/>
      <c r="AE116" s="4592"/>
      <c r="AF116" s="4592"/>
      <c r="AG116" s="4592"/>
      <c r="AH116" s="4592"/>
      <c r="AI116" s="4592"/>
      <c r="AJ116" s="4592"/>
      <c r="AK116" s="4592"/>
      <c r="AL116" s="4592"/>
      <c r="AM116" s="4592"/>
      <c r="AN116" s="4592"/>
      <c r="AO116" s="4592"/>
      <c r="AP116" s="4592"/>
      <c r="AQ116" s="4592"/>
      <c r="AR116" s="4592"/>
      <c r="AS116" s="4592"/>
      <c r="AT116" s="4592"/>
      <c r="AU116" s="4592"/>
      <c r="AV116" s="4592"/>
      <c r="AW116" s="4592"/>
      <c r="AX116" s="4592"/>
      <c r="AY116" s="4592"/>
      <c r="AZ116" s="4592"/>
      <c r="BA116" s="4592"/>
      <c r="BB116" s="4592"/>
      <c r="BC116" s="4592"/>
      <c r="BD116" s="4592"/>
      <c r="BE116" s="4592"/>
      <c r="BF116" s="4592"/>
      <c r="BG116" s="4592"/>
      <c r="BH116" s="4592"/>
      <c r="BI116" s="4720"/>
      <c r="BJ116" s="4720"/>
      <c r="BK116" s="4723"/>
      <c r="BL116" s="4727"/>
      <c r="BM116" s="3111"/>
      <c r="BN116" s="4727"/>
      <c r="BO116" s="4727"/>
      <c r="BP116" s="4727"/>
      <c r="BQ116" s="4727"/>
      <c r="BR116" s="4726"/>
    </row>
    <row r="117" spans="1:70" s="1798" customFormat="1" ht="48.75" customHeight="1" thickBot="1" x14ac:dyDescent="0.3">
      <c r="A117" s="1949"/>
      <c r="B117" s="1950"/>
      <c r="C117" s="1950"/>
      <c r="D117" s="1949"/>
      <c r="E117" s="1950"/>
      <c r="F117" s="1951"/>
      <c r="G117" s="4354"/>
      <c r="H117" s="1778"/>
      <c r="I117" s="4354"/>
      <c r="J117" s="3045"/>
      <c r="K117" s="4358"/>
      <c r="L117" s="4354"/>
      <c r="M117" s="4715"/>
      <c r="N117" s="4718"/>
      <c r="O117" s="4354"/>
      <c r="P117" s="4354"/>
      <c r="Q117" s="4358"/>
      <c r="R117" s="4712"/>
      <c r="S117" s="4713"/>
      <c r="T117" s="4714"/>
      <c r="U117" s="4358"/>
      <c r="V117" s="3047"/>
      <c r="W117" s="1630">
        <v>40000000</v>
      </c>
      <c r="X117" s="1630">
        <v>20244000</v>
      </c>
      <c r="Y117" s="1630">
        <v>5670000</v>
      </c>
      <c r="Z117" s="2030">
        <v>88</v>
      </c>
      <c r="AA117" s="1842" t="s">
        <v>451</v>
      </c>
      <c r="AB117" s="4585"/>
      <c r="AC117" s="4567"/>
      <c r="AD117" s="4567"/>
      <c r="AE117" s="4567"/>
      <c r="AF117" s="4567"/>
      <c r="AG117" s="4567"/>
      <c r="AH117" s="4567"/>
      <c r="AI117" s="4567"/>
      <c r="AJ117" s="4567"/>
      <c r="AK117" s="4567"/>
      <c r="AL117" s="4567"/>
      <c r="AM117" s="4567"/>
      <c r="AN117" s="4567"/>
      <c r="AO117" s="4567"/>
      <c r="AP117" s="4567"/>
      <c r="AQ117" s="4567"/>
      <c r="AR117" s="4567"/>
      <c r="AS117" s="4567"/>
      <c r="AT117" s="4567"/>
      <c r="AU117" s="4567"/>
      <c r="AV117" s="4567"/>
      <c r="AW117" s="4567"/>
      <c r="AX117" s="4567"/>
      <c r="AY117" s="4567"/>
      <c r="AZ117" s="4567"/>
      <c r="BA117" s="4567"/>
      <c r="BB117" s="4567"/>
      <c r="BC117" s="4567"/>
      <c r="BD117" s="4567"/>
      <c r="BE117" s="4567"/>
      <c r="BF117" s="4567"/>
      <c r="BG117" s="4567"/>
      <c r="BH117" s="4567"/>
      <c r="BI117" s="4721"/>
      <c r="BJ117" s="4721"/>
      <c r="BK117" s="4724"/>
      <c r="BL117" s="4728"/>
      <c r="BM117" s="3195"/>
      <c r="BN117" s="4728"/>
      <c r="BO117" s="4728"/>
      <c r="BP117" s="4728"/>
      <c r="BQ117" s="4728"/>
      <c r="BR117" s="4726"/>
    </row>
    <row r="118" spans="1:70" s="1798" customFormat="1" ht="16.5" thickBot="1" x14ac:dyDescent="0.3">
      <c r="A118" s="1987"/>
      <c r="B118" s="1988"/>
      <c r="C118" s="1988"/>
      <c r="D118" s="1987"/>
      <c r="E118" s="1988"/>
      <c r="F118" s="1989"/>
      <c r="G118" s="1898">
        <v>27</v>
      </c>
      <c r="H118" s="1767" t="s">
        <v>1538</v>
      </c>
      <c r="I118" s="1767"/>
      <c r="J118" s="1767"/>
      <c r="K118" s="1541"/>
      <c r="L118" s="1541"/>
      <c r="M118" s="814"/>
      <c r="N118" s="2029"/>
      <c r="O118" s="1542"/>
      <c r="P118" s="814"/>
      <c r="Q118" s="1545"/>
      <c r="R118" s="814"/>
      <c r="S118" s="1849"/>
      <c r="T118" s="1541"/>
      <c r="U118" s="1541"/>
      <c r="V118" s="1541"/>
      <c r="W118" s="1541"/>
      <c r="X118" s="1541"/>
      <c r="Y118" s="1541"/>
      <c r="Z118" s="1541"/>
      <c r="AA118" s="1541"/>
      <c r="AB118" s="1541"/>
      <c r="AC118" s="1541"/>
      <c r="AD118" s="1541"/>
      <c r="AE118" s="1541"/>
      <c r="AF118" s="814"/>
      <c r="AG118" s="814"/>
      <c r="AH118" s="814"/>
      <c r="AI118" s="814"/>
      <c r="AJ118" s="814"/>
      <c r="AK118" s="814"/>
      <c r="AL118" s="814"/>
      <c r="AM118" s="814"/>
      <c r="AN118" s="814"/>
      <c r="AO118" s="814"/>
      <c r="AP118" s="814"/>
      <c r="AQ118" s="814"/>
      <c r="AR118" s="814"/>
      <c r="AS118" s="814"/>
      <c r="AT118" s="814"/>
      <c r="AU118" s="814"/>
      <c r="AV118" s="814"/>
      <c r="AW118" s="814"/>
      <c r="AX118" s="1824"/>
      <c r="AY118" s="1824"/>
      <c r="AZ118" s="1824"/>
      <c r="BA118" s="1824"/>
      <c r="BB118" s="1824"/>
      <c r="BC118" s="1824"/>
      <c r="BD118" s="1824"/>
      <c r="BE118" s="1824"/>
      <c r="BF118" s="1824"/>
      <c r="BG118" s="1824"/>
      <c r="BH118" s="1824"/>
      <c r="BI118" s="1851"/>
      <c r="BJ118" s="1851"/>
      <c r="BK118" s="1824"/>
      <c r="BL118" s="1824"/>
      <c r="BM118" s="1824"/>
      <c r="BN118" s="1824"/>
      <c r="BO118" s="1824"/>
      <c r="BP118" s="1824"/>
      <c r="BQ118" s="1824"/>
      <c r="BR118" s="1852"/>
    </row>
    <row r="119" spans="1:70" s="1798" customFormat="1" ht="120" customHeight="1" thickBot="1" x14ac:dyDescent="0.3">
      <c r="A119" s="1987"/>
      <c r="B119" s="1988"/>
      <c r="C119" s="1988"/>
      <c r="D119" s="1987"/>
      <c r="E119" s="1988"/>
      <c r="F119" s="1989"/>
      <c r="G119" s="860"/>
      <c r="H119" s="860"/>
      <c r="I119" s="860"/>
      <c r="J119" s="1862">
        <v>111</v>
      </c>
      <c r="K119" s="2031" t="s">
        <v>1539</v>
      </c>
      <c r="L119" s="2031" t="s">
        <v>1540</v>
      </c>
      <c r="M119" s="2032">
        <v>1</v>
      </c>
      <c r="N119" s="2033">
        <v>0.75</v>
      </c>
      <c r="O119" s="1748" t="s">
        <v>1541</v>
      </c>
      <c r="P119" s="1781" t="s">
        <v>1542</v>
      </c>
      <c r="Q119" s="1790" t="s">
        <v>1543</v>
      </c>
      <c r="R119" s="1789">
        <f>+W119/S119</f>
        <v>1</v>
      </c>
      <c r="S119" s="2034">
        <f>+W119</f>
        <v>3503000000</v>
      </c>
      <c r="T119" s="2031" t="s">
        <v>1544</v>
      </c>
      <c r="U119" s="2031" t="s">
        <v>1545</v>
      </c>
      <c r="V119" s="1904" t="s">
        <v>1546</v>
      </c>
      <c r="W119" s="1984">
        <v>3503000000</v>
      </c>
      <c r="X119" s="1984">
        <v>1571017219</v>
      </c>
      <c r="Y119" s="1984">
        <v>1551204277</v>
      </c>
      <c r="Z119" s="1761">
        <v>25</v>
      </c>
      <c r="AA119" s="2035" t="s">
        <v>1305</v>
      </c>
      <c r="AB119" s="1942">
        <v>21554</v>
      </c>
      <c r="AC119" s="1942"/>
      <c r="AD119" s="1942">
        <v>22392</v>
      </c>
      <c r="AE119" s="1942"/>
      <c r="AF119" s="2036">
        <v>31677</v>
      </c>
      <c r="AG119" s="2036"/>
      <c r="AH119" s="2036">
        <v>10302</v>
      </c>
      <c r="AI119" s="2036"/>
      <c r="AJ119" s="2036">
        <v>15916</v>
      </c>
      <c r="AK119" s="2036"/>
      <c r="AL119" s="2036">
        <v>15683</v>
      </c>
      <c r="AM119" s="2036"/>
      <c r="AN119" s="2036">
        <v>238</v>
      </c>
      <c r="AO119" s="2036"/>
      <c r="AP119" s="2036">
        <v>245</v>
      </c>
      <c r="AQ119" s="2036"/>
      <c r="AR119" s="2036">
        <v>0</v>
      </c>
      <c r="AS119" s="2036"/>
      <c r="AT119" s="2036">
        <v>0</v>
      </c>
      <c r="AU119" s="2037"/>
      <c r="AV119" s="2037">
        <v>0</v>
      </c>
      <c r="AW119" s="2037"/>
      <c r="AX119" s="2038">
        <v>0</v>
      </c>
      <c r="AY119" s="2038"/>
      <c r="AZ119" s="2038">
        <v>2629</v>
      </c>
      <c r="BA119" s="2038"/>
      <c r="BB119" s="2038">
        <v>2665</v>
      </c>
      <c r="BC119" s="2038"/>
      <c r="BD119" s="2038">
        <v>2683</v>
      </c>
      <c r="BE119" s="2038"/>
      <c r="BF119" s="2039">
        <f>AB119+AD119</f>
        <v>43946</v>
      </c>
      <c r="BG119" s="2039">
        <v>43946</v>
      </c>
      <c r="BH119" s="2039">
        <v>1</v>
      </c>
      <c r="BI119" s="2040">
        <f>+X119</f>
        <v>1571017219</v>
      </c>
      <c r="BJ119" s="2040">
        <f>+Y119</f>
        <v>1551204277</v>
      </c>
      <c r="BK119" s="2041">
        <f>+BJ119/BI119</f>
        <v>0.98738846286318138</v>
      </c>
      <c r="BL119" s="2039" t="s">
        <v>1305</v>
      </c>
      <c r="BM119" s="2039" t="s">
        <v>1547</v>
      </c>
      <c r="BN119" s="2042">
        <v>43466</v>
      </c>
      <c r="BO119" s="2042" t="s">
        <v>1548</v>
      </c>
      <c r="BP119" s="2042">
        <v>43830</v>
      </c>
      <c r="BQ119" s="2042">
        <v>43830</v>
      </c>
      <c r="BR119" s="2043" t="s">
        <v>1261</v>
      </c>
    </row>
    <row r="120" spans="1:70" s="1798" customFormat="1" ht="15.75" x14ac:dyDescent="0.25">
      <c r="A120" s="1987"/>
      <c r="B120" s="1988"/>
      <c r="C120" s="1988"/>
      <c r="D120" s="1987"/>
      <c r="E120" s="1988"/>
      <c r="F120" s="1989"/>
      <c r="G120" s="1898">
        <v>28</v>
      </c>
      <c r="H120" s="1767" t="s">
        <v>1549</v>
      </c>
      <c r="I120" s="1767"/>
      <c r="J120" s="1767"/>
      <c r="K120" s="1541"/>
      <c r="L120" s="1541"/>
      <c r="M120" s="814"/>
      <c r="N120" s="2044"/>
      <c r="O120" s="1542"/>
      <c r="P120" s="1542"/>
      <c r="Q120" s="1545"/>
      <c r="R120" s="2045"/>
      <c r="S120" s="1849"/>
      <c r="T120" s="1541"/>
      <c r="U120" s="1541"/>
      <c r="V120" s="1541"/>
      <c r="W120" s="1541"/>
      <c r="X120" s="1541"/>
      <c r="Y120" s="1541"/>
      <c r="Z120" s="1541"/>
      <c r="AA120" s="1541"/>
      <c r="AB120" s="1541"/>
      <c r="AC120" s="1541"/>
      <c r="AD120" s="1542"/>
      <c r="AE120" s="1542"/>
      <c r="AF120" s="814"/>
      <c r="AG120" s="814"/>
      <c r="AH120" s="814"/>
      <c r="AI120" s="814"/>
      <c r="AJ120" s="814"/>
      <c r="AK120" s="814"/>
      <c r="AL120" s="814"/>
      <c r="AM120" s="814"/>
      <c r="AN120" s="814"/>
      <c r="AO120" s="814"/>
      <c r="AP120" s="814"/>
      <c r="AQ120" s="814"/>
      <c r="AR120" s="814"/>
      <c r="AS120" s="814"/>
      <c r="AT120" s="2046"/>
      <c r="AU120" s="2046"/>
      <c r="AV120" s="2046"/>
      <c r="AW120" s="2046"/>
      <c r="AX120" s="1824"/>
      <c r="AY120" s="1824"/>
      <c r="AZ120" s="1824"/>
      <c r="BA120" s="1824"/>
      <c r="BB120" s="1824"/>
      <c r="BC120" s="1824"/>
      <c r="BD120" s="1824"/>
      <c r="BE120" s="1824"/>
      <c r="BF120" s="1824"/>
      <c r="BG120" s="1824"/>
      <c r="BH120" s="1824"/>
      <c r="BI120" s="1851"/>
      <c r="BJ120" s="1851"/>
      <c r="BK120" s="1824"/>
      <c r="BL120" s="1824"/>
      <c r="BM120" s="1824"/>
      <c r="BN120" s="2047"/>
      <c r="BO120" s="2048"/>
      <c r="BP120" s="1824"/>
      <c r="BQ120" s="1824"/>
      <c r="BR120" s="1852"/>
    </row>
    <row r="121" spans="1:70" s="1798" customFormat="1" ht="48" customHeight="1" x14ac:dyDescent="0.25">
      <c r="A121" s="1987"/>
      <c r="B121" s="1988"/>
      <c r="C121" s="1988"/>
      <c r="D121" s="2020"/>
      <c r="E121" s="2021"/>
      <c r="F121" s="2022"/>
      <c r="G121" s="875"/>
      <c r="H121" s="875"/>
      <c r="I121" s="875"/>
      <c r="J121" s="4508">
        <v>112</v>
      </c>
      <c r="K121" s="4494" t="s">
        <v>1550</v>
      </c>
      <c r="L121" s="4494" t="s">
        <v>1551</v>
      </c>
      <c r="M121" s="4582">
        <v>12</v>
      </c>
      <c r="N121" s="4553">
        <v>3</v>
      </c>
      <c r="O121" s="4356" t="s">
        <v>1552</v>
      </c>
      <c r="P121" s="4356" t="s">
        <v>1553</v>
      </c>
      <c r="Q121" s="4494" t="s">
        <v>1554</v>
      </c>
      <c r="R121" s="4671">
        <f>+W121/S121</f>
        <v>0.14375937670534561</v>
      </c>
      <c r="S121" s="4599">
        <f>+W121+W123</f>
        <v>20868204</v>
      </c>
      <c r="T121" s="4413" t="s">
        <v>1555</v>
      </c>
      <c r="U121" s="4494" t="s">
        <v>1556</v>
      </c>
      <c r="V121" s="4494" t="s">
        <v>1557</v>
      </c>
      <c r="W121" s="3126">
        <v>3000000</v>
      </c>
      <c r="X121" s="3126">
        <v>3000000</v>
      </c>
      <c r="Y121" s="3126"/>
      <c r="Z121" s="3106">
        <v>20</v>
      </c>
      <c r="AA121" s="4711" t="s">
        <v>124</v>
      </c>
      <c r="AB121" s="4592">
        <v>21554</v>
      </c>
      <c r="AC121" s="4462">
        <v>21554</v>
      </c>
      <c r="AD121" s="4462">
        <v>22392</v>
      </c>
      <c r="AE121" s="4462">
        <v>22392</v>
      </c>
      <c r="AF121" s="4462">
        <v>31677</v>
      </c>
      <c r="AG121" s="4462">
        <v>31677</v>
      </c>
      <c r="AH121" s="4462">
        <v>10302</v>
      </c>
      <c r="AI121" s="4462">
        <v>10302</v>
      </c>
      <c r="AJ121" s="4462">
        <v>15916</v>
      </c>
      <c r="AK121" s="4462">
        <v>15916</v>
      </c>
      <c r="AL121" s="4462">
        <v>15683</v>
      </c>
      <c r="AM121" s="4462">
        <v>15683</v>
      </c>
      <c r="AN121" s="4462">
        <v>238</v>
      </c>
      <c r="AO121" s="4462">
        <v>238</v>
      </c>
      <c r="AP121" s="4462">
        <v>245</v>
      </c>
      <c r="AQ121" s="4462">
        <v>245</v>
      </c>
      <c r="AR121" s="4462">
        <v>0</v>
      </c>
      <c r="AS121" s="4462">
        <v>0</v>
      </c>
      <c r="AT121" s="4462">
        <v>0</v>
      </c>
      <c r="AU121" s="4462">
        <v>0</v>
      </c>
      <c r="AV121" s="4462">
        <v>0</v>
      </c>
      <c r="AW121" s="4462">
        <v>0</v>
      </c>
      <c r="AX121" s="4462">
        <v>0</v>
      </c>
      <c r="AY121" s="4462">
        <v>0</v>
      </c>
      <c r="AZ121" s="4462">
        <v>2629</v>
      </c>
      <c r="BA121" s="4462">
        <v>2629</v>
      </c>
      <c r="BB121" s="4462">
        <v>2665</v>
      </c>
      <c r="BC121" s="4462">
        <v>2665</v>
      </c>
      <c r="BD121" s="4462">
        <v>2683</v>
      </c>
      <c r="BE121" s="4462">
        <v>2683</v>
      </c>
      <c r="BF121" s="4462">
        <f>AB121+AD121</f>
        <v>43946</v>
      </c>
      <c r="BG121" s="4462">
        <v>43946</v>
      </c>
      <c r="BH121" s="4355">
        <v>2</v>
      </c>
      <c r="BI121" s="4617">
        <f>+X121+X123</f>
        <v>20868204</v>
      </c>
      <c r="BJ121" s="4617">
        <f>+Y123</f>
        <v>3491800</v>
      </c>
      <c r="BK121" s="4620">
        <f>+BJ121/BI121</f>
        <v>0.16732633052657525</v>
      </c>
      <c r="BL121" s="4355" t="s">
        <v>124</v>
      </c>
      <c r="BM121" s="4355" t="s">
        <v>1558</v>
      </c>
      <c r="BN121" s="4636">
        <v>43591</v>
      </c>
      <c r="BO121" s="4636">
        <v>43591</v>
      </c>
      <c r="BP121" s="4593">
        <v>43803</v>
      </c>
      <c r="BQ121" s="4593">
        <v>43803</v>
      </c>
      <c r="BR121" s="4597" t="s">
        <v>1261</v>
      </c>
    </row>
    <row r="122" spans="1:70" s="1798" customFormat="1" ht="55.5" customHeight="1" x14ac:dyDescent="0.25">
      <c r="A122" s="1987"/>
      <c r="B122" s="1988"/>
      <c r="C122" s="1988"/>
      <c r="D122" s="2020"/>
      <c r="E122" s="2021"/>
      <c r="F122" s="2022"/>
      <c r="G122" s="875"/>
      <c r="H122" s="875"/>
      <c r="I122" s="875"/>
      <c r="J122" s="4509"/>
      <c r="K122" s="4424"/>
      <c r="L122" s="4424"/>
      <c r="M122" s="4583"/>
      <c r="N122" s="4554"/>
      <c r="O122" s="4356"/>
      <c r="P122" s="4356"/>
      <c r="Q122" s="4494"/>
      <c r="R122" s="4670"/>
      <c r="S122" s="4599"/>
      <c r="T122" s="4494"/>
      <c r="U122" s="4424"/>
      <c r="V122" s="4424"/>
      <c r="W122" s="4672"/>
      <c r="X122" s="4672"/>
      <c r="Y122" s="4672"/>
      <c r="Z122" s="3106"/>
      <c r="AA122" s="4711"/>
      <c r="AB122" s="4592"/>
      <c r="AC122" s="4592"/>
      <c r="AD122" s="4592"/>
      <c r="AE122" s="4592"/>
      <c r="AF122" s="4592"/>
      <c r="AG122" s="4592"/>
      <c r="AH122" s="4592"/>
      <c r="AI122" s="4592"/>
      <c r="AJ122" s="4592"/>
      <c r="AK122" s="4592"/>
      <c r="AL122" s="4592"/>
      <c r="AM122" s="4592"/>
      <c r="AN122" s="4592"/>
      <c r="AO122" s="4592"/>
      <c r="AP122" s="4592"/>
      <c r="AQ122" s="4592"/>
      <c r="AR122" s="4592"/>
      <c r="AS122" s="4592"/>
      <c r="AT122" s="4592"/>
      <c r="AU122" s="4592"/>
      <c r="AV122" s="4592"/>
      <c r="AW122" s="4592"/>
      <c r="AX122" s="4592"/>
      <c r="AY122" s="4592"/>
      <c r="AZ122" s="4592"/>
      <c r="BA122" s="4592"/>
      <c r="BB122" s="4592"/>
      <c r="BC122" s="4592"/>
      <c r="BD122" s="4592"/>
      <c r="BE122" s="4592"/>
      <c r="BF122" s="4592"/>
      <c r="BG122" s="4592"/>
      <c r="BH122" s="4356"/>
      <c r="BI122" s="4618"/>
      <c r="BJ122" s="4618"/>
      <c r="BK122" s="4621"/>
      <c r="BL122" s="4356"/>
      <c r="BM122" s="4356"/>
      <c r="BN122" s="4637"/>
      <c r="BO122" s="4637"/>
      <c r="BP122" s="4594"/>
      <c r="BQ122" s="4594"/>
      <c r="BR122" s="4597"/>
    </row>
    <row r="123" spans="1:70" s="1798" customFormat="1" ht="88.5" customHeight="1" x14ac:dyDescent="0.25">
      <c r="A123" s="1987"/>
      <c r="B123" s="1988"/>
      <c r="C123" s="1988"/>
      <c r="D123" s="2020"/>
      <c r="E123" s="2021"/>
      <c r="F123" s="2022"/>
      <c r="G123" s="875"/>
      <c r="H123" s="875"/>
      <c r="I123" s="875"/>
      <c r="J123" s="1913">
        <v>113</v>
      </c>
      <c r="K123" s="1780" t="s">
        <v>1559</v>
      </c>
      <c r="L123" s="1780" t="s">
        <v>1560</v>
      </c>
      <c r="M123" s="1985">
        <v>1</v>
      </c>
      <c r="N123" s="2049">
        <v>1</v>
      </c>
      <c r="O123" s="4356"/>
      <c r="P123" s="4356"/>
      <c r="Q123" s="4494"/>
      <c r="R123" s="1787">
        <f>+W123/S121</f>
        <v>0.85624062329465445</v>
      </c>
      <c r="S123" s="4599"/>
      <c r="T123" s="4494"/>
      <c r="U123" s="1780" t="s">
        <v>1561</v>
      </c>
      <c r="V123" s="1780" t="s">
        <v>1562</v>
      </c>
      <c r="W123" s="1763">
        <v>17868204</v>
      </c>
      <c r="X123" s="1763">
        <v>17868204</v>
      </c>
      <c r="Y123" s="1763">
        <v>3491800</v>
      </c>
      <c r="Z123" s="1743">
        <v>20</v>
      </c>
      <c r="AA123" s="1870" t="s">
        <v>124</v>
      </c>
      <c r="AB123" s="4592"/>
      <c r="AC123" s="4567"/>
      <c r="AD123" s="4567"/>
      <c r="AE123" s="4567"/>
      <c r="AF123" s="4567"/>
      <c r="AG123" s="4567"/>
      <c r="AH123" s="4567"/>
      <c r="AI123" s="4567"/>
      <c r="AJ123" s="4567"/>
      <c r="AK123" s="4567"/>
      <c r="AL123" s="4567"/>
      <c r="AM123" s="4567"/>
      <c r="AN123" s="4567"/>
      <c r="AO123" s="4567"/>
      <c r="AP123" s="4567"/>
      <c r="AQ123" s="4567"/>
      <c r="AR123" s="4567"/>
      <c r="AS123" s="4567"/>
      <c r="AT123" s="4567"/>
      <c r="AU123" s="4567"/>
      <c r="AV123" s="4567"/>
      <c r="AW123" s="4567"/>
      <c r="AX123" s="4567"/>
      <c r="AY123" s="4567"/>
      <c r="AZ123" s="4567"/>
      <c r="BA123" s="4567"/>
      <c r="BB123" s="4567"/>
      <c r="BC123" s="4567"/>
      <c r="BD123" s="4567"/>
      <c r="BE123" s="4567"/>
      <c r="BF123" s="4567"/>
      <c r="BG123" s="4567"/>
      <c r="BH123" s="4357"/>
      <c r="BI123" s="4619"/>
      <c r="BJ123" s="4619"/>
      <c r="BK123" s="4622"/>
      <c r="BL123" s="4357"/>
      <c r="BM123" s="4357"/>
      <c r="BN123" s="4638"/>
      <c r="BO123" s="4638"/>
      <c r="BP123" s="4595"/>
      <c r="BQ123" s="4595"/>
      <c r="BR123" s="4597"/>
    </row>
    <row r="124" spans="1:70" s="1798" customFormat="1" ht="15.75" x14ac:dyDescent="0.25">
      <c r="A124" s="1987"/>
      <c r="B124" s="1988"/>
      <c r="C124" s="1989"/>
      <c r="D124" s="1886">
        <v>16</v>
      </c>
      <c r="E124" s="1887" t="s">
        <v>1563</v>
      </c>
      <c r="F124" s="1887"/>
      <c r="G124" s="1803"/>
      <c r="H124" s="1803"/>
      <c r="I124" s="1803"/>
      <c r="J124" s="1803"/>
      <c r="K124" s="37"/>
      <c r="L124" s="37"/>
      <c r="M124" s="36"/>
      <c r="N124" s="2050"/>
      <c r="O124" s="38"/>
      <c r="P124" s="38"/>
      <c r="Q124" s="2051"/>
      <c r="R124" s="1889"/>
      <c r="S124" s="1890"/>
      <c r="T124" s="37"/>
      <c r="U124" s="37"/>
      <c r="V124" s="37"/>
      <c r="W124" s="37"/>
      <c r="X124" s="37"/>
      <c r="Y124" s="37"/>
      <c r="Z124" s="37"/>
      <c r="AA124" s="37"/>
      <c r="AB124" s="37"/>
      <c r="AC124" s="37"/>
      <c r="AD124" s="37"/>
      <c r="AE124" s="37"/>
      <c r="AF124" s="37"/>
      <c r="AG124" s="36"/>
      <c r="AH124" s="36"/>
      <c r="AI124" s="36"/>
      <c r="AJ124" s="36"/>
      <c r="AK124" s="36"/>
      <c r="AL124" s="36"/>
      <c r="AM124" s="36"/>
      <c r="AN124" s="36"/>
      <c r="AO124" s="36"/>
      <c r="AP124" s="36"/>
      <c r="AQ124" s="36"/>
      <c r="AR124" s="36"/>
      <c r="AS124" s="36"/>
      <c r="AT124" s="1891"/>
      <c r="AU124" s="1891"/>
      <c r="AV124" s="1891"/>
      <c r="AW124" s="1891"/>
      <c r="AX124" s="1808"/>
      <c r="AY124" s="1808"/>
      <c r="AZ124" s="1808"/>
      <c r="BA124" s="1808"/>
      <c r="BB124" s="1808"/>
      <c r="BC124" s="1808"/>
      <c r="BD124" s="1808"/>
      <c r="BE124" s="1808"/>
      <c r="BF124" s="1808"/>
      <c r="BG124" s="1808"/>
      <c r="BH124" s="1808"/>
      <c r="BI124" s="1892"/>
      <c r="BJ124" s="1892"/>
      <c r="BK124" s="1808"/>
      <c r="BL124" s="1808"/>
      <c r="BM124" s="1808"/>
      <c r="BN124" s="1808"/>
      <c r="BO124" s="1808"/>
      <c r="BP124" s="1808"/>
      <c r="BQ124" s="1808"/>
      <c r="BR124" s="1893"/>
    </row>
    <row r="125" spans="1:70" s="1798" customFormat="1" ht="15.75" x14ac:dyDescent="0.25">
      <c r="A125" s="1987"/>
      <c r="B125" s="1988"/>
      <c r="C125" s="1989"/>
      <c r="D125" s="2052"/>
      <c r="E125" s="2052"/>
      <c r="F125" s="2053"/>
      <c r="G125" s="1898">
        <v>57</v>
      </c>
      <c r="H125" s="814" t="s">
        <v>1564</v>
      </c>
      <c r="I125" s="814"/>
      <c r="J125" s="814"/>
      <c r="K125" s="1545"/>
      <c r="L125" s="1545"/>
      <c r="M125" s="2054"/>
      <c r="N125" s="2055"/>
      <c r="O125" s="2056"/>
      <c r="P125" s="1542"/>
      <c r="Q125" s="1545"/>
      <c r="R125" s="2045"/>
      <c r="S125" s="1849"/>
      <c r="T125" s="1541"/>
      <c r="U125" s="1541"/>
      <c r="V125" s="1541"/>
      <c r="W125" s="1541"/>
      <c r="X125" s="1541"/>
      <c r="Y125" s="1541"/>
      <c r="Z125" s="1541"/>
      <c r="AA125" s="1541"/>
      <c r="AB125" s="1541"/>
      <c r="AC125" s="1541"/>
      <c r="AD125" s="1542"/>
      <c r="AE125" s="1542"/>
      <c r="AF125" s="814"/>
      <c r="AG125" s="814"/>
      <c r="AH125" s="814"/>
      <c r="AI125" s="814"/>
      <c r="AJ125" s="814"/>
      <c r="AK125" s="814"/>
      <c r="AL125" s="814"/>
      <c r="AM125" s="814"/>
      <c r="AN125" s="814"/>
      <c r="AO125" s="814"/>
      <c r="AP125" s="814"/>
      <c r="AQ125" s="814"/>
      <c r="AR125" s="814"/>
      <c r="AS125" s="814"/>
      <c r="AT125" s="2046"/>
      <c r="AU125" s="2046"/>
      <c r="AV125" s="2046"/>
      <c r="AW125" s="2046"/>
      <c r="AX125" s="1824"/>
      <c r="AY125" s="1824"/>
      <c r="AZ125" s="1824"/>
      <c r="BA125" s="1824"/>
      <c r="BB125" s="1824"/>
      <c r="BC125" s="1824"/>
      <c r="BD125" s="1824"/>
      <c r="BE125" s="1824"/>
      <c r="BF125" s="1824"/>
      <c r="BG125" s="1824"/>
      <c r="BH125" s="1824"/>
      <c r="BI125" s="1851"/>
      <c r="BJ125" s="1851"/>
      <c r="BK125" s="1824"/>
      <c r="BL125" s="1824"/>
      <c r="BM125" s="1824"/>
      <c r="BN125" s="1824"/>
      <c r="BO125" s="1824"/>
      <c r="BP125" s="1824"/>
      <c r="BQ125" s="1824"/>
      <c r="BR125" s="1852"/>
    </row>
    <row r="126" spans="1:70" s="1798" customFormat="1" ht="102" customHeight="1" x14ac:dyDescent="0.25">
      <c r="A126" s="2057"/>
      <c r="B126" s="2058"/>
      <c r="C126" s="2059"/>
      <c r="D126" s="2060"/>
      <c r="E126" s="2060"/>
      <c r="F126" s="2061"/>
      <c r="G126" s="2062"/>
      <c r="H126" s="2062"/>
      <c r="I126" s="2062"/>
      <c r="J126" s="4507">
        <v>182</v>
      </c>
      <c r="K126" s="4462" t="s">
        <v>1565</v>
      </c>
      <c r="L126" s="4462" t="s">
        <v>1566</v>
      </c>
      <c r="M126" s="4462">
        <v>1</v>
      </c>
      <c r="N126" s="4730">
        <v>0.75</v>
      </c>
      <c r="O126" s="4355" t="s">
        <v>1567</v>
      </c>
      <c r="P126" s="4355" t="s">
        <v>1568</v>
      </c>
      <c r="Q126" s="4413" t="s">
        <v>1569</v>
      </c>
      <c r="R126" s="4698">
        <f>(+W126+W127)/S126</f>
        <v>1</v>
      </c>
      <c r="S126" s="4731">
        <f>W126+W127</f>
        <v>18817998</v>
      </c>
      <c r="T126" s="4462" t="s">
        <v>1570</v>
      </c>
      <c r="U126" s="4558" t="s">
        <v>1565</v>
      </c>
      <c r="V126" s="1878" t="s">
        <v>1571</v>
      </c>
      <c r="W126" s="2026">
        <f>18817998-11342000</f>
        <v>7475998</v>
      </c>
      <c r="X126" s="2026">
        <v>7475998</v>
      </c>
      <c r="Y126" s="2026"/>
      <c r="Z126" s="1759">
        <v>20</v>
      </c>
      <c r="AA126" s="1774" t="s">
        <v>124</v>
      </c>
      <c r="AB126" s="4462">
        <v>21554</v>
      </c>
      <c r="AC126" s="4462">
        <v>21554</v>
      </c>
      <c r="AD126" s="4462">
        <v>22392</v>
      </c>
      <c r="AE126" s="4462">
        <v>22392</v>
      </c>
      <c r="AF126" s="4462">
        <v>31677</v>
      </c>
      <c r="AG126" s="4462">
        <v>31677</v>
      </c>
      <c r="AH126" s="4462">
        <v>10302</v>
      </c>
      <c r="AI126" s="4462">
        <v>10302</v>
      </c>
      <c r="AJ126" s="4462">
        <v>15916</v>
      </c>
      <c r="AK126" s="4462">
        <v>15916</v>
      </c>
      <c r="AL126" s="4462">
        <v>15683</v>
      </c>
      <c r="AM126" s="4462">
        <v>15683</v>
      </c>
      <c r="AN126" s="4462">
        <v>238</v>
      </c>
      <c r="AO126" s="4462">
        <v>238</v>
      </c>
      <c r="AP126" s="4462">
        <v>245</v>
      </c>
      <c r="AQ126" s="4462">
        <v>245</v>
      </c>
      <c r="AR126" s="4462">
        <v>0</v>
      </c>
      <c r="AS126" s="4462">
        <v>0</v>
      </c>
      <c r="AT126" s="4462">
        <v>0</v>
      </c>
      <c r="AU126" s="4462">
        <v>0</v>
      </c>
      <c r="AV126" s="4462">
        <v>0</v>
      </c>
      <c r="AW126" s="4462">
        <v>0</v>
      </c>
      <c r="AX126" s="4462">
        <v>0</v>
      </c>
      <c r="AY126" s="4462">
        <v>0</v>
      </c>
      <c r="AZ126" s="4462">
        <v>2629</v>
      </c>
      <c r="BA126" s="4462">
        <v>2629</v>
      </c>
      <c r="BB126" s="4462">
        <v>2665</v>
      </c>
      <c r="BC126" s="4462">
        <v>2665</v>
      </c>
      <c r="BD126" s="4462">
        <v>2683</v>
      </c>
      <c r="BE126" s="4462">
        <v>2683</v>
      </c>
      <c r="BF126" s="4462">
        <v>43946</v>
      </c>
      <c r="BG126" s="4462">
        <v>43946</v>
      </c>
      <c r="BH126" s="4610">
        <v>2</v>
      </c>
      <c r="BI126" s="4601">
        <f>+W126+W127</f>
        <v>18817998</v>
      </c>
      <c r="BJ126" s="4601">
        <f>+Y127</f>
        <v>11342000</v>
      </c>
      <c r="BK126" s="4604">
        <f>+BJ126/BI126</f>
        <v>0.60272086329268393</v>
      </c>
      <c r="BL126" s="4610" t="s">
        <v>1572</v>
      </c>
      <c r="BM126" s="4596" t="s">
        <v>1573</v>
      </c>
      <c r="BN126" s="4636">
        <v>43509</v>
      </c>
      <c r="BO126" s="4636">
        <v>43509</v>
      </c>
      <c r="BP126" s="4636">
        <v>43798</v>
      </c>
      <c r="BQ126" s="4636">
        <v>43798</v>
      </c>
      <c r="BR126" s="4593" t="s">
        <v>1261</v>
      </c>
    </row>
    <row r="127" spans="1:70" s="1798" customFormat="1" ht="79.5" customHeight="1" x14ac:dyDescent="0.25">
      <c r="A127" s="2057"/>
      <c r="B127" s="2058"/>
      <c r="C127" s="2058"/>
      <c r="D127" s="2060"/>
      <c r="E127" s="2060"/>
      <c r="F127" s="2060"/>
      <c r="G127" s="2062"/>
      <c r="H127" s="2062"/>
      <c r="I127" s="2062"/>
      <c r="J127" s="4509"/>
      <c r="K127" s="4567"/>
      <c r="L127" s="4567"/>
      <c r="M127" s="4567"/>
      <c r="N127" s="4730"/>
      <c r="O127" s="4357"/>
      <c r="P127" s="4357"/>
      <c r="Q127" s="4424"/>
      <c r="R127" s="4670"/>
      <c r="S127" s="4732"/>
      <c r="T127" s="4567"/>
      <c r="U127" s="4559"/>
      <c r="V127" s="2063" t="s">
        <v>1574</v>
      </c>
      <c r="W127" s="2026">
        <f>0+11342000</f>
        <v>11342000</v>
      </c>
      <c r="X127" s="2026">
        <v>11342000</v>
      </c>
      <c r="Y127" s="2026">
        <v>11342000</v>
      </c>
      <c r="Z127" s="1759">
        <v>20</v>
      </c>
      <c r="AA127" s="1774" t="s">
        <v>124</v>
      </c>
      <c r="AB127" s="4567"/>
      <c r="AC127" s="4567"/>
      <c r="AD127" s="4567"/>
      <c r="AE127" s="4567"/>
      <c r="AF127" s="4567"/>
      <c r="AG127" s="4567"/>
      <c r="AH127" s="4567"/>
      <c r="AI127" s="4567"/>
      <c r="AJ127" s="4567"/>
      <c r="AK127" s="4567"/>
      <c r="AL127" s="4567"/>
      <c r="AM127" s="4567"/>
      <c r="AN127" s="4567"/>
      <c r="AO127" s="4567"/>
      <c r="AP127" s="4567"/>
      <c r="AQ127" s="4567"/>
      <c r="AR127" s="4567"/>
      <c r="AS127" s="4567"/>
      <c r="AT127" s="4567"/>
      <c r="AU127" s="4567"/>
      <c r="AV127" s="4567"/>
      <c r="AW127" s="4567"/>
      <c r="AX127" s="4567"/>
      <c r="AY127" s="4567"/>
      <c r="AZ127" s="4567"/>
      <c r="BA127" s="4567"/>
      <c r="BB127" s="4567"/>
      <c r="BC127" s="4567"/>
      <c r="BD127" s="4567"/>
      <c r="BE127" s="4567"/>
      <c r="BF127" s="4567"/>
      <c r="BG127" s="4567"/>
      <c r="BH127" s="4612"/>
      <c r="BI127" s="4603"/>
      <c r="BJ127" s="4602"/>
      <c r="BK127" s="4606"/>
      <c r="BL127" s="4612"/>
      <c r="BM127" s="4598"/>
      <c r="BN127" s="4638"/>
      <c r="BO127" s="4638"/>
      <c r="BP127" s="4638"/>
      <c r="BQ127" s="4638"/>
      <c r="BR127" s="4595"/>
    </row>
    <row r="128" spans="1:70" s="2079" customFormat="1" ht="31.5" customHeight="1" x14ac:dyDescent="0.25">
      <c r="A128" s="4733"/>
      <c r="B128" s="4734"/>
      <c r="C128" s="4734"/>
      <c r="D128" s="4734"/>
      <c r="E128" s="4734"/>
      <c r="F128" s="4734"/>
      <c r="G128" s="4734"/>
      <c r="H128" s="4734"/>
      <c r="I128" s="4372"/>
      <c r="J128" s="1770"/>
      <c r="K128" s="2064"/>
      <c r="L128" s="2064"/>
      <c r="M128" s="2065"/>
      <c r="N128" s="2066"/>
      <c r="O128" s="1777"/>
      <c r="P128" s="2067"/>
      <c r="Q128" s="2064"/>
      <c r="R128" s="2068"/>
      <c r="S128" s="2069">
        <f>SUM(S11:S127)</f>
        <v>182697792015.16</v>
      </c>
      <c r="T128" s="2064"/>
      <c r="U128" s="2064"/>
      <c r="V128" s="2064"/>
      <c r="W128" s="2070">
        <f>SUM(W11:W127)</f>
        <v>182697792015.16</v>
      </c>
      <c r="X128" s="2070">
        <f>+X11+X13+X14+X15+X16+X18+X20+X22+X23+X24+X25+X27+X28+X29+X33+X35+X37+X38+X39+X41+X45+X46+X48+X54+X55+X59+X60+X61+X62+X67+X72+X76+X77+X82+X84+X85+X89+X99+X100+X102+X103+X104+X106+X107+X108+X115+X116+X117+X119+X121+X123+X126+X127</f>
        <v>126323428196.37</v>
      </c>
      <c r="Y128" s="2070">
        <f>SUM(Y11:Y127)</f>
        <v>118140494099</v>
      </c>
      <c r="Z128" s="2071"/>
      <c r="AA128" s="2072"/>
      <c r="AB128" s="4735"/>
      <c r="AC128" s="4736"/>
      <c r="AD128" s="4736"/>
      <c r="AE128" s="4736"/>
      <c r="AF128" s="4736"/>
      <c r="AG128" s="4736"/>
      <c r="AH128" s="4736"/>
      <c r="AI128" s="4736"/>
      <c r="AJ128" s="4736"/>
      <c r="AK128" s="4736"/>
      <c r="AL128" s="4736"/>
      <c r="AM128" s="4736"/>
      <c r="AN128" s="4736"/>
      <c r="AO128" s="4736"/>
      <c r="AP128" s="4736"/>
      <c r="AQ128" s="4736"/>
      <c r="AR128" s="4736"/>
      <c r="AS128" s="4736"/>
      <c r="AT128" s="4736"/>
      <c r="AU128" s="4736"/>
      <c r="AV128" s="4736"/>
      <c r="AW128" s="4736"/>
      <c r="AX128" s="4736"/>
      <c r="AY128" s="4736"/>
      <c r="AZ128" s="4736"/>
      <c r="BA128" s="4736"/>
      <c r="BB128" s="4736"/>
      <c r="BC128" s="4736"/>
      <c r="BD128" s="4736"/>
      <c r="BE128" s="4736"/>
      <c r="BF128" s="4736"/>
      <c r="BG128" s="4737"/>
      <c r="BH128" s="2073">
        <f>SUM(BH11:BH127)</f>
        <v>76</v>
      </c>
      <c r="BI128" s="2074">
        <f>SUM(BI11:BI127)</f>
        <v>126323428196.37</v>
      </c>
      <c r="BJ128" s="2075">
        <f>SUM(BJ11:BJ127)</f>
        <v>118140494099</v>
      </c>
      <c r="BK128" s="2076">
        <f>BJ128/BI128</f>
        <v>0.93522235570863699</v>
      </c>
      <c r="BL128" s="2077"/>
      <c r="BM128" s="2077"/>
      <c r="BN128" s="2077"/>
      <c r="BO128" s="2077"/>
      <c r="BP128" s="2077"/>
      <c r="BQ128" s="2077"/>
      <c r="BR128" s="2078"/>
    </row>
    <row r="129" spans="1:70" s="1798" customFormat="1" ht="32.25" customHeight="1" x14ac:dyDescent="0.25">
      <c r="A129" s="865"/>
      <c r="B129" s="4"/>
      <c r="C129" s="4"/>
      <c r="D129" s="4"/>
      <c r="E129" s="4"/>
      <c r="F129" s="4"/>
      <c r="G129" s="4"/>
      <c r="H129" s="4"/>
      <c r="I129" s="4"/>
      <c r="J129" s="4"/>
      <c r="K129" s="867"/>
      <c r="L129" s="1771"/>
      <c r="M129" s="4"/>
      <c r="N129" s="2080"/>
      <c r="O129" s="1920"/>
      <c r="P129" s="1920"/>
      <c r="Q129" s="867"/>
      <c r="R129" s="1731"/>
      <c r="S129" s="2081"/>
      <c r="T129" s="867"/>
      <c r="U129" s="867"/>
      <c r="V129" s="867"/>
      <c r="W129" s="2082"/>
      <c r="X129" s="2083"/>
      <c r="Y129" s="2083"/>
      <c r="Z129" s="1490"/>
      <c r="AA129" s="2084"/>
      <c r="AB129" s="4"/>
      <c r="AC129" s="4"/>
      <c r="AD129" s="4"/>
      <c r="AE129" s="4"/>
      <c r="AF129" s="4"/>
      <c r="AG129" s="4"/>
      <c r="AH129" s="4"/>
      <c r="AI129" s="4"/>
      <c r="AJ129" s="4"/>
      <c r="AK129" s="4"/>
      <c r="AL129" s="4"/>
      <c r="AM129" s="4"/>
      <c r="AN129" s="4"/>
      <c r="AO129" s="4"/>
      <c r="AP129" s="4"/>
      <c r="AQ129" s="4"/>
      <c r="AR129" s="4"/>
      <c r="AS129" s="4"/>
      <c r="BI129" s="2085"/>
      <c r="BJ129" s="2085"/>
      <c r="BR129" s="2086"/>
    </row>
    <row r="130" spans="1:70" s="1798" customFormat="1" ht="15.75" x14ac:dyDescent="0.25">
      <c r="A130" s="865"/>
      <c r="B130" s="4"/>
      <c r="C130" s="4"/>
      <c r="D130" s="4"/>
      <c r="E130" s="4"/>
      <c r="F130" s="4"/>
      <c r="G130" s="4"/>
      <c r="H130" s="4"/>
      <c r="I130" s="4"/>
      <c r="J130" s="4"/>
      <c r="K130" s="867"/>
      <c r="L130" s="1771"/>
      <c r="M130" s="4"/>
      <c r="N130" s="2087"/>
      <c r="O130" s="1920"/>
      <c r="P130" s="1920"/>
      <c r="Q130" s="867"/>
      <c r="R130" s="1731"/>
      <c r="S130" s="2088"/>
      <c r="T130" s="867"/>
      <c r="U130" s="867"/>
      <c r="V130" s="867"/>
      <c r="W130" s="2089"/>
      <c r="X130" s="2089"/>
      <c r="Y130" s="2089"/>
      <c r="Z130" s="1490"/>
      <c r="AA130" s="2084"/>
      <c r="AB130" s="4"/>
      <c r="AC130" s="4"/>
      <c r="AD130" s="4"/>
      <c r="AE130" s="4"/>
      <c r="AF130" s="4"/>
      <c r="AG130" s="4"/>
      <c r="AH130" s="4"/>
      <c r="AI130" s="4"/>
      <c r="AJ130" s="4"/>
      <c r="AK130" s="4"/>
      <c r="AL130" s="4"/>
      <c r="AM130" s="4"/>
      <c r="AN130" s="4"/>
      <c r="AO130" s="4"/>
      <c r="AP130" s="4"/>
      <c r="AQ130" s="4"/>
      <c r="AR130" s="4"/>
      <c r="AS130" s="4"/>
      <c r="BI130" s="2090"/>
      <c r="BJ130" s="2085"/>
      <c r="BR130" s="2086"/>
    </row>
    <row r="131" spans="1:70" s="1798" customFormat="1" ht="15.75" x14ac:dyDescent="0.25">
      <c r="A131" s="865"/>
      <c r="B131" s="4"/>
      <c r="C131" s="4"/>
      <c r="D131" s="4"/>
      <c r="E131" s="4"/>
      <c r="F131" s="4"/>
      <c r="G131" s="4"/>
      <c r="H131" s="4"/>
      <c r="I131" s="4"/>
      <c r="J131" s="4"/>
      <c r="K131" s="867"/>
      <c r="L131" s="1771"/>
      <c r="M131" s="4"/>
      <c r="N131" s="2087"/>
      <c r="O131" s="1920"/>
      <c r="P131" s="1920"/>
      <c r="Q131" s="867"/>
      <c r="R131" s="1731"/>
      <c r="S131" s="2091"/>
      <c r="T131" s="867"/>
      <c r="U131" s="867"/>
      <c r="V131" s="867"/>
      <c r="W131" s="2092"/>
      <c r="X131" s="2092"/>
      <c r="Y131" s="2092"/>
      <c r="Z131" s="1490"/>
      <c r="AA131" s="2084"/>
      <c r="AB131" s="4"/>
      <c r="AC131" s="4"/>
      <c r="AD131" s="4"/>
      <c r="AE131" s="4"/>
      <c r="AF131" s="4"/>
      <c r="AG131" s="4"/>
      <c r="AH131" s="4"/>
      <c r="AI131" s="4"/>
      <c r="AJ131" s="4"/>
      <c r="AK131" s="4"/>
      <c r="AL131" s="4"/>
      <c r="AM131" s="4"/>
      <c r="AN131" s="4"/>
      <c r="AO131" s="4"/>
      <c r="AP131" s="4"/>
      <c r="AQ131" s="4"/>
      <c r="AR131" s="4"/>
      <c r="AS131" s="4"/>
      <c r="BR131" s="2086"/>
    </row>
    <row r="132" spans="1:70" s="1798" customFormat="1" ht="15.75" x14ac:dyDescent="0.25">
      <c r="A132" s="865"/>
      <c r="B132" s="4"/>
      <c r="C132" s="4"/>
      <c r="D132" s="4"/>
      <c r="E132" s="4"/>
      <c r="F132" s="4"/>
      <c r="G132" s="4"/>
      <c r="H132" s="4"/>
      <c r="I132" s="4"/>
      <c r="J132" s="4"/>
      <c r="K132" s="867"/>
      <c r="L132" s="1771"/>
      <c r="M132" s="4"/>
      <c r="N132" s="2093"/>
      <c r="O132" s="1920"/>
      <c r="P132" s="1920"/>
      <c r="Q132" s="867"/>
      <c r="R132" s="1731"/>
      <c r="S132" s="2091"/>
      <c r="T132" s="867"/>
      <c r="U132" s="867"/>
      <c r="V132" s="867"/>
      <c r="W132" s="2094"/>
      <c r="X132" s="2094"/>
      <c r="Y132" s="2094"/>
      <c r="Z132" s="1490"/>
      <c r="AA132" s="2084"/>
      <c r="AB132" s="4"/>
      <c r="AC132" s="4"/>
      <c r="AD132" s="4"/>
      <c r="AE132" s="4"/>
      <c r="AF132" s="4"/>
      <c r="AG132" s="4"/>
      <c r="AH132" s="4"/>
      <c r="AI132" s="4"/>
      <c r="AJ132" s="4"/>
      <c r="AK132" s="4"/>
      <c r="AL132" s="4"/>
      <c r="AM132" s="4"/>
      <c r="AN132" s="4"/>
      <c r="AO132" s="4"/>
      <c r="AP132" s="4"/>
      <c r="AQ132" s="4"/>
      <c r="AR132" s="4"/>
      <c r="AS132" s="4"/>
      <c r="BR132" s="2086"/>
    </row>
    <row r="133" spans="1:70" s="1798" customFormat="1" ht="15.75" x14ac:dyDescent="0.25">
      <c r="A133" s="865"/>
      <c r="B133" s="4"/>
      <c r="C133" s="4"/>
      <c r="D133" s="4"/>
      <c r="E133" s="4"/>
      <c r="F133" s="4"/>
      <c r="G133" s="4"/>
      <c r="H133" s="4"/>
      <c r="I133" s="4"/>
      <c r="J133" s="4"/>
      <c r="K133" s="867"/>
      <c r="L133" s="1771"/>
      <c r="M133" s="4"/>
      <c r="N133" s="2087"/>
      <c r="O133" s="1920"/>
      <c r="P133" s="1920"/>
      <c r="Q133" s="867"/>
      <c r="R133" s="1731"/>
      <c r="S133" s="2091"/>
      <c r="T133" s="867"/>
      <c r="U133" s="867"/>
      <c r="V133" s="867"/>
      <c r="W133" s="1732"/>
      <c r="X133" s="1732"/>
      <c r="Y133" s="1732"/>
      <c r="Z133" s="1490"/>
      <c r="AA133" s="2084"/>
      <c r="AB133" s="4"/>
      <c r="AC133" s="4"/>
      <c r="AD133" s="4"/>
      <c r="AE133" s="4"/>
      <c r="AF133" s="4"/>
      <c r="AG133" s="4"/>
      <c r="AH133" s="4"/>
      <c r="AI133" s="4"/>
      <c r="AJ133" s="4"/>
      <c r="AK133" s="4"/>
      <c r="AL133" s="4"/>
      <c r="AM133" s="4"/>
      <c r="AN133" s="4"/>
      <c r="AO133" s="4"/>
      <c r="AP133" s="4"/>
      <c r="AQ133" s="4"/>
      <c r="AR133" s="4"/>
      <c r="AS133" s="4"/>
      <c r="BR133" s="2086"/>
    </row>
    <row r="134" spans="1:70" s="1798" customFormat="1" ht="15.75" x14ac:dyDescent="0.25">
      <c r="A134" s="4"/>
      <c r="B134" s="4"/>
      <c r="C134" s="4"/>
      <c r="D134" s="4"/>
      <c r="E134" s="4"/>
      <c r="F134" s="4"/>
      <c r="G134" s="1920"/>
      <c r="H134" s="1771"/>
      <c r="I134" s="4"/>
      <c r="J134" s="4"/>
      <c r="K134" s="2095"/>
      <c r="L134" s="1771"/>
      <c r="M134" s="4"/>
      <c r="N134" s="2087"/>
      <c r="O134" s="4738" t="s">
        <v>1575</v>
      </c>
      <c r="P134" s="4738"/>
      <c r="Q134" s="4738"/>
      <c r="R134" s="4"/>
      <c r="S134" s="1771"/>
      <c r="T134" s="1771"/>
      <c r="U134" s="2096"/>
      <c r="V134" s="2096"/>
      <c r="W134" s="2096"/>
      <c r="X134" s="2096"/>
      <c r="Y134" s="2096"/>
      <c r="Z134" s="1490"/>
      <c r="AA134" s="2084"/>
      <c r="AB134" s="4"/>
      <c r="AC134" s="4"/>
      <c r="AD134" s="4"/>
      <c r="AE134" s="4"/>
      <c r="AF134" s="209"/>
      <c r="AG134" s="209"/>
      <c r="AH134" s="4"/>
      <c r="AI134" s="4"/>
      <c r="AJ134" s="209"/>
      <c r="AK134" s="209"/>
      <c r="AL134" s="4"/>
      <c r="AM134" s="4"/>
      <c r="AN134" s="209"/>
      <c r="AO134" s="209"/>
      <c r="AP134" s="4"/>
      <c r="AQ134" s="4"/>
      <c r="AR134" s="209"/>
      <c r="AS134" s="209"/>
      <c r="BR134" s="2086"/>
    </row>
    <row r="135" spans="1:70" s="1798" customFormat="1" ht="15.75" x14ac:dyDescent="0.25">
      <c r="A135" s="4"/>
      <c r="B135" s="4"/>
      <c r="C135" s="4"/>
      <c r="D135" s="4"/>
      <c r="E135" s="4"/>
      <c r="F135" s="4"/>
      <c r="G135" s="1920"/>
      <c r="H135" s="1771"/>
      <c r="I135" s="4"/>
      <c r="J135" s="4"/>
      <c r="K135" s="2095"/>
      <c r="L135" s="1771"/>
      <c r="M135" s="4"/>
      <c r="N135" s="2087"/>
      <c r="O135" s="2084" t="s">
        <v>1576</v>
      </c>
      <c r="P135" s="4"/>
      <c r="Q135" s="2097"/>
      <c r="R135" s="4"/>
      <c r="S135" s="1771"/>
      <c r="T135" s="1771"/>
      <c r="U135" s="2098"/>
      <c r="V135" s="2096"/>
      <c r="W135" s="2096"/>
      <c r="X135" s="2096"/>
      <c r="Y135" s="2096"/>
      <c r="Z135" s="1490"/>
      <c r="AA135" s="2084"/>
      <c r="AB135" s="4"/>
      <c r="AC135" s="4"/>
      <c r="AD135" s="4"/>
      <c r="AE135" s="4"/>
      <c r="AF135" s="209"/>
      <c r="AG135" s="209"/>
      <c r="AH135" s="4"/>
      <c r="AI135" s="4"/>
      <c r="AJ135" s="209"/>
      <c r="AK135" s="209"/>
      <c r="AL135" s="4"/>
      <c r="AM135" s="4"/>
      <c r="AN135" s="209"/>
      <c r="AO135" s="209"/>
      <c r="AP135" s="4"/>
      <c r="AQ135" s="4"/>
      <c r="AR135" s="209"/>
      <c r="AS135" s="209"/>
      <c r="BR135" s="2086"/>
    </row>
    <row r="136" spans="1:70" s="1798" customFormat="1" ht="15.75" x14ac:dyDescent="0.25">
      <c r="A136" s="4"/>
      <c r="B136" s="4"/>
      <c r="C136" s="4"/>
      <c r="D136" s="4"/>
      <c r="E136" s="4"/>
      <c r="F136" s="4"/>
      <c r="G136" s="1920"/>
      <c r="H136" s="1771"/>
      <c r="I136" s="4"/>
      <c r="J136" s="4"/>
      <c r="K136" s="2095"/>
      <c r="L136" s="1771"/>
      <c r="M136" s="4"/>
      <c r="N136" s="2087"/>
      <c r="O136" s="2099"/>
      <c r="P136" s="4"/>
      <c r="Q136" s="2097"/>
      <c r="R136" s="4"/>
      <c r="S136" s="1771"/>
      <c r="T136" s="1771"/>
      <c r="U136" s="2098"/>
      <c r="V136" s="2096"/>
      <c r="W136" s="2096"/>
      <c r="X136" s="2096"/>
      <c r="Y136" s="2096"/>
      <c r="Z136" s="1490"/>
      <c r="AA136" s="2084"/>
      <c r="AB136" s="4"/>
      <c r="AC136" s="4"/>
      <c r="AD136" s="4"/>
      <c r="AE136" s="4"/>
      <c r="AF136" s="209"/>
      <c r="AG136" s="209"/>
      <c r="AH136" s="4"/>
      <c r="AI136" s="4"/>
      <c r="AJ136" s="209"/>
      <c r="AK136" s="209"/>
      <c r="AL136" s="4"/>
      <c r="AM136" s="4"/>
      <c r="AN136" s="209"/>
      <c r="AO136" s="209"/>
      <c r="AP136" s="4"/>
      <c r="AQ136" s="4"/>
      <c r="AR136" s="209"/>
      <c r="AS136" s="209"/>
      <c r="BR136" s="2086"/>
    </row>
    <row r="137" spans="1:70" x14ac:dyDescent="0.2">
      <c r="N137" s="2087"/>
    </row>
    <row r="138" spans="1:70" x14ac:dyDescent="0.2">
      <c r="N138" s="2087"/>
    </row>
    <row r="139" spans="1:70" x14ac:dyDescent="0.2">
      <c r="N139" s="2087"/>
    </row>
    <row r="140" spans="1:70" x14ac:dyDescent="0.2">
      <c r="N140" s="2087"/>
    </row>
    <row r="141" spans="1:70" x14ac:dyDescent="0.2">
      <c r="N141" s="2087"/>
    </row>
    <row r="142" spans="1:70" x14ac:dyDescent="0.2">
      <c r="N142" s="2087"/>
    </row>
    <row r="143" spans="1:70" x14ac:dyDescent="0.2">
      <c r="N143" s="2087"/>
    </row>
    <row r="144" spans="1:70" x14ac:dyDescent="0.2">
      <c r="N144" s="2087"/>
    </row>
    <row r="145" spans="14:14" x14ac:dyDescent="0.2">
      <c r="N145" s="2087"/>
    </row>
    <row r="146" spans="14:14" x14ac:dyDescent="0.2">
      <c r="N146" s="2087"/>
    </row>
    <row r="147" spans="14:14" x14ac:dyDescent="0.2">
      <c r="N147" s="2087"/>
    </row>
    <row r="148" spans="14:14" x14ac:dyDescent="0.2">
      <c r="N148" s="2087"/>
    </row>
    <row r="149" spans="14:14" x14ac:dyDescent="0.2">
      <c r="N149" s="2087"/>
    </row>
    <row r="150" spans="14:14" x14ac:dyDescent="0.2">
      <c r="N150" s="2087"/>
    </row>
    <row r="151" spans="14:14" x14ac:dyDescent="0.2">
      <c r="N151" s="2087"/>
    </row>
    <row r="152" spans="14:14" x14ac:dyDescent="0.2">
      <c r="N152" s="2087"/>
    </row>
    <row r="153" spans="14:14" x14ac:dyDescent="0.2">
      <c r="N153" s="2087"/>
    </row>
    <row r="154" spans="14:14" x14ac:dyDescent="0.2">
      <c r="N154" s="2087"/>
    </row>
    <row r="155" spans="14:14" x14ac:dyDescent="0.2">
      <c r="N155" s="2087"/>
    </row>
    <row r="156" spans="14:14" x14ac:dyDescent="0.2">
      <c r="N156" s="2087"/>
    </row>
    <row r="157" spans="14:14" x14ac:dyDescent="0.2">
      <c r="N157" s="2087"/>
    </row>
    <row r="158" spans="14:14" x14ac:dyDescent="0.2">
      <c r="N158" s="2087"/>
    </row>
    <row r="159" spans="14:14" x14ac:dyDescent="0.2">
      <c r="N159" s="2087"/>
    </row>
    <row r="160" spans="14:14" x14ac:dyDescent="0.2">
      <c r="N160" s="2087"/>
    </row>
    <row r="161" spans="14:14" x14ac:dyDescent="0.2">
      <c r="N161" s="2087"/>
    </row>
    <row r="162" spans="14:14" x14ac:dyDescent="0.2">
      <c r="N162" s="2087"/>
    </row>
    <row r="163" spans="14:14" x14ac:dyDescent="0.2">
      <c r="N163" s="2087"/>
    </row>
    <row r="164" spans="14:14" x14ac:dyDescent="0.2">
      <c r="N164" s="2087"/>
    </row>
    <row r="165" spans="14:14" x14ac:dyDescent="0.2">
      <c r="N165" s="2087"/>
    </row>
    <row r="166" spans="14:14" x14ac:dyDescent="0.2">
      <c r="N166" s="2087"/>
    </row>
    <row r="167" spans="14:14" x14ac:dyDescent="0.2">
      <c r="N167" s="2087"/>
    </row>
    <row r="168" spans="14:14" x14ac:dyDescent="0.2">
      <c r="N168" s="2087"/>
    </row>
    <row r="169" spans="14:14" x14ac:dyDescent="0.2">
      <c r="N169" s="2087"/>
    </row>
    <row r="170" spans="14:14" x14ac:dyDescent="0.2">
      <c r="N170" s="2087"/>
    </row>
    <row r="171" spans="14:14" x14ac:dyDescent="0.2">
      <c r="N171" s="2087"/>
    </row>
    <row r="172" spans="14:14" x14ac:dyDescent="0.2">
      <c r="N172" s="2087"/>
    </row>
    <row r="173" spans="14:14" x14ac:dyDescent="0.2">
      <c r="N173" s="2087"/>
    </row>
    <row r="174" spans="14:14" x14ac:dyDescent="0.2">
      <c r="N174" s="2087"/>
    </row>
    <row r="175" spans="14:14" x14ac:dyDescent="0.2">
      <c r="N175" s="2087"/>
    </row>
    <row r="176" spans="14:14" x14ac:dyDescent="0.2">
      <c r="N176" s="2087"/>
    </row>
    <row r="177" spans="14:14" x14ac:dyDescent="0.2">
      <c r="N177" s="2087"/>
    </row>
    <row r="178" spans="14:14" x14ac:dyDescent="0.2">
      <c r="N178" s="2087"/>
    </row>
    <row r="179" spans="14:14" x14ac:dyDescent="0.2">
      <c r="N179" s="2087"/>
    </row>
    <row r="180" spans="14:14" x14ac:dyDescent="0.2">
      <c r="N180" s="2087"/>
    </row>
    <row r="181" spans="14:14" x14ac:dyDescent="0.2">
      <c r="N181" s="2087"/>
    </row>
    <row r="182" spans="14:14" x14ac:dyDescent="0.2">
      <c r="N182" s="2087"/>
    </row>
    <row r="183" spans="14:14" x14ac:dyDescent="0.2">
      <c r="N183" s="2087"/>
    </row>
    <row r="184" spans="14:14" x14ac:dyDescent="0.2">
      <c r="N184" s="2087"/>
    </row>
    <row r="185" spans="14:14" x14ac:dyDescent="0.2">
      <c r="N185" s="2087"/>
    </row>
    <row r="186" spans="14:14" x14ac:dyDescent="0.2">
      <c r="N186" s="2087"/>
    </row>
    <row r="187" spans="14:14" x14ac:dyDescent="0.2">
      <c r="N187" s="2087"/>
    </row>
    <row r="188" spans="14:14" x14ac:dyDescent="0.2">
      <c r="N188" s="2087"/>
    </row>
    <row r="189" spans="14:14" x14ac:dyDescent="0.2">
      <c r="N189" s="2087"/>
    </row>
    <row r="190" spans="14:14" x14ac:dyDescent="0.2">
      <c r="N190" s="2087"/>
    </row>
    <row r="191" spans="14:14" x14ac:dyDescent="0.2">
      <c r="N191" s="2087"/>
    </row>
    <row r="192" spans="14:14" x14ac:dyDescent="0.2">
      <c r="N192" s="2087"/>
    </row>
    <row r="193" spans="14:14" x14ac:dyDescent="0.2">
      <c r="N193" s="2087"/>
    </row>
    <row r="194" spans="14:14" x14ac:dyDescent="0.2">
      <c r="N194" s="2087"/>
    </row>
    <row r="195" spans="14:14" x14ac:dyDescent="0.2">
      <c r="N195" s="2087"/>
    </row>
    <row r="196" spans="14:14" x14ac:dyDescent="0.2">
      <c r="N196" s="2087"/>
    </row>
    <row r="197" spans="14:14" x14ac:dyDescent="0.2">
      <c r="N197" s="2087"/>
    </row>
    <row r="198" spans="14:14" x14ac:dyDescent="0.2">
      <c r="N198" s="2087"/>
    </row>
    <row r="199" spans="14:14" x14ac:dyDescent="0.2">
      <c r="N199" s="2087"/>
    </row>
    <row r="200" spans="14:14" x14ac:dyDescent="0.2">
      <c r="N200" s="2087"/>
    </row>
    <row r="201" spans="14:14" x14ac:dyDescent="0.2">
      <c r="N201" s="2087"/>
    </row>
    <row r="202" spans="14:14" x14ac:dyDescent="0.2">
      <c r="N202" s="2087"/>
    </row>
    <row r="203" spans="14:14" x14ac:dyDescent="0.2">
      <c r="N203" s="2087"/>
    </row>
    <row r="204" spans="14:14" x14ac:dyDescent="0.2">
      <c r="N204" s="2087"/>
    </row>
    <row r="205" spans="14:14" x14ac:dyDescent="0.2">
      <c r="N205" s="2087"/>
    </row>
    <row r="206" spans="14:14" x14ac:dyDescent="0.2">
      <c r="N206" s="2087"/>
    </row>
    <row r="207" spans="14:14" x14ac:dyDescent="0.2">
      <c r="N207" s="2087"/>
    </row>
    <row r="208" spans="14:14" x14ac:dyDescent="0.2">
      <c r="N208" s="2087"/>
    </row>
    <row r="209" spans="14:14" x14ac:dyDescent="0.2">
      <c r="N209" s="2087"/>
    </row>
    <row r="210" spans="14:14" x14ac:dyDescent="0.2">
      <c r="N210" s="2087"/>
    </row>
    <row r="211" spans="14:14" x14ac:dyDescent="0.2">
      <c r="N211" s="2087"/>
    </row>
    <row r="212" spans="14:14" x14ac:dyDescent="0.2">
      <c r="N212" s="2087"/>
    </row>
  </sheetData>
  <sheetProtection password="A60F" sheet="1" objects="1" scenarios="1"/>
  <mergeCells count="939">
    <mergeCell ref="BR126:BR127"/>
    <mergeCell ref="A128:I128"/>
    <mergeCell ref="AB128:BG128"/>
    <mergeCell ref="O134:Q134"/>
    <mergeCell ref="BL126:BL127"/>
    <mergeCell ref="BM126:BM127"/>
    <mergeCell ref="BN126:BN127"/>
    <mergeCell ref="BO126:BO127"/>
    <mergeCell ref="BP126:BP127"/>
    <mergeCell ref="BQ126:BQ127"/>
    <mergeCell ref="BF126:BF127"/>
    <mergeCell ref="BG126:BG127"/>
    <mergeCell ref="BH126:BH127"/>
    <mergeCell ref="BI126:BI127"/>
    <mergeCell ref="BJ126:BJ127"/>
    <mergeCell ref="BK126:BK127"/>
    <mergeCell ref="AZ126:AZ127"/>
    <mergeCell ref="BA126:BA127"/>
    <mergeCell ref="BB126:BB127"/>
    <mergeCell ref="BC126:BC127"/>
    <mergeCell ref="BD126:BD127"/>
    <mergeCell ref="BE126:BE127"/>
    <mergeCell ref="AT126:AT127"/>
    <mergeCell ref="AU126:AU127"/>
    <mergeCell ref="AV126:AV127"/>
    <mergeCell ref="AW126:AW127"/>
    <mergeCell ref="AX126:AX127"/>
    <mergeCell ref="AY126:AY127"/>
    <mergeCell ref="AN126:AN127"/>
    <mergeCell ref="AO126:AO127"/>
    <mergeCell ref="AP126:AP127"/>
    <mergeCell ref="AQ126:AQ127"/>
    <mergeCell ref="AR126:AR127"/>
    <mergeCell ref="AS126:AS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P126:P127"/>
    <mergeCell ref="Q126:Q127"/>
    <mergeCell ref="R126:R127"/>
    <mergeCell ref="S126:S127"/>
    <mergeCell ref="T126:T127"/>
    <mergeCell ref="U126:U127"/>
    <mergeCell ref="BO121:BO123"/>
    <mergeCell ref="BP121:BP123"/>
    <mergeCell ref="BQ121:BQ123"/>
    <mergeCell ref="BB121:BB123"/>
    <mergeCell ref="AQ121:AQ123"/>
    <mergeCell ref="AR121:AR123"/>
    <mergeCell ref="AS121:AS123"/>
    <mergeCell ref="AT121:AT123"/>
    <mergeCell ref="AU121:AU123"/>
    <mergeCell ref="AV121:AV123"/>
    <mergeCell ref="AK121:AK123"/>
    <mergeCell ref="AL121:AL123"/>
    <mergeCell ref="AM121:AM123"/>
    <mergeCell ref="AN121:AN123"/>
    <mergeCell ref="AO121:AO123"/>
    <mergeCell ref="AP121:AP123"/>
    <mergeCell ref="AE121:AE123"/>
    <mergeCell ref="AF121:AF123"/>
    <mergeCell ref="BR121:BR123"/>
    <mergeCell ref="J126:J127"/>
    <mergeCell ref="K126:K127"/>
    <mergeCell ref="L126:L127"/>
    <mergeCell ref="M126:M127"/>
    <mergeCell ref="N126:N127"/>
    <mergeCell ref="O126:O127"/>
    <mergeCell ref="BI121:BI123"/>
    <mergeCell ref="BJ121:BJ123"/>
    <mergeCell ref="BK121:BK123"/>
    <mergeCell ref="BL121:BL123"/>
    <mergeCell ref="BM121:BM123"/>
    <mergeCell ref="BN121:BN123"/>
    <mergeCell ref="BC121:BC123"/>
    <mergeCell ref="BD121:BD123"/>
    <mergeCell ref="BE121:BE123"/>
    <mergeCell ref="BF121:BF123"/>
    <mergeCell ref="BG121:BG123"/>
    <mergeCell ref="BH121:BH123"/>
    <mergeCell ref="AW121:AW123"/>
    <mergeCell ref="AX121:AX123"/>
    <mergeCell ref="AY121:AY123"/>
    <mergeCell ref="AZ121:AZ123"/>
    <mergeCell ref="BA121:BA123"/>
    <mergeCell ref="AG121:AG123"/>
    <mergeCell ref="AH121:AH123"/>
    <mergeCell ref="AI121:AI123"/>
    <mergeCell ref="AJ121:AJ123"/>
    <mergeCell ref="Y121:Y122"/>
    <mergeCell ref="Z121:Z122"/>
    <mergeCell ref="AA121:AA122"/>
    <mergeCell ref="AB121:AB123"/>
    <mergeCell ref="AC121:AC123"/>
    <mergeCell ref="AD121:AD123"/>
    <mergeCell ref="S121:S123"/>
    <mergeCell ref="T121:T123"/>
    <mergeCell ref="U121:U122"/>
    <mergeCell ref="V121:V122"/>
    <mergeCell ref="W121:W122"/>
    <mergeCell ref="X121:X122"/>
    <mergeCell ref="BR115:BR117"/>
    <mergeCell ref="J121:J122"/>
    <mergeCell ref="K121:K122"/>
    <mergeCell ref="L121:L122"/>
    <mergeCell ref="M121:M122"/>
    <mergeCell ref="N121:N122"/>
    <mergeCell ref="O121:O123"/>
    <mergeCell ref="P121:P123"/>
    <mergeCell ref="Q121:Q123"/>
    <mergeCell ref="R121:R122"/>
    <mergeCell ref="BL115:BL117"/>
    <mergeCell ref="BM115:BM117"/>
    <mergeCell ref="BN115:BN117"/>
    <mergeCell ref="BO115:BO117"/>
    <mergeCell ref="BP115:BP117"/>
    <mergeCell ref="BQ115:BQ117"/>
    <mergeCell ref="BF115:BF117"/>
    <mergeCell ref="BG115:BG117"/>
    <mergeCell ref="BH115:BH117"/>
    <mergeCell ref="BI115:BI117"/>
    <mergeCell ref="BJ115:BJ117"/>
    <mergeCell ref="BK115:BK117"/>
    <mergeCell ref="AZ115:AZ117"/>
    <mergeCell ref="BA115:BA117"/>
    <mergeCell ref="BB115:BB117"/>
    <mergeCell ref="BC115:BC117"/>
    <mergeCell ref="BD115:BD117"/>
    <mergeCell ref="BE115:BE117"/>
    <mergeCell ref="AT115:AT117"/>
    <mergeCell ref="AU115:AU117"/>
    <mergeCell ref="AV115:AV117"/>
    <mergeCell ref="AW115:AW117"/>
    <mergeCell ref="AX115:AX117"/>
    <mergeCell ref="AY115:AY117"/>
    <mergeCell ref="AN115:AN117"/>
    <mergeCell ref="AO115:AO117"/>
    <mergeCell ref="AP115:AP117"/>
    <mergeCell ref="AQ115:AQ117"/>
    <mergeCell ref="AR115:AR117"/>
    <mergeCell ref="AS115:AS117"/>
    <mergeCell ref="AH115:AH117"/>
    <mergeCell ref="AI115:AI117"/>
    <mergeCell ref="AJ115:AJ117"/>
    <mergeCell ref="AK115:AK117"/>
    <mergeCell ref="AL115:AL117"/>
    <mergeCell ref="AM115:AM117"/>
    <mergeCell ref="AB115:AB117"/>
    <mergeCell ref="AC115:AC117"/>
    <mergeCell ref="AD115:AD117"/>
    <mergeCell ref="AE115:AE117"/>
    <mergeCell ref="AF115:AF117"/>
    <mergeCell ref="AG115:AG117"/>
    <mergeCell ref="Q115:Q117"/>
    <mergeCell ref="R115:R117"/>
    <mergeCell ref="S115:S117"/>
    <mergeCell ref="T115:T117"/>
    <mergeCell ref="U115:U117"/>
    <mergeCell ref="V115:V117"/>
    <mergeCell ref="BR111:BR113"/>
    <mergeCell ref="G115:G117"/>
    <mergeCell ref="I115:I117"/>
    <mergeCell ref="J115:J117"/>
    <mergeCell ref="K115:K117"/>
    <mergeCell ref="L115:L117"/>
    <mergeCell ref="M115:M117"/>
    <mergeCell ref="N115:N117"/>
    <mergeCell ref="O115:O117"/>
    <mergeCell ref="P115:P117"/>
    <mergeCell ref="BF111:BF113"/>
    <mergeCell ref="BG111:BG113"/>
    <mergeCell ref="BN111:BN113"/>
    <mergeCell ref="BO111:BO113"/>
    <mergeCell ref="BP111:BP113"/>
    <mergeCell ref="BQ111:BQ113"/>
    <mergeCell ref="AZ111:AZ113"/>
    <mergeCell ref="BA111:BA113"/>
    <mergeCell ref="BB111:BB113"/>
    <mergeCell ref="BC111:BC113"/>
    <mergeCell ref="BD111:BD113"/>
    <mergeCell ref="BE111:BE113"/>
    <mergeCell ref="AT111:AT113"/>
    <mergeCell ref="AU111:AU113"/>
    <mergeCell ref="AV111:AV113"/>
    <mergeCell ref="AW111:AW113"/>
    <mergeCell ref="AX111:AX113"/>
    <mergeCell ref="AY111:AY113"/>
    <mergeCell ref="AN111:AN113"/>
    <mergeCell ref="AO111:AO113"/>
    <mergeCell ref="AP111:AP113"/>
    <mergeCell ref="AQ111:AQ113"/>
    <mergeCell ref="AR111:AR113"/>
    <mergeCell ref="AS111:AS113"/>
    <mergeCell ref="AH111:AH113"/>
    <mergeCell ref="AI111:AI113"/>
    <mergeCell ref="AJ111:AJ113"/>
    <mergeCell ref="AK111:AK113"/>
    <mergeCell ref="AL111:AL113"/>
    <mergeCell ref="AM111:AM113"/>
    <mergeCell ref="AB111:AB113"/>
    <mergeCell ref="AC111:AC113"/>
    <mergeCell ref="AD111:AD113"/>
    <mergeCell ref="AE111:AE113"/>
    <mergeCell ref="AF111:AF113"/>
    <mergeCell ref="AG111:AG113"/>
    <mergeCell ref="V111:V112"/>
    <mergeCell ref="W111:W112"/>
    <mergeCell ref="X111:X112"/>
    <mergeCell ref="Y111:Y112"/>
    <mergeCell ref="Z111:Z112"/>
    <mergeCell ref="AA111:AA112"/>
    <mergeCell ref="P111:P113"/>
    <mergeCell ref="Q111:Q113"/>
    <mergeCell ref="R111:R112"/>
    <mergeCell ref="S111:S113"/>
    <mergeCell ref="T111:T113"/>
    <mergeCell ref="U111:U112"/>
    <mergeCell ref="J111:J112"/>
    <mergeCell ref="K111:K112"/>
    <mergeCell ref="L111:L112"/>
    <mergeCell ref="M111:M112"/>
    <mergeCell ref="N111:N112"/>
    <mergeCell ref="O111:O113"/>
    <mergeCell ref="AY105:AY108"/>
    <mergeCell ref="AZ105:AZ108"/>
    <mergeCell ref="BA105:BA108"/>
    <mergeCell ref="BB105:BB108"/>
    <mergeCell ref="BC105:BC108"/>
    <mergeCell ref="BD105:BD108"/>
    <mergeCell ref="AS105:AS108"/>
    <mergeCell ref="AT105:AT108"/>
    <mergeCell ref="AU105:AU108"/>
    <mergeCell ref="AV105:AV108"/>
    <mergeCell ref="AW105:AW108"/>
    <mergeCell ref="AX105:AX108"/>
    <mergeCell ref="AM105:AM108"/>
    <mergeCell ref="AN105:AN108"/>
    <mergeCell ref="AO105:AO108"/>
    <mergeCell ref="AP105:AP108"/>
    <mergeCell ref="AQ105:AQ108"/>
    <mergeCell ref="AR105:AR108"/>
    <mergeCell ref="AG105:AG108"/>
    <mergeCell ref="AH105:AH108"/>
    <mergeCell ref="AI105:AI108"/>
    <mergeCell ref="AJ105:AJ108"/>
    <mergeCell ref="AK105:AK108"/>
    <mergeCell ref="AL105:AL108"/>
    <mergeCell ref="V105:V106"/>
    <mergeCell ref="AB105:AB108"/>
    <mergeCell ref="AC105:AC108"/>
    <mergeCell ref="AD105:AD108"/>
    <mergeCell ref="AE105:AE108"/>
    <mergeCell ref="AF105:AF108"/>
    <mergeCell ref="P105:P108"/>
    <mergeCell ref="Q105:Q108"/>
    <mergeCell ref="R105:R108"/>
    <mergeCell ref="S105:S108"/>
    <mergeCell ref="T105:T108"/>
    <mergeCell ref="U105:U108"/>
    <mergeCell ref="J105:J108"/>
    <mergeCell ref="K105:K108"/>
    <mergeCell ref="L105:L108"/>
    <mergeCell ref="M105:M108"/>
    <mergeCell ref="N105:N108"/>
    <mergeCell ref="O105:O108"/>
    <mergeCell ref="J103:J104"/>
    <mergeCell ref="K103:K104"/>
    <mergeCell ref="M103:M104"/>
    <mergeCell ref="N103:N104"/>
    <mergeCell ref="R103:R104"/>
    <mergeCell ref="V103:V104"/>
    <mergeCell ref="J101:J102"/>
    <mergeCell ref="K101:K102"/>
    <mergeCell ref="M101:M102"/>
    <mergeCell ref="N101:N102"/>
    <mergeCell ref="R101:R102"/>
    <mergeCell ref="V101:V102"/>
    <mergeCell ref="BP98:BP108"/>
    <mergeCell ref="AX98:AX104"/>
    <mergeCell ref="AY98:AY104"/>
    <mergeCell ref="AZ98:AZ104"/>
    <mergeCell ref="BA98:BA104"/>
    <mergeCell ref="BB98:BB104"/>
    <mergeCell ref="BC98:BC104"/>
    <mergeCell ref="AR98:AR104"/>
    <mergeCell ref="AS98:AS104"/>
    <mergeCell ref="AT98:AT104"/>
    <mergeCell ref="AU98:AU104"/>
    <mergeCell ref="AV98:AV104"/>
    <mergeCell ref="AW98:AW104"/>
    <mergeCell ref="AL98:AL104"/>
    <mergeCell ref="AM98:AM104"/>
    <mergeCell ref="AN98:AN104"/>
    <mergeCell ref="BQ98:BQ108"/>
    <mergeCell ref="BR98:BR108"/>
    <mergeCell ref="J99:J100"/>
    <mergeCell ref="K99:K100"/>
    <mergeCell ref="M99:M100"/>
    <mergeCell ref="N99:N100"/>
    <mergeCell ref="O99:O103"/>
    <mergeCell ref="R99:R100"/>
    <mergeCell ref="V99:V100"/>
    <mergeCell ref="BJ98:BJ108"/>
    <mergeCell ref="BK98:BK108"/>
    <mergeCell ref="BL98:BL108"/>
    <mergeCell ref="BM98:BM108"/>
    <mergeCell ref="BN98:BN108"/>
    <mergeCell ref="BO98:BO108"/>
    <mergeCell ref="BD98:BD104"/>
    <mergeCell ref="BE98:BE104"/>
    <mergeCell ref="BF98:BF104"/>
    <mergeCell ref="BG98:BG104"/>
    <mergeCell ref="BH98:BH108"/>
    <mergeCell ref="BI98:BI108"/>
    <mergeCell ref="BE105:BE108"/>
    <mergeCell ref="BF105:BF108"/>
    <mergeCell ref="BG105:BG108"/>
    <mergeCell ref="AO98:AO104"/>
    <mergeCell ref="AP98:AP104"/>
    <mergeCell ref="AQ98:AQ104"/>
    <mergeCell ref="AF98:AF104"/>
    <mergeCell ref="AG98:AG104"/>
    <mergeCell ref="AH98:AH104"/>
    <mergeCell ref="AI98:AI104"/>
    <mergeCell ref="AJ98:AJ104"/>
    <mergeCell ref="AK98:AK104"/>
    <mergeCell ref="BR92:BR96"/>
    <mergeCell ref="P98:P103"/>
    <mergeCell ref="Q98:Q103"/>
    <mergeCell ref="S98:S104"/>
    <mergeCell ref="T98:T103"/>
    <mergeCell ref="U98:U103"/>
    <mergeCell ref="AB98:AB104"/>
    <mergeCell ref="AC98:AC104"/>
    <mergeCell ref="AD98:AD104"/>
    <mergeCell ref="AE98:AE104"/>
    <mergeCell ref="BL92:BL96"/>
    <mergeCell ref="BM92:BM96"/>
    <mergeCell ref="BN92:BN96"/>
    <mergeCell ref="BO92:BO96"/>
    <mergeCell ref="BP92:BP96"/>
    <mergeCell ref="BQ92:BQ96"/>
    <mergeCell ref="BF92:BF96"/>
    <mergeCell ref="BG92:BG96"/>
    <mergeCell ref="BH92:BH96"/>
    <mergeCell ref="BI92:BI96"/>
    <mergeCell ref="BJ92:BJ96"/>
    <mergeCell ref="BK92:BK96"/>
    <mergeCell ref="AZ92:AZ96"/>
    <mergeCell ref="BA92:BA96"/>
    <mergeCell ref="BB92:BB96"/>
    <mergeCell ref="BC92:BC96"/>
    <mergeCell ref="BD92:BD96"/>
    <mergeCell ref="BE92:BE96"/>
    <mergeCell ref="AT92:AT96"/>
    <mergeCell ref="AU92:AU96"/>
    <mergeCell ref="AV92:AV96"/>
    <mergeCell ref="AW92:AW96"/>
    <mergeCell ref="AX92:AX96"/>
    <mergeCell ref="AY92:AY96"/>
    <mergeCell ref="AN92:AN96"/>
    <mergeCell ref="AO92:AO96"/>
    <mergeCell ref="AP92:AP96"/>
    <mergeCell ref="AQ92:AQ96"/>
    <mergeCell ref="AR92:AR96"/>
    <mergeCell ref="AS92:AS96"/>
    <mergeCell ref="AH92:AH96"/>
    <mergeCell ref="AI92:AI96"/>
    <mergeCell ref="AJ92:AJ96"/>
    <mergeCell ref="AK92:AK96"/>
    <mergeCell ref="AL92:AL96"/>
    <mergeCell ref="AM92:AM96"/>
    <mergeCell ref="AB92:AB96"/>
    <mergeCell ref="AC92:AC96"/>
    <mergeCell ref="AD92:AD96"/>
    <mergeCell ref="AE92:AE96"/>
    <mergeCell ref="AF92:AF96"/>
    <mergeCell ref="AG92:AG96"/>
    <mergeCell ref="P92:P96"/>
    <mergeCell ref="Q92:Q96"/>
    <mergeCell ref="S92:S96"/>
    <mergeCell ref="T92:T96"/>
    <mergeCell ref="Z92:Z96"/>
    <mergeCell ref="AA92:AA96"/>
    <mergeCell ref="BP84:BP89"/>
    <mergeCell ref="BQ84:BQ89"/>
    <mergeCell ref="BR84:BR89"/>
    <mergeCell ref="W85:W88"/>
    <mergeCell ref="X85:X88"/>
    <mergeCell ref="Y85:Y88"/>
    <mergeCell ref="Z85:Z88"/>
    <mergeCell ref="AA85:AA88"/>
    <mergeCell ref="BJ84:BJ89"/>
    <mergeCell ref="BK84:BK89"/>
    <mergeCell ref="BL84:BL89"/>
    <mergeCell ref="BM84:BM89"/>
    <mergeCell ref="BN84:BN89"/>
    <mergeCell ref="BO84:BO89"/>
    <mergeCell ref="BD84:BD89"/>
    <mergeCell ref="BE84:BE89"/>
    <mergeCell ref="BF84:BF89"/>
    <mergeCell ref="BG84:BG89"/>
    <mergeCell ref="BH84:BH89"/>
    <mergeCell ref="BI84:BI89"/>
    <mergeCell ref="AX84:AX89"/>
    <mergeCell ref="AY84:AY89"/>
    <mergeCell ref="AZ84:AZ89"/>
    <mergeCell ref="BA84:BA89"/>
    <mergeCell ref="BB84:BB89"/>
    <mergeCell ref="BC84:BC89"/>
    <mergeCell ref="AR84:AR89"/>
    <mergeCell ref="AS84:AS89"/>
    <mergeCell ref="AT84:AT89"/>
    <mergeCell ref="AU84:AU89"/>
    <mergeCell ref="AV84:AV89"/>
    <mergeCell ref="AW84:AW89"/>
    <mergeCell ref="AL84:AL89"/>
    <mergeCell ref="AM84:AM89"/>
    <mergeCell ref="AN84:AN89"/>
    <mergeCell ref="AO84:AO89"/>
    <mergeCell ref="AP84:AP89"/>
    <mergeCell ref="AQ84:AQ89"/>
    <mergeCell ref="AF84:AF89"/>
    <mergeCell ref="AG84:AG89"/>
    <mergeCell ref="AH84:AH89"/>
    <mergeCell ref="AI84:AI89"/>
    <mergeCell ref="AJ84:AJ89"/>
    <mergeCell ref="AK84:AK89"/>
    <mergeCell ref="U84:U89"/>
    <mergeCell ref="V84:V88"/>
    <mergeCell ref="AB84:AB89"/>
    <mergeCell ref="AC84:AC89"/>
    <mergeCell ref="AD84:AD89"/>
    <mergeCell ref="AE84:AE89"/>
    <mergeCell ref="N84:N89"/>
    <mergeCell ref="P84:P89"/>
    <mergeCell ref="Q84:Q89"/>
    <mergeCell ref="R84:R89"/>
    <mergeCell ref="S84:S89"/>
    <mergeCell ref="T84:T89"/>
    <mergeCell ref="W80:W81"/>
    <mergeCell ref="X80:X81"/>
    <mergeCell ref="Y80:Y81"/>
    <mergeCell ref="Q76:Q82"/>
    <mergeCell ref="R76:R77"/>
    <mergeCell ref="S76:S82"/>
    <mergeCell ref="T76:T82"/>
    <mergeCell ref="U76:U77"/>
    <mergeCell ref="V76:V77"/>
    <mergeCell ref="R80:R81"/>
    <mergeCell ref="U80:U81"/>
    <mergeCell ref="V80:V81"/>
    <mergeCell ref="Z80:Z81"/>
    <mergeCell ref="AA80:AA81"/>
    <mergeCell ref="G84:I89"/>
    <mergeCell ref="J84:J89"/>
    <mergeCell ref="K84:K89"/>
    <mergeCell ref="L84:L89"/>
    <mergeCell ref="M84:M89"/>
    <mergeCell ref="BR76:BR82"/>
    <mergeCell ref="J78:J79"/>
    <mergeCell ref="K78:K79"/>
    <mergeCell ref="L78:L79"/>
    <mergeCell ref="M78:M79"/>
    <mergeCell ref="N78:N79"/>
    <mergeCell ref="R78:R79"/>
    <mergeCell ref="U78:U79"/>
    <mergeCell ref="V78:V79"/>
    <mergeCell ref="J80:J81"/>
    <mergeCell ref="BL76:BL82"/>
    <mergeCell ref="BM76:BM82"/>
    <mergeCell ref="BN76:BN82"/>
    <mergeCell ref="BO76:BO82"/>
    <mergeCell ref="BP76:BP82"/>
    <mergeCell ref="BQ76:BQ82"/>
    <mergeCell ref="BF76:BF82"/>
    <mergeCell ref="BG76:BG82"/>
    <mergeCell ref="BH76:BH82"/>
    <mergeCell ref="BI76:BI82"/>
    <mergeCell ref="BJ76:BJ82"/>
    <mergeCell ref="BK76:BK82"/>
    <mergeCell ref="AZ76:AZ82"/>
    <mergeCell ref="BA76:BA82"/>
    <mergeCell ref="BB76:BB82"/>
    <mergeCell ref="BC76:BC82"/>
    <mergeCell ref="BD76:BD82"/>
    <mergeCell ref="BE76:BE82"/>
    <mergeCell ref="AT76:AT82"/>
    <mergeCell ref="AU76:AU82"/>
    <mergeCell ref="AV76:AV82"/>
    <mergeCell ref="AW76:AW82"/>
    <mergeCell ref="AX76:AX82"/>
    <mergeCell ref="AY76:AY82"/>
    <mergeCell ref="AN76:AN82"/>
    <mergeCell ref="AO76:AO82"/>
    <mergeCell ref="AP76:AP82"/>
    <mergeCell ref="AQ76:AQ82"/>
    <mergeCell ref="AR76:AR82"/>
    <mergeCell ref="AS76:AS82"/>
    <mergeCell ref="AH76:AH82"/>
    <mergeCell ref="AI76:AI82"/>
    <mergeCell ref="AJ76:AJ82"/>
    <mergeCell ref="AK76:AK82"/>
    <mergeCell ref="AL76:AL82"/>
    <mergeCell ref="AM76:AM82"/>
    <mergeCell ref="AB76:AB82"/>
    <mergeCell ref="AC76:AC82"/>
    <mergeCell ref="AD76:AD82"/>
    <mergeCell ref="AE76:AE82"/>
    <mergeCell ref="AF76:AF82"/>
    <mergeCell ref="AG76:AG82"/>
    <mergeCell ref="J76:J77"/>
    <mergeCell ref="K76:K77"/>
    <mergeCell ref="L76:L77"/>
    <mergeCell ref="M76:M77"/>
    <mergeCell ref="N76:N77"/>
    <mergeCell ref="P76:P82"/>
    <mergeCell ref="K80:K81"/>
    <mergeCell ref="L80:L81"/>
    <mergeCell ref="M80:M81"/>
    <mergeCell ref="N80:N81"/>
    <mergeCell ref="J71:J73"/>
    <mergeCell ref="K71:K73"/>
    <mergeCell ref="L71:L73"/>
    <mergeCell ref="M71:M73"/>
    <mergeCell ref="N71:N73"/>
    <mergeCell ref="R71:R73"/>
    <mergeCell ref="U71:U73"/>
    <mergeCell ref="V71:V73"/>
    <mergeCell ref="J67:J70"/>
    <mergeCell ref="K67:K70"/>
    <mergeCell ref="L67:L69"/>
    <mergeCell ref="M67:M70"/>
    <mergeCell ref="N67:N70"/>
    <mergeCell ref="R67:R70"/>
    <mergeCell ref="M63:M65"/>
    <mergeCell ref="N63:N65"/>
    <mergeCell ref="R63:R65"/>
    <mergeCell ref="J60:J62"/>
    <mergeCell ref="K60:K62"/>
    <mergeCell ref="L60:L62"/>
    <mergeCell ref="M60:M62"/>
    <mergeCell ref="N60:N62"/>
    <mergeCell ref="R60:R62"/>
    <mergeCell ref="BA54:BA74"/>
    <mergeCell ref="BB54:BB74"/>
    <mergeCell ref="BC54:BC74"/>
    <mergeCell ref="BD54:BD74"/>
    <mergeCell ref="BE54:BE74"/>
    <mergeCell ref="BF54:BF74"/>
    <mergeCell ref="AU54:AU74"/>
    <mergeCell ref="AV54:AV74"/>
    <mergeCell ref="AW54:AW74"/>
    <mergeCell ref="AX54:AX74"/>
    <mergeCell ref="AY54:AY74"/>
    <mergeCell ref="AZ54:AZ74"/>
    <mergeCell ref="BP54:BP74"/>
    <mergeCell ref="BQ54:BQ74"/>
    <mergeCell ref="BR54:BR74"/>
    <mergeCell ref="BG54:BG74"/>
    <mergeCell ref="BH54:BH74"/>
    <mergeCell ref="BI54:BI74"/>
    <mergeCell ref="BJ54:BJ74"/>
    <mergeCell ref="BK54:BK74"/>
    <mergeCell ref="BL54:BL74"/>
    <mergeCell ref="BM54:BM74"/>
    <mergeCell ref="BN54:BN74"/>
    <mergeCell ref="BO54:BO74"/>
    <mergeCell ref="AR54:AR74"/>
    <mergeCell ref="AS54:AS74"/>
    <mergeCell ref="AT54:AT74"/>
    <mergeCell ref="AI54:AI74"/>
    <mergeCell ref="AJ54:AJ74"/>
    <mergeCell ref="AK54:AK74"/>
    <mergeCell ref="AL54:AL74"/>
    <mergeCell ref="AM54:AM74"/>
    <mergeCell ref="AN54:AN74"/>
    <mergeCell ref="AO54:AO74"/>
    <mergeCell ref="AP54:AP74"/>
    <mergeCell ref="AQ54:AQ74"/>
    <mergeCell ref="AC54:AC74"/>
    <mergeCell ref="AD54:AD74"/>
    <mergeCell ref="AE54:AE74"/>
    <mergeCell ref="AF54:AF74"/>
    <mergeCell ref="AG54:AG74"/>
    <mergeCell ref="AH54:AH74"/>
    <mergeCell ref="R54:R55"/>
    <mergeCell ref="S54:S74"/>
    <mergeCell ref="T54:T74"/>
    <mergeCell ref="U54:U55"/>
    <mergeCell ref="V54:V55"/>
    <mergeCell ref="AB54:AB74"/>
    <mergeCell ref="U58:U59"/>
    <mergeCell ref="V58:V59"/>
    <mergeCell ref="U60:U62"/>
    <mergeCell ref="U63:U65"/>
    <mergeCell ref="R58:R59"/>
    <mergeCell ref="U67:U70"/>
    <mergeCell ref="V67:V68"/>
    <mergeCell ref="U45:U46"/>
    <mergeCell ref="V45:V46"/>
    <mergeCell ref="O46:O52"/>
    <mergeCell ref="G54:I74"/>
    <mergeCell ref="J54:J55"/>
    <mergeCell ref="K54:K55"/>
    <mergeCell ref="M54:M55"/>
    <mergeCell ref="N54:N55"/>
    <mergeCell ref="P54:P74"/>
    <mergeCell ref="Q54:Q74"/>
    <mergeCell ref="J45:J46"/>
    <mergeCell ref="K45:K46"/>
    <mergeCell ref="L45:L46"/>
    <mergeCell ref="M45:M46"/>
    <mergeCell ref="N45:N46"/>
    <mergeCell ref="R45:R46"/>
    <mergeCell ref="J58:J59"/>
    <mergeCell ref="K58:K59"/>
    <mergeCell ref="L58:L59"/>
    <mergeCell ref="M58:M59"/>
    <mergeCell ref="N58:N59"/>
    <mergeCell ref="J63:J65"/>
    <mergeCell ref="K63:K65"/>
    <mergeCell ref="L63:L65"/>
    <mergeCell ref="BM44:BM52"/>
    <mergeCell ref="BN44:BN52"/>
    <mergeCell ref="BO44:BO52"/>
    <mergeCell ref="BP44:BP52"/>
    <mergeCell ref="BQ44:BQ52"/>
    <mergeCell ref="BR44:BR52"/>
    <mergeCell ref="BG44:BG52"/>
    <mergeCell ref="BH44:BH52"/>
    <mergeCell ref="BI44:BI52"/>
    <mergeCell ref="BJ44:BJ52"/>
    <mergeCell ref="BK44:BK52"/>
    <mergeCell ref="BL44:BL52"/>
    <mergeCell ref="BA44:BA52"/>
    <mergeCell ref="BB44:BB52"/>
    <mergeCell ref="BC44:BC52"/>
    <mergeCell ref="BD44:BD52"/>
    <mergeCell ref="BE44:BE52"/>
    <mergeCell ref="BF44:BF52"/>
    <mergeCell ref="AU44:AU52"/>
    <mergeCell ref="AV44:AV52"/>
    <mergeCell ref="AW44:AW52"/>
    <mergeCell ref="AX44:AX52"/>
    <mergeCell ref="AY44:AY52"/>
    <mergeCell ref="AZ44:AZ52"/>
    <mergeCell ref="AO44:AO52"/>
    <mergeCell ref="AP44:AP52"/>
    <mergeCell ref="AQ44:AQ52"/>
    <mergeCell ref="AR44:AR52"/>
    <mergeCell ref="AS44:AS52"/>
    <mergeCell ref="AT44:AT52"/>
    <mergeCell ref="AI44:AI52"/>
    <mergeCell ref="AJ44:AJ52"/>
    <mergeCell ref="AK44:AK52"/>
    <mergeCell ref="AL44:AL52"/>
    <mergeCell ref="AM44:AM52"/>
    <mergeCell ref="AN44:AN52"/>
    <mergeCell ref="AC44:AC52"/>
    <mergeCell ref="AD44:AD52"/>
    <mergeCell ref="AE44:AE52"/>
    <mergeCell ref="AF44:AF52"/>
    <mergeCell ref="AG44:AG52"/>
    <mergeCell ref="AH44:AH52"/>
    <mergeCell ref="BN37:BN41"/>
    <mergeCell ref="BO37:BO41"/>
    <mergeCell ref="BP37:BP41"/>
    <mergeCell ref="BA37:BA41"/>
    <mergeCell ref="AP37:AP41"/>
    <mergeCell ref="AQ37:AQ41"/>
    <mergeCell ref="AR37:AR41"/>
    <mergeCell ref="AS37:AS41"/>
    <mergeCell ref="AT37:AT41"/>
    <mergeCell ref="AU37:AU41"/>
    <mergeCell ref="AJ37:AJ41"/>
    <mergeCell ref="AK37:AK41"/>
    <mergeCell ref="AL37:AL41"/>
    <mergeCell ref="AM37:AM41"/>
    <mergeCell ref="AN37:AN41"/>
    <mergeCell ref="AO37:AO41"/>
    <mergeCell ref="AD37:AD41"/>
    <mergeCell ref="AE37:AE41"/>
    <mergeCell ref="BQ37:BQ41"/>
    <mergeCell ref="BR37:BR41"/>
    <mergeCell ref="P44:P52"/>
    <mergeCell ref="Q44:Q52"/>
    <mergeCell ref="S44:S52"/>
    <mergeCell ref="T44:T52"/>
    <mergeCell ref="AB44:AB52"/>
    <mergeCell ref="BH37:BH41"/>
    <mergeCell ref="BI37:BI41"/>
    <mergeCell ref="BJ37:BJ41"/>
    <mergeCell ref="BK37:BK41"/>
    <mergeCell ref="BL37:BL41"/>
    <mergeCell ref="BM37:BM41"/>
    <mergeCell ref="BB37:BB41"/>
    <mergeCell ref="BC37:BC41"/>
    <mergeCell ref="BD37:BD41"/>
    <mergeCell ref="BE37:BE41"/>
    <mergeCell ref="BF37:BF41"/>
    <mergeCell ref="BG37:BG41"/>
    <mergeCell ref="AV37:AV41"/>
    <mergeCell ref="AW37:AW41"/>
    <mergeCell ref="AX37:AX41"/>
    <mergeCell ref="AY37:AY41"/>
    <mergeCell ref="AZ37:AZ41"/>
    <mergeCell ref="AF37:AF41"/>
    <mergeCell ref="AG37:AG41"/>
    <mergeCell ref="AH37:AH41"/>
    <mergeCell ref="AI37:AI41"/>
    <mergeCell ref="S37:S41"/>
    <mergeCell ref="T37:T41"/>
    <mergeCell ref="U37:U41"/>
    <mergeCell ref="V37:V41"/>
    <mergeCell ref="AB37:AB41"/>
    <mergeCell ref="AC37:AC41"/>
    <mergeCell ref="L37:L41"/>
    <mergeCell ref="M37:M41"/>
    <mergeCell ref="N37:N41"/>
    <mergeCell ref="P37:P41"/>
    <mergeCell ref="Q37:Q41"/>
    <mergeCell ref="R37:R41"/>
    <mergeCell ref="D37:D41"/>
    <mergeCell ref="F37:F41"/>
    <mergeCell ref="G37:G41"/>
    <mergeCell ref="I37:I41"/>
    <mergeCell ref="J37:J41"/>
    <mergeCell ref="K37:K41"/>
    <mergeCell ref="BP27:BP36"/>
    <mergeCell ref="BQ27:BQ36"/>
    <mergeCell ref="BR27:BR36"/>
    <mergeCell ref="J30:J31"/>
    <mergeCell ref="K30:K31"/>
    <mergeCell ref="L30:L31"/>
    <mergeCell ref="M30:M31"/>
    <mergeCell ref="N30:N31"/>
    <mergeCell ref="R30:R31"/>
    <mergeCell ref="J33:J34"/>
    <mergeCell ref="BJ27:BJ36"/>
    <mergeCell ref="BK27:BK36"/>
    <mergeCell ref="BL27:BL36"/>
    <mergeCell ref="BM27:BM36"/>
    <mergeCell ref="BN27:BN36"/>
    <mergeCell ref="BO27:BO36"/>
    <mergeCell ref="BD27:BD36"/>
    <mergeCell ref="BE27:BE36"/>
    <mergeCell ref="BF27:BF36"/>
    <mergeCell ref="BG27:BG36"/>
    <mergeCell ref="BH27:BH36"/>
    <mergeCell ref="BI27:BI36"/>
    <mergeCell ref="AX27:AX36"/>
    <mergeCell ref="AY27:AY36"/>
    <mergeCell ref="AZ27:AZ36"/>
    <mergeCell ref="BA27:BA36"/>
    <mergeCell ref="BB27:BB36"/>
    <mergeCell ref="BC27:BC36"/>
    <mergeCell ref="AR27:AR36"/>
    <mergeCell ref="AS27:AS36"/>
    <mergeCell ref="AT27:AT36"/>
    <mergeCell ref="AU27:AU36"/>
    <mergeCell ref="AV27:AV36"/>
    <mergeCell ref="AW27:AW36"/>
    <mergeCell ref="AL27:AL36"/>
    <mergeCell ref="AM27:AM36"/>
    <mergeCell ref="AN27:AN36"/>
    <mergeCell ref="AO27:AO36"/>
    <mergeCell ref="AP27:AP36"/>
    <mergeCell ref="AQ27:AQ36"/>
    <mergeCell ref="V27:V28"/>
    <mergeCell ref="AB27:AB36"/>
    <mergeCell ref="AD27:AD36"/>
    <mergeCell ref="AF27:AF36"/>
    <mergeCell ref="AH27:AH36"/>
    <mergeCell ref="AJ27:AJ36"/>
    <mergeCell ref="V33:V34"/>
    <mergeCell ref="P27:P36"/>
    <mergeCell ref="Q27:Q36"/>
    <mergeCell ref="R27:R28"/>
    <mergeCell ref="S27:S36"/>
    <mergeCell ref="T27:T36"/>
    <mergeCell ref="U27:U36"/>
    <mergeCell ref="R33:R34"/>
    <mergeCell ref="R35:R36"/>
    <mergeCell ref="J27:J28"/>
    <mergeCell ref="K27:K28"/>
    <mergeCell ref="L27:L28"/>
    <mergeCell ref="M27:M28"/>
    <mergeCell ref="N27:N28"/>
    <mergeCell ref="O27:O36"/>
    <mergeCell ref="K33:K34"/>
    <mergeCell ref="L33:L34"/>
    <mergeCell ref="M33:M34"/>
    <mergeCell ref="N33:N34"/>
    <mergeCell ref="J35:J36"/>
    <mergeCell ref="K35:K36"/>
    <mergeCell ref="L35:L36"/>
    <mergeCell ref="M35:M36"/>
    <mergeCell ref="N35:N36"/>
    <mergeCell ref="J22:J25"/>
    <mergeCell ref="K22:K25"/>
    <mergeCell ref="L22:L25"/>
    <mergeCell ref="M22:M25"/>
    <mergeCell ref="N22:N25"/>
    <mergeCell ref="R22:R25"/>
    <mergeCell ref="U22:U25"/>
    <mergeCell ref="V22:V25"/>
    <mergeCell ref="O11:O25"/>
    <mergeCell ref="P11:P25"/>
    <mergeCell ref="Q11:Q25"/>
    <mergeCell ref="R11:R15"/>
    <mergeCell ref="S11:S25"/>
    <mergeCell ref="T11:T25"/>
    <mergeCell ref="BQ11:BQ25"/>
    <mergeCell ref="BR11:BR25"/>
    <mergeCell ref="J16:J21"/>
    <mergeCell ref="K16:K21"/>
    <mergeCell ref="L16:L21"/>
    <mergeCell ref="M16:M21"/>
    <mergeCell ref="N16:N21"/>
    <mergeCell ref="R16:R21"/>
    <mergeCell ref="U16:U21"/>
    <mergeCell ref="V16:V19"/>
    <mergeCell ref="BK11:BK25"/>
    <mergeCell ref="BL11:BL25"/>
    <mergeCell ref="BM11:BM25"/>
    <mergeCell ref="BN11:BN25"/>
    <mergeCell ref="BO11:BO25"/>
    <mergeCell ref="BP11:BP25"/>
    <mergeCell ref="BE11:BE25"/>
    <mergeCell ref="BF11:BF25"/>
    <mergeCell ref="BG11:BG25"/>
    <mergeCell ref="BH11:BH25"/>
    <mergeCell ref="BI11:BI25"/>
    <mergeCell ref="BJ11:BJ25"/>
    <mergeCell ref="AY11:AY25"/>
    <mergeCell ref="AZ11:AZ25"/>
    <mergeCell ref="BA11:BA25"/>
    <mergeCell ref="BB11:BB25"/>
    <mergeCell ref="BC11:BC25"/>
    <mergeCell ref="BD11:BD25"/>
    <mergeCell ref="AS11:AS25"/>
    <mergeCell ref="AT11:AT25"/>
    <mergeCell ref="AU11:AU25"/>
    <mergeCell ref="AV11:AV25"/>
    <mergeCell ref="AW11:AW25"/>
    <mergeCell ref="AX11:AX25"/>
    <mergeCell ref="AM11:AM25"/>
    <mergeCell ref="AN11:AN25"/>
    <mergeCell ref="AO11:AO25"/>
    <mergeCell ref="AP11:AP25"/>
    <mergeCell ref="AQ11:AQ25"/>
    <mergeCell ref="AR11:AR25"/>
    <mergeCell ref="AG11:AG25"/>
    <mergeCell ref="AH11:AH25"/>
    <mergeCell ref="AI11:AI25"/>
    <mergeCell ref="AJ11:AJ25"/>
    <mergeCell ref="AK11:AK25"/>
    <mergeCell ref="AL11:AL25"/>
    <mergeCell ref="AA11:AA12"/>
    <mergeCell ref="AB11:AB25"/>
    <mergeCell ref="AC11:AC25"/>
    <mergeCell ref="AD11:AD25"/>
    <mergeCell ref="AE11:AE25"/>
    <mergeCell ref="AF11:AF25"/>
    <mergeCell ref="U11:U15"/>
    <mergeCell ref="V11:V15"/>
    <mergeCell ref="W11:W12"/>
    <mergeCell ref="X11:X12"/>
    <mergeCell ref="Y11:Y12"/>
    <mergeCell ref="Z11:Z12"/>
    <mergeCell ref="V20:V21"/>
    <mergeCell ref="BI7:BI8"/>
    <mergeCell ref="BJ7:BJ8"/>
    <mergeCell ref="BK7:BK8"/>
    <mergeCell ref="BL7:BL8"/>
    <mergeCell ref="BM7:BM8"/>
    <mergeCell ref="J11:J15"/>
    <mergeCell ref="K11:K15"/>
    <mergeCell ref="L11:L15"/>
    <mergeCell ref="M11:M15"/>
    <mergeCell ref="N11:N15"/>
    <mergeCell ref="AV7:AW7"/>
    <mergeCell ref="AX7:AY7"/>
    <mergeCell ref="AZ7:BA7"/>
    <mergeCell ref="BB7:BC7"/>
    <mergeCell ref="BD7:BE7"/>
    <mergeCell ref="BH7:BH8"/>
    <mergeCell ref="AA6:AA7"/>
    <mergeCell ref="R6:R7"/>
    <mergeCell ref="S6:S7"/>
    <mergeCell ref="T6:T7"/>
    <mergeCell ref="U6:U7"/>
    <mergeCell ref="V6:V7"/>
    <mergeCell ref="W6:Y6"/>
    <mergeCell ref="K6:K7"/>
    <mergeCell ref="AL7:AM7"/>
    <mergeCell ref="AB6:AE6"/>
    <mergeCell ref="AF6:AM6"/>
    <mergeCell ref="AN6:AY6"/>
    <mergeCell ref="AZ6:BE6"/>
    <mergeCell ref="BF6:BG7"/>
    <mergeCell ref="AN7:AO7"/>
    <mergeCell ref="AP7:AQ7"/>
    <mergeCell ref="AR7:AS7"/>
    <mergeCell ref="AT7:AU7"/>
    <mergeCell ref="L6:L7"/>
    <mergeCell ref="M6:N6"/>
    <mergeCell ref="O6:O7"/>
    <mergeCell ref="P6:P7"/>
    <mergeCell ref="Q6:Q7"/>
    <mergeCell ref="A1:BP4"/>
    <mergeCell ref="A5:M5"/>
    <mergeCell ref="Q5:BR5"/>
    <mergeCell ref="A6:A7"/>
    <mergeCell ref="B6:C7"/>
    <mergeCell ref="D6:D7"/>
    <mergeCell ref="E6:F7"/>
    <mergeCell ref="G6:G7"/>
    <mergeCell ref="H6:I7"/>
    <mergeCell ref="J6:J7"/>
    <mergeCell ref="BH6:BM6"/>
    <mergeCell ref="BN6:BO7"/>
    <mergeCell ref="BP6:BQ7"/>
    <mergeCell ref="BR6:BR7"/>
    <mergeCell ref="AB7:AC7"/>
    <mergeCell ref="AD7:AE7"/>
    <mergeCell ref="AF7:AG7"/>
    <mergeCell ref="AH7:AI7"/>
    <mergeCell ref="AJ7:AK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162"/>
  <sheetViews>
    <sheetView showGridLines="0" zoomScale="80" zoomScaleNormal="80" workbookViewId="0">
      <selection sqref="A1:BK4"/>
    </sheetView>
  </sheetViews>
  <sheetFormatPr baseColWidth="10" defaultColWidth="11.42578125" defaultRowHeight="14.25" x14ac:dyDescent="0.2"/>
  <cols>
    <col min="1" max="1" width="15.28515625" style="360" customWidth="1"/>
    <col min="2" max="2" width="18.42578125" style="360" customWidth="1"/>
    <col min="3" max="3" width="13.85546875" style="360" customWidth="1"/>
    <col min="4" max="4" width="27.42578125" style="360" customWidth="1"/>
    <col min="5" max="5" width="16.5703125" style="360" customWidth="1"/>
    <col min="6" max="6" width="29.28515625" style="2482" customWidth="1"/>
    <col min="7" max="7" width="16.85546875" style="360" customWidth="1"/>
    <col min="8" max="8" width="38.85546875" style="2480" customWidth="1"/>
    <col min="9" max="9" width="34.7109375" style="2480" customWidth="1"/>
    <col min="10" max="11" width="12.42578125" style="360" customWidth="1"/>
    <col min="12" max="12" width="37.85546875" style="360" customWidth="1"/>
    <col min="13" max="13" width="28.28515625" style="360" customWidth="1"/>
    <col min="14" max="14" width="29.5703125" style="2480" customWidth="1"/>
    <col min="15" max="15" width="12.5703125" style="360" customWidth="1"/>
    <col min="16" max="16" width="24.140625" style="2863" customWidth="1"/>
    <col min="17" max="17" width="24.85546875" style="2480" customWidth="1"/>
    <col min="18" max="18" width="36.7109375" style="2480" customWidth="1"/>
    <col min="19" max="19" width="45.28515625" style="465" customWidth="1"/>
    <col min="20" max="21" width="25.42578125" style="2483" customWidth="1"/>
    <col min="22" max="22" width="25.42578125" style="2484" customWidth="1"/>
    <col min="23" max="23" width="12.42578125" style="2482" customWidth="1"/>
    <col min="24" max="24" width="16.42578125" style="2480" customWidth="1"/>
    <col min="25" max="25" width="12.85546875" style="360" customWidth="1"/>
    <col min="26" max="26" width="13" style="360" customWidth="1"/>
    <col min="27" max="27" width="10.140625" style="360" customWidth="1"/>
    <col min="28" max="28" width="9.42578125" style="360" customWidth="1"/>
    <col min="29" max="29" width="8.28515625" style="360" customWidth="1"/>
    <col min="30" max="30" width="7.5703125" style="360" customWidth="1"/>
    <col min="31" max="31" width="9.42578125" style="360" customWidth="1"/>
    <col min="32" max="32" width="7.28515625" style="360" customWidth="1"/>
    <col min="33" max="33" width="9" style="360" customWidth="1"/>
    <col min="34" max="34" width="8.5703125" style="360" customWidth="1"/>
    <col min="35" max="35" width="9.28515625" style="360" customWidth="1"/>
    <col min="36" max="36" width="6.7109375" style="360" customWidth="1"/>
    <col min="37" max="38" width="9.42578125" style="360" customWidth="1"/>
    <col min="39" max="40" width="9.5703125" style="360" customWidth="1"/>
    <col min="41" max="41" width="8.28515625" style="360" customWidth="1"/>
    <col min="42" max="42" width="8.5703125" style="360" customWidth="1"/>
    <col min="43" max="44" width="6.28515625" style="360" customWidth="1"/>
    <col min="45" max="46" width="6.140625" style="360" customWidth="1"/>
    <col min="47" max="48" width="6.7109375" style="360" customWidth="1"/>
    <col min="49" max="50" width="7" style="360" customWidth="1"/>
    <col min="51" max="52" width="7.5703125" style="360" customWidth="1"/>
    <col min="53" max="54" width="6.42578125" style="360" customWidth="1"/>
    <col min="55" max="55" width="9.85546875" style="360" customWidth="1"/>
    <col min="56" max="56" width="12.5703125" style="360" customWidth="1"/>
    <col min="57" max="57" width="20.85546875" style="360" customWidth="1"/>
    <col min="58" max="58" width="24.85546875" style="2476" customWidth="1"/>
    <col min="59" max="59" width="27.28515625" style="2476" customWidth="1"/>
    <col min="60" max="60" width="17.85546875" style="360" customWidth="1"/>
    <col min="61" max="61" width="21.7109375" style="360" customWidth="1"/>
    <col min="62" max="62" width="22" style="360" customWidth="1"/>
    <col min="63" max="63" width="12.5703125" style="360" customWidth="1"/>
    <col min="64" max="64" width="12.7109375" style="360" customWidth="1"/>
    <col min="65" max="65" width="14" style="360" customWidth="1"/>
    <col min="66" max="66" width="21" style="360" customWidth="1"/>
    <col min="67" max="67" width="27.85546875" style="2480" customWidth="1"/>
    <col min="68" max="276" width="11.42578125" style="360"/>
    <col min="277" max="277" width="13.5703125" style="360" customWidth="1"/>
    <col min="278" max="278" width="19" style="360" customWidth="1"/>
    <col min="279" max="279" width="13.5703125" style="360" customWidth="1"/>
    <col min="280" max="280" width="19.7109375" style="360" customWidth="1"/>
    <col min="281" max="281" width="13.5703125" style="360" customWidth="1"/>
    <col min="282" max="283" width="14.7109375" style="360" customWidth="1"/>
    <col min="284" max="284" width="36.140625" style="360" customWidth="1"/>
    <col min="285" max="285" width="29.42578125" style="360" customWidth="1"/>
    <col min="286" max="286" width="16" style="360" customWidth="1"/>
    <col min="287" max="287" width="38.28515625" style="360" customWidth="1"/>
    <col min="288" max="288" width="12" style="360" customWidth="1"/>
    <col min="289" max="289" width="38.140625" style="360" customWidth="1"/>
    <col min="290" max="290" width="17.85546875" style="360" bestFit="1" customWidth="1"/>
    <col min="291" max="291" width="24.7109375" style="360" customWidth="1"/>
    <col min="292" max="292" width="36.42578125" style="360" customWidth="1"/>
    <col min="293" max="293" width="46.7109375" style="360" customWidth="1"/>
    <col min="294" max="294" width="43.7109375" style="360" customWidth="1"/>
    <col min="295" max="295" width="25.42578125" style="360" customWidth="1"/>
    <col min="296" max="296" width="12.42578125" style="360" customWidth="1"/>
    <col min="297" max="297" width="16.42578125" style="360" customWidth="1"/>
    <col min="298" max="298" width="13.42578125" style="360" customWidth="1"/>
    <col min="299" max="299" width="8.5703125" style="360" customWidth="1"/>
    <col min="300" max="303" width="11.42578125" style="360" customWidth="1"/>
    <col min="304" max="304" width="12.7109375" style="360" customWidth="1"/>
    <col min="305" max="305" width="11.85546875" style="360" customWidth="1"/>
    <col min="306" max="306" width="7.85546875" style="360" customWidth="1"/>
    <col min="307" max="307" width="7.5703125" style="360" customWidth="1"/>
    <col min="308" max="308" width="8.85546875" style="360" customWidth="1"/>
    <col min="309" max="309" width="8.140625" style="360" customWidth="1"/>
    <col min="310" max="310" width="7.85546875" style="360" customWidth="1"/>
    <col min="311" max="311" width="8.5703125" style="360" customWidth="1"/>
    <col min="312" max="312" width="8.28515625" style="360" customWidth="1"/>
    <col min="313" max="313" width="11.42578125" style="360" customWidth="1"/>
    <col min="314" max="314" width="18" style="360" customWidth="1"/>
    <col min="315" max="315" width="21.42578125" style="360" customWidth="1"/>
    <col min="316" max="316" width="27.85546875" style="360" customWidth="1"/>
    <col min="317" max="532" width="11.42578125" style="360"/>
    <col min="533" max="533" width="13.5703125" style="360" customWidth="1"/>
    <col min="534" max="534" width="19" style="360" customWidth="1"/>
    <col min="535" max="535" width="13.5703125" style="360" customWidth="1"/>
    <col min="536" max="536" width="19.7109375" style="360" customWidth="1"/>
    <col min="537" max="537" width="13.5703125" style="360" customWidth="1"/>
    <col min="538" max="539" width="14.7109375" style="360" customWidth="1"/>
    <col min="540" max="540" width="36.140625" style="360" customWidth="1"/>
    <col min="541" max="541" width="29.42578125" style="360" customWidth="1"/>
    <col min="542" max="542" width="16" style="360" customWidth="1"/>
    <col min="543" max="543" width="38.28515625" style="360" customWidth="1"/>
    <col min="544" max="544" width="12" style="360" customWidth="1"/>
    <col min="545" max="545" width="38.140625" style="360" customWidth="1"/>
    <col min="546" max="546" width="17.85546875" style="360" bestFit="1" customWidth="1"/>
    <col min="547" max="547" width="24.7109375" style="360" customWidth="1"/>
    <col min="548" max="548" width="36.42578125" style="360" customWidth="1"/>
    <col min="549" max="549" width="46.7109375" style="360" customWidth="1"/>
    <col min="550" max="550" width="43.7109375" style="360" customWidth="1"/>
    <col min="551" max="551" width="25.42578125" style="360" customWidth="1"/>
    <col min="552" max="552" width="12.42578125" style="360" customWidth="1"/>
    <col min="553" max="553" width="16.42578125" style="360" customWidth="1"/>
    <col min="554" max="554" width="13.42578125" style="360" customWidth="1"/>
    <col min="555" max="555" width="8.5703125" style="360" customWidth="1"/>
    <col min="556" max="559" width="11.42578125" style="360" customWidth="1"/>
    <col min="560" max="560" width="12.7109375" style="360" customWidth="1"/>
    <col min="561" max="561" width="11.85546875" style="360" customWidth="1"/>
    <col min="562" max="562" width="7.85546875" style="360" customWidth="1"/>
    <col min="563" max="563" width="7.5703125" style="360" customWidth="1"/>
    <col min="564" max="564" width="8.85546875" style="360" customWidth="1"/>
    <col min="565" max="565" width="8.140625" style="360" customWidth="1"/>
    <col min="566" max="566" width="7.85546875" style="360" customWidth="1"/>
    <col min="567" max="567" width="8.5703125" style="360" customWidth="1"/>
    <col min="568" max="568" width="8.28515625" style="360" customWidth="1"/>
    <col min="569" max="569" width="11.42578125" style="360" customWidth="1"/>
    <col min="570" max="570" width="18" style="360" customWidth="1"/>
    <col min="571" max="571" width="21.42578125" style="360" customWidth="1"/>
    <col min="572" max="572" width="27.85546875" style="360" customWidth="1"/>
    <col min="573" max="788" width="11.42578125" style="360"/>
    <col min="789" max="789" width="13.5703125" style="360" customWidth="1"/>
    <col min="790" max="790" width="19" style="360" customWidth="1"/>
    <col min="791" max="791" width="13.5703125" style="360" customWidth="1"/>
    <col min="792" max="792" width="19.7109375" style="360" customWidth="1"/>
    <col min="793" max="793" width="13.5703125" style="360" customWidth="1"/>
    <col min="794" max="795" width="14.7109375" style="360" customWidth="1"/>
    <col min="796" max="796" width="36.140625" style="360" customWidth="1"/>
    <col min="797" max="797" width="29.42578125" style="360" customWidth="1"/>
    <col min="798" max="798" width="16" style="360" customWidth="1"/>
    <col min="799" max="799" width="38.28515625" style="360" customWidth="1"/>
    <col min="800" max="800" width="12" style="360" customWidth="1"/>
    <col min="801" max="801" width="38.140625" style="360" customWidth="1"/>
    <col min="802" max="802" width="17.85546875" style="360" bestFit="1" customWidth="1"/>
    <col min="803" max="803" width="24.7109375" style="360" customWidth="1"/>
    <col min="804" max="804" width="36.42578125" style="360" customWidth="1"/>
    <col min="805" max="805" width="46.7109375" style="360" customWidth="1"/>
    <col min="806" max="806" width="43.7109375" style="360" customWidth="1"/>
    <col min="807" max="807" width="25.42578125" style="360" customWidth="1"/>
    <col min="808" max="808" width="12.42578125" style="360" customWidth="1"/>
    <col min="809" max="809" width="16.42578125" style="360" customWidth="1"/>
    <col min="810" max="810" width="13.42578125" style="360" customWidth="1"/>
    <col min="811" max="811" width="8.5703125" style="360" customWidth="1"/>
    <col min="812" max="815" width="11.42578125" style="360" customWidth="1"/>
    <col min="816" max="816" width="12.7109375" style="360" customWidth="1"/>
    <col min="817" max="817" width="11.85546875" style="360" customWidth="1"/>
    <col min="818" max="818" width="7.85546875" style="360" customWidth="1"/>
    <col min="819" max="819" width="7.5703125" style="360" customWidth="1"/>
    <col min="820" max="820" width="8.85546875" style="360" customWidth="1"/>
    <col min="821" max="821" width="8.140625" style="360" customWidth="1"/>
    <col min="822" max="822" width="7.85546875" style="360" customWidth="1"/>
    <col min="823" max="823" width="8.5703125" style="360" customWidth="1"/>
    <col min="824" max="824" width="8.28515625" style="360" customWidth="1"/>
    <col min="825" max="825" width="11.42578125" style="360" customWidth="1"/>
    <col min="826" max="826" width="18" style="360" customWidth="1"/>
    <col min="827" max="827" width="21.42578125" style="360" customWidth="1"/>
    <col min="828" max="828" width="27.85546875" style="360" customWidth="1"/>
    <col min="829" max="1044" width="11.42578125" style="360"/>
    <col min="1045" max="1045" width="13.5703125" style="360" customWidth="1"/>
    <col min="1046" max="1046" width="19" style="360" customWidth="1"/>
    <col min="1047" max="1047" width="13.5703125" style="360" customWidth="1"/>
    <col min="1048" max="1048" width="19.7109375" style="360" customWidth="1"/>
    <col min="1049" max="1049" width="13.5703125" style="360" customWidth="1"/>
    <col min="1050" max="1051" width="14.7109375" style="360" customWidth="1"/>
    <col min="1052" max="1052" width="36.140625" style="360" customWidth="1"/>
    <col min="1053" max="1053" width="29.42578125" style="360" customWidth="1"/>
    <col min="1054" max="1054" width="16" style="360" customWidth="1"/>
    <col min="1055" max="1055" width="38.28515625" style="360" customWidth="1"/>
    <col min="1056" max="1056" width="12" style="360" customWidth="1"/>
    <col min="1057" max="1057" width="38.140625" style="360" customWidth="1"/>
    <col min="1058" max="1058" width="17.85546875" style="360" bestFit="1" customWidth="1"/>
    <col min="1059" max="1059" width="24.7109375" style="360" customWidth="1"/>
    <col min="1060" max="1060" width="36.42578125" style="360" customWidth="1"/>
    <col min="1061" max="1061" width="46.7109375" style="360" customWidth="1"/>
    <col min="1062" max="1062" width="43.7109375" style="360" customWidth="1"/>
    <col min="1063" max="1063" width="25.42578125" style="360" customWidth="1"/>
    <col min="1064" max="1064" width="12.42578125" style="360" customWidth="1"/>
    <col min="1065" max="1065" width="16.42578125" style="360" customWidth="1"/>
    <col min="1066" max="1066" width="13.42578125" style="360" customWidth="1"/>
    <col min="1067" max="1067" width="8.5703125" style="360" customWidth="1"/>
    <col min="1068" max="1071" width="11.42578125" style="360" customWidth="1"/>
    <col min="1072" max="1072" width="12.7109375" style="360" customWidth="1"/>
    <col min="1073" max="1073" width="11.85546875" style="360" customWidth="1"/>
    <col min="1074" max="1074" width="7.85546875" style="360" customWidth="1"/>
    <col min="1075" max="1075" width="7.5703125" style="360" customWidth="1"/>
    <col min="1076" max="1076" width="8.85546875" style="360" customWidth="1"/>
    <col min="1077" max="1077" width="8.140625" style="360" customWidth="1"/>
    <col min="1078" max="1078" width="7.85546875" style="360" customWidth="1"/>
    <col min="1079" max="1079" width="8.5703125" style="360" customWidth="1"/>
    <col min="1080" max="1080" width="8.28515625" style="360" customWidth="1"/>
    <col min="1081" max="1081" width="11.42578125" style="360" customWidth="1"/>
    <col min="1082" max="1082" width="18" style="360" customWidth="1"/>
    <col min="1083" max="1083" width="21.42578125" style="360" customWidth="1"/>
    <col min="1084" max="1084" width="27.85546875" style="360" customWidth="1"/>
    <col min="1085" max="1300" width="11.42578125" style="360"/>
    <col min="1301" max="1301" width="13.5703125" style="360" customWidth="1"/>
    <col min="1302" max="1302" width="19" style="360" customWidth="1"/>
    <col min="1303" max="1303" width="13.5703125" style="360" customWidth="1"/>
    <col min="1304" max="1304" width="19.7109375" style="360" customWidth="1"/>
    <col min="1305" max="1305" width="13.5703125" style="360" customWidth="1"/>
    <col min="1306" max="1307" width="14.7109375" style="360" customWidth="1"/>
    <col min="1308" max="1308" width="36.140625" style="360" customWidth="1"/>
    <col min="1309" max="1309" width="29.42578125" style="360" customWidth="1"/>
    <col min="1310" max="1310" width="16" style="360" customWidth="1"/>
    <col min="1311" max="1311" width="38.28515625" style="360" customWidth="1"/>
    <col min="1312" max="1312" width="12" style="360" customWidth="1"/>
    <col min="1313" max="1313" width="38.140625" style="360" customWidth="1"/>
    <col min="1314" max="1314" width="17.85546875" style="360" bestFit="1" customWidth="1"/>
    <col min="1315" max="1315" width="24.7109375" style="360" customWidth="1"/>
    <col min="1316" max="1316" width="36.42578125" style="360" customWidth="1"/>
    <col min="1317" max="1317" width="46.7109375" style="360" customWidth="1"/>
    <col min="1318" max="1318" width="43.7109375" style="360" customWidth="1"/>
    <col min="1319" max="1319" width="25.42578125" style="360" customWidth="1"/>
    <col min="1320" max="1320" width="12.42578125" style="360" customWidth="1"/>
    <col min="1321" max="1321" width="16.42578125" style="360" customWidth="1"/>
    <col min="1322" max="1322" width="13.42578125" style="360" customWidth="1"/>
    <col min="1323" max="1323" width="8.5703125" style="360" customWidth="1"/>
    <col min="1324" max="1327" width="11.42578125" style="360" customWidth="1"/>
    <col min="1328" max="1328" width="12.7109375" style="360" customWidth="1"/>
    <col min="1329" max="1329" width="11.85546875" style="360" customWidth="1"/>
    <col min="1330" max="1330" width="7.85546875" style="360" customWidth="1"/>
    <col min="1331" max="1331" width="7.5703125" style="360" customWidth="1"/>
    <col min="1332" max="1332" width="8.85546875" style="360" customWidth="1"/>
    <col min="1333" max="1333" width="8.140625" style="360" customWidth="1"/>
    <col min="1334" max="1334" width="7.85546875" style="360" customWidth="1"/>
    <col min="1335" max="1335" width="8.5703125" style="360" customWidth="1"/>
    <col min="1336" max="1336" width="8.28515625" style="360" customWidth="1"/>
    <col min="1337" max="1337" width="11.42578125" style="360" customWidth="1"/>
    <col min="1338" max="1338" width="18" style="360" customWidth="1"/>
    <col min="1339" max="1339" width="21.42578125" style="360" customWidth="1"/>
    <col min="1340" max="1340" width="27.85546875" style="360" customWidth="1"/>
    <col min="1341" max="1556" width="11.42578125" style="360"/>
    <col min="1557" max="1557" width="13.5703125" style="360" customWidth="1"/>
    <col min="1558" max="1558" width="19" style="360" customWidth="1"/>
    <col min="1559" max="1559" width="13.5703125" style="360" customWidth="1"/>
    <col min="1560" max="1560" width="19.7109375" style="360" customWidth="1"/>
    <col min="1561" max="1561" width="13.5703125" style="360" customWidth="1"/>
    <col min="1562" max="1563" width="14.7109375" style="360" customWidth="1"/>
    <col min="1564" max="1564" width="36.140625" style="360" customWidth="1"/>
    <col min="1565" max="1565" width="29.42578125" style="360" customWidth="1"/>
    <col min="1566" max="1566" width="16" style="360" customWidth="1"/>
    <col min="1567" max="1567" width="38.28515625" style="360" customWidth="1"/>
    <col min="1568" max="1568" width="12" style="360" customWidth="1"/>
    <col min="1569" max="1569" width="38.140625" style="360" customWidth="1"/>
    <col min="1570" max="1570" width="17.85546875" style="360" bestFit="1" customWidth="1"/>
    <col min="1571" max="1571" width="24.7109375" style="360" customWidth="1"/>
    <col min="1572" max="1572" width="36.42578125" style="360" customWidth="1"/>
    <col min="1573" max="1573" width="46.7109375" style="360" customWidth="1"/>
    <col min="1574" max="1574" width="43.7109375" style="360" customWidth="1"/>
    <col min="1575" max="1575" width="25.42578125" style="360" customWidth="1"/>
    <col min="1576" max="1576" width="12.42578125" style="360" customWidth="1"/>
    <col min="1577" max="1577" width="16.42578125" style="360" customWidth="1"/>
    <col min="1578" max="1578" width="13.42578125" style="360" customWidth="1"/>
    <col min="1579" max="1579" width="8.5703125" style="360" customWidth="1"/>
    <col min="1580" max="1583" width="11.42578125" style="360" customWidth="1"/>
    <col min="1584" max="1584" width="12.7109375" style="360" customWidth="1"/>
    <col min="1585" max="1585" width="11.85546875" style="360" customWidth="1"/>
    <col min="1586" max="1586" width="7.85546875" style="360" customWidth="1"/>
    <col min="1587" max="1587" width="7.5703125" style="360" customWidth="1"/>
    <col min="1588" max="1588" width="8.85546875" style="360" customWidth="1"/>
    <col min="1589" max="1589" width="8.140625" style="360" customWidth="1"/>
    <col min="1590" max="1590" width="7.85546875" style="360" customWidth="1"/>
    <col min="1591" max="1591" width="8.5703125" style="360" customWidth="1"/>
    <col min="1592" max="1592" width="8.28515625" style="360" customWidth="1"/>
    <col min="1593" max="1593" width="11.42578125" style="360" customWidth="1"/>
    <col min="1594" max="1594" width="18" style="360" customWidth="1"/>
    <col min="1595" max="1595" width="21.42578125" style="360" customWidth="1"/>
    <col min="1596" max="1596" width="27.85546875" style="360" customWidth="1"/>
    <col min="1597" max="1812" width="11.42578125" style="360"/>
    <col min="1813" max="1813" width="13.5703125" style="360" customWidth="1"/>
    <col min="1814" max="1814" width="19" style="360" customWidth="1"/>
    <col min="1815" max="1815" width="13.5703125" style="360" customWidth="1"/>
    <col min="1816" max="1816" width="19.7109375" style="360" customWidth="1"/>
    <col min="1817" max="1817" width="13.5703125" style="360" customWidth="1"/>
    <col min="1818" max="1819" width="14.7109375" style="360" customWidth="1"/>
    <col min="1820" max="1820" width="36.140625" style="360" customWidth="1"/>
    <col min="1821" max="1821" width="29.42578125" style="360" customWidth="1"/>
    <col min="1822" max="1822" width="16" style="360" customWidth="1"/>
    <col min="1823" max="1823" width="38.28515625" style="360" customWidth="1"/>
    <col min="1824" max="1824" width="12" style="360" customWidth="1"/>
    <col min="1825" max="1825" width="38.140625" style="360" customWidth="1"/>
    <col min="1826" max="1826" width="17.85546875" style="360" bestFit="1" customWidth="1"/>
    <col min="1827" max="1827" width="24.7109375" style="360" customWidth="1"/>
    <col min="1828" max="1828" width="36.42578125" style="360" customWidth="1"/>
    <col min="1829" max="1829" width="46.7109375" style="360" customWidth="1"/>
    <col min="1830" max="1830" width="43.7109375" style="360" customWidth="1"/>
    <col min="1831" max="1831" width="25.42578125" style="360" customWidth="1"/>
    <col min="1832" max="1832" width="12.42578125" style="360" customWidth="1"/>
    <col min="1833" max="1833" width="16.42578125" style="360" customWidth="1"/>
    <col min="1834" max="1834" width="13.42578125" style="360" customWidth="1"/>
    <col min="1835" max="1835" width="8.5703125" style="360" customWidth="1"/>
    <col min="1836" max="1839" width="11.42578125" style="360" customWidth="1"/>
    <col min="1840" max="1840" width="12.7109375" style="360" customWidth="1"/>
    <col min="1841" max="1841" width="11.85546875" style="360" customWidth="1"/>
    <col min="1842" max="1842" width="7.85546875" style="360" customWidth="1"/>
    <col min="1843" max="1843" width="7.5703125" style="360" customWidth="1"/>
    <col min="1844" max="1844" width="8.85546875" style="360" customWidth="1"/>
    <col min="1845" max="1845" width="8.140625" style="360" customWidth="1"/>
    <col min="1846" max="1846" width="7.85546875" style="360" customWidth="1"/>
    <col min="1847" max="1847" width="8.5703125" style="360" customWidth="1"/>
    <col min="1848" max="1848" width="8.28515625" style="360" customWidth="1"/>
    <col min="1849" max="1849" width="11.42578125" style="360" customWidth="1"/>
    <col min="1850" max="1850" width="18" style="360" customWidth="1"/>
    <col min="1851" max="1851" width="21.42578125" style="360" customWidth="1"/>
    <col min="1852" max="1852" width="27.85546875" style="360" customWidth="1"/>
    <col min="1853" max="2068" width="11.42578125" style="360"/>
    <col min="2069" max="2069" width="13.5703125" style="360" customWidth="1"/>
    <col min="2070" max="2070" width="19" style="360" customWidth="1"/>
    <col min="2071" max="2071" width="13.5703125" style="360" customWidth="1"/>
    <col min="2072" max="2072" width="19.7109375" style="360" customWidth="1"/>
    <col min="2073" max="2073" width="13.5703125" style="360" customWidth="1"/>
    <col min="2074" max="2075" width="14.7109375" style="360" customWidth="1"/>
    <col min="2076" max="2076" width="36.140625" style="360" customWidth="1"/>
    <col min="2077" max="2077" width="29.42578125" style="360" customWidth="1"/>
    <col min="2078" max="2078" width="16" style="360" customWidth="1"/>
    <col min="2079" max="2079" width="38.28515625" style="360" customWidth="1"/>
    <col min="2080" max="2080" width="12" style="360" customWidth="1"/>
    <col min="2081" max="2081" width="38.140625" style="360" customWidth="1"/>
    <col min="2082" max="2082" width="17.85546875" style="360" bestFit="1" customWidth="1"/>
    <col min="2083" max="2083" width="24.7109375" style="360" customWidth="1"/>
    <col min="2084" max="2084" width="36.42578125" style="360" customWidth="1"/>
    <col min="2085" max="2085" width="46.7109375" style="360" customWidth="1"/>
    <col min="2086" max="2086" width="43.7109375" style="360" customWidth="1"/>
    <col min="2087" max="2087" width="25.42578125" style="360" customWidth="1"/>
    <col min="2088" max="2088" width="12.42578125" style="360" customWidth="1"/>
    <col min="2089" max="2089" width="16.42578125" style="360" customWidth="1"/>
    <col min="2090" max="2090" width="13.42578125" style="360" customWidth="1"/>
    <col min="2091" max="2091" width="8.5703125" style="360" customWidth="1"/>
    <col min="2092" max="2095" width="11.42578125" style="360" customWidth="1"/>
    <col min="2096" max="2096" width="12.7109375" style="360" customWidth="1"/>
    <col min="2097" max="2097" width="11.85546875" style="360" customWidth="1"/>
    <col min="2098" max="2098" width="7.85546875" style="360" customWidth="1"/>
    <col min="2099" max="2099" width="7.5703125" style="360" customWidth="1"/>
    <col min="2100" max="2100" width="8.85546875" style="360" customWidth="1"/>
    <col min="2101" max="2101" width="8.140625" style="360" customWidth="1"/>
    <col min="2102" max="2102" width="7.85546875" style="360" customWidth="1"/>
    <col min="2103" max="2103" width="8.5703125" style="360" customWidth="1"/>
    <col min="2104" max="2104" width="8.28515625" style="360" customWidth="1"/>
    <col min="2105" max="2105" width="11.42578125" style="360" customWidth="1"/>
    <col min="2106" max="2106" width="18" style="360" customWidth="1"/>
    <col min="2107" max="2107" width="21.42578125" style="360" customWidth="1"/>
    <col min="2108" max="2108" width="27.85546875" style="360" customWidth="1"/>
    <col min="2109" max="2324" width="11.42578125" style="360"/>
    <col min="2325" max="2325" width="13.5703125" style="360" customWidth="1"/>
    <col min="2326" max="2326" width="19" style="360" customWidth="1"/>
    <col min="2327" max="2327" width="13.5703125" style="360" customWidth="1"/>
    <col min="2328" max="2328" width="19.7109375" style="360" customWidth="1"/>
    <col min="2329" max="2329" width="13.5703125" style="360" customWidth="1"/>
    <col min="2330" max="2331" width="14.7109375" style="360" customWidth="1"/>
    <col min="2332" max="2332" width="36.140625" style="360" customWidth="1"/>
    <col min="2333" max="2333" width="29.42578125" style="360" customWidth="1"/>
    <col min="2334" max="2334" width="16" style="360" customWidth="1"/>
    <col min="2335" max="2335" width="38.28515625" style="360" customWidth="1"/>
    <col min="2336" max="2336" width="12" style="360" customWidth="1"/>
    <col min="2337" max="2337" width="38.140625" style="360" customWidth="1"/>
    <col min="2338" max="2338" width="17.85546875" style="360" bestFit="1" customWidth="1"/>
    <col min="2339" max="2339" width="24.7109375" style="360" customWidth="1"/>
    <col min="2340" max="2340" width="36.42578125" style="360" customWidth="1"/>
    <col min="2341" max="2341" width="46.7109375" style="360" customWidth="1"/>
    <col min="2342" max="2342" width="43.7109375" style="360" customWidth="1"/>
    <col min="2343" max="2343" width="25.42578125" style="360" customWidth="1"/>
    <col min="2344" max="2344" width="12.42578125" style="360" customWidth="1"/>
    <col min="2345" max="2345" width="16.42578125" style="360" customWidth="1"/>
    <col min="2346" max="2346" width="13.42578125" style="360" customWidth="1"/>
    <col min="2347" max="2347" width="8.5703125" style="360" customWidth="1"/>
    <col min="2348" max="2351" width="11.42578125" style="360" customWidth="1"/>
    <col min="2352" max="2352" width="12.7109375" style="360" customWidth="1"/>
    <col min="2353" max="2353" width="11.85546875" style="360" customWidth="1"/>
    <col min="2354" max="2354" width="7.85546875" style="360" customWidth="1"/>
    <col min="2355" max="2355" width="7.5703125" style="360" customWidth="1"/>
    <col min="2356" max="2356" width="8.85546875" style="360" customWidth="1"/>
    <col min="2357" max="2357" width="8.140625" style="360" customWidth="1"/>
    <col min="2358" max="2358" width="7.85546875" style="360" customWidth="1"/>
    <col min="2359" max="2359" width="8.5703125" style="360" customWidth="1"/>
    <col min="2360" max="2360" width="8.28515625" style="360" customWidth="1"/>
    <col min="2361" max="2361" width="11.42578125" style="360" customWidth="1"/>
    <col min="2362" max="2362" width="18" style="360" customWidth="1"/>
    <col min="2363" max="2363" width="21.42578125" style="360" customWidth="1"/>
    <col min="2364" max="2364" width="27.85546875" style="360" customWidth="1"/>
    <col min="2365" max="2580" width="11.42578125" style="360"/>
    <col min="2581" max="2581" width="13.5703125" style="360" customWidth="1"/>
    <col min="2582" max="2582" width="19" style="360" customWidth="1"/>
    <col min="2583" max="2583" width="13.5703125" style="360" customWidth="1"/>
    <col min="2584" max="2584" width="19.7109375" style="360" customWidth="1"/>
    <col min="2585" max="2585" width="13.5703125" style="360" customWidth="1"/>
    <col min="2586" max="2587" width="14.7109375" style="360" customWidth="1"/>
    <col min="2588" max="2588" width="36.140625" style="360" customWidth="1"/>
    <col min="2589" max="2589" width="29.42578125" style="360" customWidth="1"/>
    <col min="2590" max="2590" width="16" style="360" customWidth="1"/>
    <col min="2591" max="2591" width="38.28515625" style="360" customWidth="1"/>
    <col min="2592" max="2592" width="12" style="360" customWidth="1"/>
    <col min="2593" max="2593" width="38.140625" style="360" customWidth="1"/>
    <col min="2594" max="2594" width="17.85546875" style="360" bestFit="1" customWidth="1"/>
    <col min="2595" max="2595" width="24.7109375" style="360" customWidth="1"/>
    <col min="2596" max="2596" width="36.42578125" style="360" customWidth="1"/>
    <col min="2597" max="2597" width="46.7109375" style="360" customWidth="1"/>
    <col min="2598" max="2598" width="43.7109375" style="360" customWidth="1"/>
    <col min="2599" max="2599" width="25.42578125" style="360" customWidth="1"/>
    <col min="2600" max="2600" width="12.42578125" style="360" customWidth="1"/>
    <col min="2601" max="2601" width="16.42578125" style="360" customWidth="1"/>
    <col min="2602" max="2602" width="13.42578125" style="360" customWidth="1"/>
    <col min="2603" max="2603" width="8.5703125" style="360" customWidth="1"/>
    <col min="2604" max="2607" width="11.42578125" style="360" customWidth="1"/>
    <col min="2608" max="2608" width="12.7109375" style="360" customWidth="1"/>
    <col min="2609" max="2609" width="11.85546875" style="360" customWidth="1"/>
    <col min="2610" max="2610" width="7.85546875" style="360" customWidth="1"/>
    <col min="2611" max="2611" width="7.5703125" style="360" customWidth="1"/>
    <col min="2612" max="2612" width="8.85546875" style="360" customWidth="1"/>
    <col min="2613" max="2613" width="8.140625" style="360" customWidth="1"/>
    <col min="2614" max="2614" width="7.85546875" style="360" customWidth="1"/>
    <col min="2615" max="2615" width="8.5703125" style="360" customWidth="1"/>
    <col min="2616" max="2616" width="8.28515625" style="360" customWidth="1"/>
    <col min="2617" max="2617" width="11.42578125" style="360" customWidth="1"/>
    <col min="2618" max="2618" width="18" style="360" customWidth="1"/>
    <col min="2619" max="2619" width="21.42578125" style="360" customWidth="1"/>
    <col min="2620" max="2620" width="27.85546875" style="360" customWidth="1"/>
    <col min="2621" max="2836" width="11.42578125" style="360"/>
    <col min="2837" max="2837" width="13.5703125" style="360" customWidth="1"/>
    <col min="2838" max="2838" width="19" style="360" customWidth="1"/>
    <col min="2839" max="2839" width="13.5703125" style="360" customWidth="1"/>
    <col min="2840" max="2840" width="19.7109375" style="360" customWidth="1"/>
    <col min="2841" max="2841" width="13.5703125" style="360" customWidth="1"/>
    <col min="2842" max="2843" width="14.7109375" style="360" customWidth="1"/>
    <col min="2844" max="2844" width="36.140625" style="360" customWidth="1"/>
    <col min="2845" max="2845" width="29.42578125" style="360" customWidth="1"/>
    <col min="2846" max="2846" width="16" style="360" customWidth="1"/>
    <col min="2847" max="2847" width="38.28515625" style="360" customWidth="1"/>
    <col min="2848" max="2848" width="12" style="360" customWidth="1"/>
    <col min="2849" max="2849" width="38.140625" style="360" customWidth="1"/>
    <col min="2850" max="2850" width="17.85546875" style="360" bestFit="1" customWidth="1"/>
    <col min="2851" max="2851" width="24.7109375" style="360" customWidth="1"/>
    <col min="2852" max="2852" width="36.42578125" style="360" customWidth="1"/>
    <col min="2853" max="2853" width="46.7109375" style="360" customWidth="1"/>
    <col min="2854" max="2854" width="43.7109375" style="360" customWidth="1"/>
    <col min="2855" max="2855" width="25.42578125" style="360" customWidth="1"/>
    <col min="2856" max="2856" width="12.42578125" style="360" customWidth="1"/>
    <col min="2857" max="2857" width="16.42578125" style="360" customWidth="1"/>
    <col min="2858" max="2858" width="13.42578125" style="360" customWidth="1"/>
    <col min="2859" max="2859" width="8.5703125" style="360" customWidth="1"/>
    <col min="2860" max="2863" width="11.42578125" style="360" customWidth="1"/>
    <col min="2864" max="2864" width="12.7109375" style="360" customWidth="1"/>
    <col min="2865" max="2865" width="11.85546875" style="360" customWidth="1"/>
    <col min="2866" max="2866" width="7.85546875" style="360" customWidth="1"/>
    <col min="2867" max="2867" width="7.5703125" style="360" customWidth="1"/>
    <col min="2868" max="2868" width="8.85546875" style="360" customWidth="1"/>
    <col min="2869" max="2869" width="8.140625" style="360" customWidth="1"/>
    <col min="2870" max="2870" width="7.85546875" style="360" customWidth="1"/>
    <col min="2871" max="2871" width="8.5703125" style="360" customWidth="1"/>
    <col min="2872" max="2872" width="8.28515625" style="360" customWidth="1"/>
    <col min="2873" max="2873" width="11.42578125" style="360" customWidth="1"/>
    <col min="2874" max="2874" width="18" style="360" customWidth="1"/>
    <col min="2875" max="2875" width="21.42578125" style="360" customWidth="1"/>
    <col min="2876" max="2876" width="27.85546875" style="360" customWidth="1"/>
    <col min="2877" max="3092" width="11.42578125" style="360"/>
    <col min="3093" max="3093" width="13.5703125" style="360" customWidth="1"/>
    <col min="3094" max="3094" width="19" style="360" customWidth="1"/>
    <col min="3095" max="3095" width="13.5703125" style="360" customWidth="1"/>
    <col min="3096" max="3096" width="19.7109375" style="360" customWidth="1"/>
    <col min="3097" max="3097" width="13.5703125" style="360" customWidth="1"/>
    <col min="3098" max="3099" width="14.7109375" style="360" customWidth="1"/>
    <col min="3100" max="3100" width="36.140625" style="360" customWidth="1"/>
    <col min="3101" max="3101" width="29.42578125" style="360" customWidth="1"/>
    <col min="3102" max="3102" width="16" style="360" customWidth="1"/>
    <col min="3103" max="3103" width="38.28515625" style="360" customWidth="1"/>
    <col min="3104" max="3104" width="12" style="360" customWidth="1"/>
    <col min="3105" max="3105" width="38.140625" style="360" customWidth="1"/>
    <col min="3106" max="3106" width="17.85546875" style="360" bestFit="1" customWidth="1"/>
    <col min="3107" max="3107" width="24.7109375" style="360" customWidth="1"/>
    <col min="3108" max="3108" width="36.42578125" style="360" customWidth="1"/>
    <col min="3109" max="3109" width="46.7109375" style="360" customWidth="1"/>
    <col min="3110" max="3110" width="43.7109375" style="360" customWidth="1"/>
    <col min="3111" max="3111" width="25.42578125" style="360" customWidth="1"/>
    <col min="3112" max="3112" width="12.42578125" style="360" customWidth="1"/>
    <col min="3113" max="3113" width="16.42578125" style="360" customWidth="1"/>
    <col min="3114" max="3114" width="13.42578125" style="360" customWidth="1"/>
    <col min="3115" max="3115" width="8.5703125" style="360" customWidth="1"/>
    <col min="3116" max="3119" width="11.42578125" style="360" customWidth="1"/>
    <col min="3120" max="3120" width="12.7109375" style="360" customWidth="1"/>
    <col min="3121" max="3121" width="11.85546875" style="360" customWidth="1"/>
    <col min="3122" max="3122" width="7.85546875" style="360" customWidth="1"/>
    <col min="3123" max="3123" width="7.5703125" style="360" customWidth="1"/>
    <col min="3124" max="3124" width="8.85546875" style="360" customWidth="1"/>
    <col min="3125" max="3125" width="8.140625" style="360" customWidth="1"/>
    <col min="3126" max="3126" width="7.85546875" style="360" customWidth="1"/>
    <col min="3127" max="3127" width="8.5703125" style="360" customWidth="1"/>
    <col min="3128" max="3128" width="8.28515625" style="360" customWidth="1"/>
    <col min="3129" max="3129" width="11.42578125" style="360" customWidth="1"/>
    <col min="3130" max="3130" width="18" style="360" customWidth="1"/>
    <col min="3131" max="3131" width="21.42578125" style="360" customWidth="1"/>
    <col min="3132" max="3132" width="27.85546875" style="360" customWidth="1"/>
    <col min="3133" max="3348" width="11.42578125" style="360"/>
    <col min="3349" max="3349" width="13.5703125" style="360" customWidth="1"/>
    <col min="3350" max="3350" width="19" style="360" customWidth="1"/>
    <col min="3351" max="3351" width="13.5703125" style="360" customWidth="1"/>
    <col min="3352" max="3352" width="19.7109375" style="360" customWidth="1"/>
    <col min="3353" max="3353" width="13.5703125" style="360" customWidth="1"/>
    <col min="3354" max="3355" width="14.7109375" style="360" customWidth="1"/>
    <col min="3356" max="3356" width="36.140625" style="360" customWidth="1"/>
    <col min="3357" max="3357" width="29.42578125" style="360" customWidth="1"/>
    <col min="3358" max="3358" width="16" style="360" customWidth="1"/>
    <col min="3359" max="3359" width="38.28515625" style="360" customWidth="1"/>
    <col min="3360" max="3360" width="12" style="360" customWidth="1"/>
    <col min="3361" max="3361" width="38.140625" style="360" customWidth="1"/>
    <col min="3362" max="3362" width="17.85546875" style="360" bestFit="1" customWidth="1"/>
    <col min="3363" max="3363" width="24.7109375" style="360" customWidth="1"/>
    <col min="3364" max="3364" width="36.42578125" style="360" customWidth="1"/>
    <col min="3365" max="3365" width="46.7109375" style="360" customWidth="1"/>
    <col min="3366" max="3366" width="43.7109375" style="360" customWidth="1"/>
    <col min="3367" max="3367" width="25.42578125" style="360" customWidth="1"/>
    <col min="3368" max="3368" width="12.42578125" style="360" customWidth="1"/>
    <col min="3369" max="3369" width="16.42578125" style="360" customWidth="1"/>
    <col min="3370" max="3370" width="13.42578125" style="360" customWidth="1"/>
    <col min="3371" max="3371" width="8.5703125" style="360" customWidth="1"/>
    <col min="3372" max="3375" width="11.42578125" style="360" customWidth="1"/>
    <col min="3376" max="3376" width="12.7109375" style="360" customWidth="1"/>
    <col min="3377" max="3377" width="11.85546875" style="360" customWidth="1"/>
    <col min="3378" max="3378" width="7.85546875" style="360" customWidth="1"/>
    <col min="3379" max="3379" width="7.5703125" style="360" customWidth="1"/>
    <col min="3380" max="3380" width="8.85546875" style="360" customWidth="1"/>
    <col min="3381" max="3381" width="8.140625" style="360" customWidth="1"/>
    <col min="3382" max="3382" width="7.85546875" style="360" customWidth="1"/>
    <col min="3383" max="3383" width="8.5703125" style="360" customWidth="1"/>
    <col min="3384" max="3384" width="8.28515625" style="360" customWidth="1"/>
    <col min="3385" max="3385" width="11.42578125" style="360" customWidth="1"/>
    <col min="3386" max="3386" width="18" style="360" customWidth="1"/>
    <col min="3387" max="3387" width="21.42578125" style="360" customWidth="1"/>
    <col min="3388" max="3388" width="27.85546875" style="360" customWidth="1"/>
    <col min="3389" max="3604" width="11.42578125" style="360"/>
    <col min="3605" max="3605" width="13.5703125" style="360" customWidth="1"/>
    <col min="3606" max="3606" width="19" style="360" customWidth="1"/>
    <col min="3607" max="3607" width="13.5703125" style="360" customWidth="1"/>
    <col min="3608" max="3608" width="19.7109375" style="360" customWidth="1"/>
    <col min="3609" max="3609" width="13.5703125" style="360" customWidth="1"/>
    <col min="3610" max="3611" width="14.7109375" style="360" customWidth="1"/>
    <col min="3612" max="3612" width="36.140625" style="360" customWidth="1"/>
    <col min="3613" max="3613" width="29.42578125" style="360" customWidth="1"/>
    <col min="3614" max="3614" width="16" style="360" customWidth="1"/>
    <col min="3615" max="3615" width="38.28515625" style="360" customWidth="1"/>
    <col min="3616" max="3616" width="12" style="360" customWidth="1"/>
    <col min="3617" max="3617" width="38.140625" style="360" customWidth="1"/>
    <col min="3618" max="3618" width="17.85546875" style="360" bestFit="1" customWidth="1"/>
    <col min="3619" max="3619" width="24.7109375" style="360" customWidth="1"/>
    <col min="3620" max="3620" width="36.42578125" style="360" customWidth="1"/>
    <col min="3621" max="3621" width="46.7109375" style="360" customWidth="1"/>
    <col min="3622" max="3622" width="43.7109375" style="360" customWidth="1"/>
    <col min="3623" max="3623" width="25.42578125" style="360" customWidth="1"/>
    <col min="3624" max="3624" width="12.42578125" style="360" customWidth="1"/>
    <col min="3625" max="3625" width="16.42578125" style="360" customWidth="1"/>
    <col min="3626" max="3626" width="13.42578125" style="360" customWidth="1"/>
    <col min="3627" max="3627" width="8.5703125" style="360" customWidth="1"/>
    <col min="3628" max="3631" width="11.42578125" style="360" customWidth="1"/>
    <col min="3632" max="3632" width="12.7109375" style="360" customWidth="1"/>
    <col min="3633" max="3633" width="11.85546875" style="360" customWidth="1"/>
    <col min="3634" max="3634" width="7.85546875" style="360" customWidth="1"/>
    <col min="3635" max="3635" width="7.5703125" style="360" customWidth="1"/>
    <col min="3636" max="3636" width="8.85546875" style="360" customWidth="1"/>
    <col min="3637" max="3637" width="8.140625" style="360" customWidth="1"/>
    <col min="3638" max="3638" width="7.85546875" style="360" customWidth="1"/>
    <col min="3639" max="3639" width="8.5703125" style="360" customWidth="1"/>
    <col min="3640" max="3640" width="8.28515625" style="360" customWidth="1"/>
    <col min="3641" max="3641" width="11.42578125" style="360" customWidth="1"/>
    <col min="3642" max="3642" width="18" style="360" customWidth="1"/>
    <col min="3643" max="3643" width="21.42578125" style="360" customWidth="1"/>
    <col min="3644" max="3644" width="27.85546875" style="360" customWidth="1"/>
    <col min="3645" max="3860" width="11.42578125" style="360"/>
    <col min="3861" max="3861" width="13.5703125" style="360" customWidth="1"/>
    <col min="3862" max="3862" width="19" style="360" customWidth="1"/>
    <col min="3863" max="3863" width="13.5703125" style="360" customWidth="1"/>
    <col min="3864" max="3864" width="19.7109375" style="360" customWidth="1"/>
    <col min="3865" max="3865" width="13.5703125" style="360" customWidth="1"/>
    <col min="3866" max="3867" width="14.7109375" style="360" customWidth="1"/>
    <col min="3868" max="3868" width="36.140625" style="360" customWidth="1"/>
    <col min="3869" max="3869" width="29.42578125" style="360" customWidth="1"/>
    <col min="3870" max="3870" width="16" style="360" customWidth="1"/>
    <col min="3871" max="3871" width="38.28515625" style="360" customWidth="1"/>
    <col min="3872" max="3872" width="12" style="360" customWidth="1"/>
    <col min="3873" max="3873" width="38.140625" style="360" customWidth="1"/>
    <col min="3874" max="3874" width="17.85546875" style="360" bestFit="1" customWidth="1"/>
    <col min="3875" max="3875" width="24.7109375" style="360" customWidth="1"/>
    <col min="3876" max="3876" width="36.42578125" style="360" customWidth="1"/>
    <col min="3877" max="3877" width="46.7109375" style="360" customWidth="1"/>
    <col min="3878" max="3878" width="43.7109375" style="360" customWidth="1"/>
    <col min="3879" max="3879" width="25.42578125" style="360" customWidth="1"/>
    <col min="3880" max="3880" width="12.42578125" style="360" customWidth="1"/>
    <col min="3881" max="3881" width="16.42578125" style="360" customWidth="1"/>
    <col min="3882" max="3882" width="13.42578125" style="360" customWidth="1"/>
    <col min="3883" max="3883" width="8.5703125" style="360" customWidth="1"/>
    <col min="3884" max="3887" width="11.42578125" style="360" customWidth="1"/>
    <col min="3888" max="3888" width="12.7109375" style="360" customWidth="1"/>
    <col min="3889" max="3889" width="11.85546875" style="360" customWidth="1"/>
    <col min="3890" max="3890" width="7.85546875" style="360" customWidth="1"/>
    <col min="3891" max="3891" width="7.5703125" style="360" customWidth="1"/>
    <col min="3892" max="3892" width="8.85546875" style="360" customWidth="1"/>
    <col min="3893" max="3893" width="8.140625" style="360" customWidth="1"/>
    <col min="3894" max="3894" width="7.85546875" style="360" customWidth="1"/>
    <col min="3895" max="3895" width="8.5703125" style="360" customWidth="1"/>
    <col min="3896" max="3896" width="8.28515625" style="360" customWidth="1"/>
    <col min="3897" max="3897" width="11.42578125" style="360" customWidth="1"/>
    <col min="3898" max="3898" width="18" style="360" customWidth="1"/>
    <col min="3899" max="3899" width="21.42578125" style="360" customWidth="1"/>
    <col min="3900" max="3900" width="27.85546875" style="360" customWidth="1"/>
    <col min="3901" max="4116" width="11.42578125" style="360"/>
    <col min="4117" max="4117" width="13.5703125" style="360" customWidth="1"/>
    <col min="4118" max="4118" width="19" style="360" customWidth="1"/>
    <col min="4119" max="4119" width="13.5703125" style="360" customWidth="1"/>
    <col min="4120" max="4120" width="19.7109375" style="360" customWidth="1"/>
    <col min="4121" max="4121" width="13.5703125" style="360" customWidth="1"/>
    <col min="4122" max="4123" width="14.7109375" style="360" customWidth="1"/>
    <col min="4124" max="4124" width="36.140625" style="360" customWidth="1"/>
    <col min="4125" max="4125" width="29.42578125" style="360" customWidth="1"/>
    <col min="4126" max="4126" width="16" style="360" customWidth="1"/>
    <col min="4127" max="4127" width="38.28515625" style="360" customWidth="1"/>
    <col min="4128" max="4128" width="12" style="360" customWidth="1"/>
    <col min="4129" max="4129" width="38.140625" style="360" customWidth="1"/>
    <col min="4130" max="4130" width="17.85546875" style="360" bestFit="1" customWidth="1"/>
    <col min="4131" max="4131" width="24.7109375" style="360" customWidth="1"/>
    <col min="4132" max="4132" width="36.42578125" style="360" customWidth="1"/>
    <col min="4133" max="4133" width="46.7109375" style="360" customWidth="1"/>
    <col min="4134" max="4134" width="43.7109375" style="360" customWidth="1"/>
    <col min="4135" max="4135" width="25.42578125" style="360" customWidth="1"/>
    <col min="4136" max="4136" width="12.42578125" style="360" customWidth="1"/>
    <col min="4137" max="4137" width="16.42578125" style="360" customWidth="1"/>
    <col min="4138" max="4138" width="13.42578125" style="360" customWidth="1"/>
    <col min="4139" max="4139" width="8.5703125" style="360" customWidth="1"/>
    <col min="4140" max="4143" width="11.42578125" style="360" customWidth="1"/>
    <col min="4144" max="4144" width="12.7109375" style="360" customWidth="1"/>
    <col min="4145" max="4145" width="11.85546875" style="360" customWidth="1"/>
    <col min="4146" max="4146" width="7.85546875" style="360" customWidth="1"/>
    <col min="4147" max="4147" width="7.5703125" style="360" customWidth="1"/>
    <col min="4148" max="4148" width="8.85546875" style="360" customWidth="1"/>
    <col min="4149" max="4149" width="8.140625" style="360" customWidth="1"/>
    <col min="4150" max="4150" width="7.85546875" style="360" customWidth="1"/>
    <col min="4151" max="4151" width="8.5703125" style="360" customWidth="1"/>
    <col min="4152" max="4152" width="8.28515625" style="360" customWidth="1"/>
    <col min="4153" max="4153" width="11.42578125" style="360" customWidth="1"/>
    <col min="4154" max="4154" width="18" style="360" customWidth="1"/>
    <col min="4155" max="4155" width="21.42578125" style="360" customWidth="1"/>
    <col min="4156" max="4156" width="27.85546875" style="360" customWidth="1"/>
    <col min="4157" max="4372" width="11.42578125" style="360"/>
    <col min="4373" max="4373" width="13.5703125" style="360" customWidth="1"/>
    <col min="4374" max="4374" width="19" style="360" customWidth="1"/>
    <col min="4375" max="4375" width="13.5703125" style="360" customWidth="1"/>
    <col min="4376" max="4376" width="19.7109375" style="360" customWidth="1"/>
    <col min="4377" max="4377" width="13.5703125" style="360" customWidth="1"/>
    <col min="4378" max="4379" width="14.7109375" style="360" customWidth="1"/>
    <col min="4380" max="4380" width="36.140625" style="360" customWidth="1"/>
    <col min="4381" max="4381" width="29.42578125" style="360" customWidth="1"/>
    <col min="4382" max="4382" width="16" style="360" customWidth="1"/>
    <col min="4383" max="4383" width="38.28515625" style="360" customWidth="1"/>
    <col min="4384" max="4384" width="12" style="360" customWidth="1"/>
    <col min="4385" max="4385" width="38.140625" style="360" customWidth="1"/>
    <col min="4386" max="4386" width="17.85546875" style="360" bestFit="1" customWidth="1"/>
    <col min="4387" max="4387" width="24.7109375" style="360" customWidth="1"/>
    <col min="4388" max="4388" width="36.42578125" style="360" customWidth="1"/>
    <col min="4389" max="4389" width="46.7109375" style="360" customWidth="1"/>
    <col min="4390" max="4390" width="43.7109375" style="360" customWidth="1"/>
    <col min="4391" max="4391" width="25.42578125" style="360" customWidth="1"/>
    <col min="4392" max="4392" width="12.42578125" style="360" customWidth="1"/>
    <col min="4393" max="4393" width="16.42578125" style="360" customWidth="1"/>
    <col min="4394" max="4394" width="13.42578125" style="360" customWidth="1"/>
    <col min="4395" max="4395" width="8.5703125" style="360" customWidth="1"/>
    <col min="4396" max="4399" width="11.42578125" style="360" customWidth="1"/>
    <col min="4400" max="4400" width="12.7109375" style="360" customWidth="1"/>
    <col min="4401" max="4401" width="11.85546875" style="360" customWidth="1"/>
    <col min="4402" max="4402" width="7.85546875" style="360" customWidth="1"/>
    <col min="4403" max="4403" width="7.5703125" style="360" customWidth="1"/>
    <col min="4404" max="4404" width="8.85546875" style="360" customWidth="1"/>
    <col min="4405" max="4405" width="8.140625" style="360" customWidth="1"/>
    <col min="4406" max="4406" width="7.85546875" style="360" customWidth="1"/>
    <col min="4407" max="4407" width="8.5703125" style="360" customWidth="1"/>
    <col min="4408" max="4408" width="8.28515625" style="360" customWidth="1"/>
    <col min="4409" max="4409" width="11.42578125" style="360" customWidth="1"/>
    <col min="4410" max="4410" width="18" style="360" customWidth="1"/>
    <col min="4411" max="4411" width="21.42578125" style="360" customWidth="1"/>
    <col min="4412" max="4412" width="27.85546875" style="360" customWidth="1"/>
    <col min="4413" max="4628" width="11.42578125" style="360"/>
    <col min="4629" max="4629" width="13.5703125" style="360" customWidth="1"/>
    <col min="4630" max="4630" width="19" style="360" customWidth="1"/>
    <col min="4631" max="4631" width="13.5703125" style="360" customWidth="1"/>
    <col min="4632" max="4632" width="19.7109375" style="360" customWidth="1"/>
    <col min="4633" max="4633" width="13.5703125" style="360" customWidth="1"/>
    <col min="4634" max="4635" width="14.7109375" style="360" customWidth="1"/>
    <col min="4636" max="4636" width="36.140625" style="360" customWidth="1"/>
    <col min="4637" max="4637" width="29.42578125" style="360" customWidth="1"/>
    <col min="4638" max="4638" width="16" style="360" customWidth="1"/>
    <col min="4639" max="4639" width="38.28515625" style="360" customWidth="1"/>
    <col min="4640" max="4640" width="12" style="360" customWidth="1"/>
    <col min="4641" max="4641" width="38.140625" style="360" customWidth="1"/>
    <col min="4642" max="4642" width="17.85546875" style="360" bestFit="1" customWidth="1"/>
    <col min="4643" max="4643" width="24.7109375" style="360" customWidth="1"/>
    <col min="4644" max="4644" width="36.42578125" style="360" customWidth="1"/>
    <col min="4645" max="4645" width="46.7109375" style="360" customWidth="1"/>
    <col min="4646" max="4646" width="43.7109375" style="360" customWidth="1"/>
    <col min="4647" max="4647" width="25.42578125" style="360" customWidth="1"/>
    <col min="4648" max="4648" width="12.42578125" style="360" customWidth="1"/>
    <col min="4649" max="4649" width="16.42578125" style="360" customWidth="1"/>
    <col min="4650" max="4650" width="13.42578125" style="360" customWidth="1"/>
    <col min="4651" max="4651" width="8.5703125" style="360" customWidth="1"/>
    <col min="4652" max="4655" width="11.42578125" style="360" customWidth="1"/>
    <col min="4656" max="4656" width="12.7109375" style="360" customWidth="1"/>
    <col min="4657" max="4657" width="11.85546875" style="360" customWidth="1"/>
    <col min="4658" max="4658" width="7.85546875" style="360" customWidth="1"/>
    <col min="4659" max="4659" width="7.5703125" style="360" customWidth="1"/>
    <col min="4660" max="4660" width="8.85546875" style="360" customWidth="1"/>
    <col min="4661" max="4661" width="8.140625" style="360" customWidth="1"/>
    <col min="4662" max="4662" width="7.85546875" style="360" customWidth="1"/>
    <col min="4663" max="4663" width="8.5703125" style="360" customWidth="1"/>
    <col min="4664" max="4664" width="8.28515625" style="360" customWidth="1"/>
    <col min="4665" max="4665" width="11.42578125" style="360" customWidth="1"/>
    <col min="4666" max="4666" width="18" style="360" customWidth="1"/>
    <col min="4667" max="4667" width="21.42578125" style="360" customWidth="1"/>
    <col min="4668" max="4668" width="27.85546875" style="360" customWidth="1"/>
    <col min="4669" max="4884" width="11.42578125" style="360"/>
    <col min="4885" max="4885" width="13.5703125" style="360" customWidth="1"/>
    <col min="4886" max="4886" width="19" style="360" customWidth="1"/>
    <col min="4887" max="4887" width="13.5703125" style="360" customWidth="1"/>
    <col min="4888" max="4888" width="19.7109375" style="360" customWidth="1"/>
    <col min="4889" max="4889" width="13.5703125" style="360" customWidth="1"/>
    <col min="4890" max="4891" width="14.7109375" style="360" customWidth="1"/>
    <col min="4892" max="4892" width="36.140625" style="360" customWidth="1"/>
    <col min="4893" max="4893" width="29.42578125" style="360" customWidth="1"/>
    <col min="4894" max="4894" width="16" style="360" customWidth="1"/>
    <col min="4895" max="4895" width="38.28515625" style="360" customWidth="1"/>
    <col min="4896" max="4896" width="12" style="360" customWidth="1"/>
    <col min="4897" max="4897" width="38.140625" style="360" customWidth="1"/>
    <col min="4898" max="4898" width="17.85546875" style="360" bestFit="1" customWidth="1"/>
    <col min="4899" max="4899" width="24.7109375" style="360" customWidth="1"/>
    <col min="4900" max="4900" width="36.42578125" style="360" customWidth="1"/>
    <col min="4901" max="4901" width="46.7109375" style="360" customWidth="1"/>
    <col min="4902" max="4902" width="43.7109375" style="360" customWidth="1"/>
    <col min="4903" max="4903" width="25.42578125" style="360" customWidth="1"/>
    <col min="4904" max="4904" width="12.42578125" style="360" customWidth="1"/>
    <col min="4905" max="4905" width="16.42578125" style="360" customWidth="1"/>
    <col min="4906" max="4906" width="13.42578125" style="360" customWidth="1"/>
    <col min="4907" max="4907" width="8.5703125" style="360" customWidth="1"/>
    <col min="4908" max="4911" width="11.42578125" style="360" customWidth="1"/>
    <col min="4912" max="4912" width="12.7109375" style="360" customWidth="1"/>
    <col min="4913" max="4913" width="11.85546875" style="360" customWidth="1"/>
    <col min="4914" max="4914" width="7.85546875" style="360" customWidth="1"/>
    <col min="4915" max="4915" width="7.5703125" style="360" customWidth="1"/>
    <col min="4916" max="4916" width="8.85546875" style="360" customWidth="1"/>
    <col min="4917" max="4917" width="8.140625" style="360" customWidth="1"/>
    <col min="4918" max="4918" width="7.85546875" style="360" customWidth="1"/>
    <col min="4919" max="4919" width="8.5703125" style="360" customWidth="1"/>
    <col min="4920" max="4920" width="8.28515625" style="360" customWidth="1"/>
    <col min="4921" max="4921" width="11.42578125" style="360" customWidth="1"/>
    <col min="4922" max="4922" width="18" style="360" customWidth="1"/>
    <col min="4923" max="4923" width="21.42578125" style="360" customWidth="1"/>
    <col min="4924" max="4924" width="27.85546875" style="360" customWidth="1"/>
    <col min="4925" max="5140" width="11.42578125" style="360"/>
    <col min="5141" max="5141" width="13.5703125" style="360" customWidth="1"/>
    <col min="5142" max="5142" width="19" style="360" customWidth="1"/>
    <col min="5143" max="5143" width="13.5703125" style="360" customWidth="1"/>
    <col min="5144" max="5144" width="19.7109375" style="360" customWidth="1"/>
    <col min="5145" max="5145" width="13.5703125" style="360" customWidth="1"/>
    <col min="5146" max="5147" width="14.7109375" style="360" customWidth="1"/>
    <col min="5148" max="5148" width="36.140625" style="360" customWidth="1"/>
    <col min="5149" max="5149" width="29.42578125" style="360" customWidth="1"/>
    <col min="5150" max="5150" width="16" style="360" customWidth="1"/>
    <col min="5151" max="5151" width="38.28515625" style="360" customWidth="1"/>
    <col min="5152" max="5152" width="12" style="360" customWidth="1"/>
    <col min="5153" max="5153" width="38.140625" style="360" customWidth="1"/>
    <col min="5154" max="5154" width="17.85546875" style="360" bestFit="1" customWidth="1"/>
    <col min="5155" max="5155" width="24.7109375" style="360" customWidth="1"/>
    <col min="5156" max="5156" width="36.42578125" style="360" customWidth="1"/>
    <col min="5157" max="5157" width="46.7109375" style="360" customWidth="1"/>
    <col min="5158" max="5158" width="43.7109375" style="360" customWidth="1"/>
    <col min="5159" max="5159" width="25.42578125" style="360" customWidth="1"/>
    <col min="5160" max="5160" width="12.42578125" style="360" customWidth="1"/>
    <col min="5161" max="5161" width="16.42578125" style="360" customWidth="1"/>
    <col min="5162" max="5162" width="13.42578125" style="360" customWidth="1"/>
    <col min="5163" max="5163" width="8.5703125" style="360" customWidth="1"/>
    <col min="5164" max="5167" width="11.42578125" style="360" customWidth="1"/>
    <col min="5168" max="5168" width="12.7109375" style="360" customWidth="1"/>
    <col min="5169" max="5169" width="11.85546875" style="360" customWidth="1"/>
    <col min="5170" max="5170" width="7.85546875" style="360" customWidth="1"/>
    <col min="5171" max="5171" width="7.5703125" style="360" customWidth="1"/>
    <col min="5172" max="5172" width="8.85546875" style="360" customWidth="1"/>
    <col min="5173" max="5173" width="8.140625" style="360" customWidth="1"/>
    <col min="5174" max="5174" width="7.85546875" style="360" customWidth="1"/>
    <col min="5175" max="5175" width="8.5703125" style="360" customWidth="1"/>
    <col min="5176" max="5176" width="8.28515625" style="360" customWidth="1"/>
    <col min="5177" max="5177" width="11.42578125" style="360" customWidth="1"/>
    <col min="5178" max="5178" width="18" style="360" customWidth="1"/>
    <col min="5179" max="5179" width="21.42578125" style="360" customWidth="1"/>
    <col min="5180" max="5180" width="27.85546875" style="360" customWidth="1"/>
    <col min="5181" max="5396" width="11.42578125" style="360"/>
    <col min="5397" max="5397" width="13.5703125" style="360" customWidth="1"/>
    <col min="5398" max="5398" width="19" style="360" customWidth="1"/>
    <col min="5399" max="5399" width="13.5703125" style="360" customWidth="1"/>
    <col min="5400" max="5400" width="19.7109375" style="360" customWidth="1"/>
    <col min="5401" max="5401" width="13.5703125" style="360" customWidth="1"/>
    <col min="5402" max="5403" width="14.7109375" style="360" customWidth="1"/>
    <col min="5404" max="5404" width="36.140625" style="360" customWidth="1"/>
    <col min="5405" max="5405" width="29.42578125" style="360" customWidth="1"/>
    <col min="5406" max="5406" width="16" style="360" customWidth="1"/>
    <col min="5407" max="5407" width="38.28515625" style="360" customWidth="1"/>
    <col min="5408" max="5408" width="12" style="360" customWidth="1"/>
    <col min="5409" max="5409" width="38.140625" style="360" customWidth="1"/>
    <col min="5410" max="5410" width="17.85546875" style="360" bestFit="1" customWidth="1"/>
    <col min="5411" max="5411" width="24.7109375" style="360" customWidth="1"/>
    <col min="5412" max="5412" width="36.42578125" style="360" customWidth="1"/>
    <col min="5413" max="5413" width="46.7109375" style="360" customWidth="1"/>
    <col min="5414" max="5414" width="43.7109375" style="360" customWidth="1"/>
    <col min="5415" max="5415" width="25.42578125" style="360" customWidth="1"/>
    <col min="5416" max="5416" width="12.42578125" style="360" customWidth="1"/>
    <col min="5417" max="5417" width="16.42578125" style="360" customWidth="1"/>
    <col min="5418" max="5418" width="13.42578125" style="360" customWidth="1"/>
    <col min="5419" max="5419" width="8.5703125" style="360" customWidth="1"/>
    <col min="5420" max="5423" width="11.42578125" style="360" customWidth="1"/>
    <col min="5424" max="5424" width="12.7109375" style="360" customWidth="1"/>
    <col min="5425" max="5425" width="11.85546875" style="360" customWidth="1"/>
    <col min="5426" max="5426" width="7.85546875" style="360" customWidth="1"/>
    <col min="5427" max="5427" width="7.5703125" style="360" customWidth="1"/>
    <col min="5428" max="5428" width="8.85546875" style="360" customWidth="1"/>
    <col min="5429" max="5429" width="8.140625" style="360" customWidth="1"/>
    <col min="5430" max="5430" width="7.85546875" style="360" customWidth="1"/>
    <col min="5431" max="5431" width="8.5703125" style="360" customWidth="1"/>
    <col min="5432" max="5432" width="8.28515625" style="360" customWidth="1"/>
    <col min="5433" max="5433" width="11.42578125" style="360" customWidth="1"/>
    <col min="5434" max="5434" width="18" style="360" customWidth="1"/>
    <col min="5435" max="5435" width="21.42578125" style="360" customWidth="1"/>
    <col min="5436" max="5436" width="27.85546875" style="360" customWidth="1"/>
    <col min="5437" max="5652" width="11.42578125" style="360"/>
    <col min="5653" max="5653" width="13.5703125" style="360" customWidth="1"/>
    <col min="5654" max="5654" width="19" style="360" customWidth="1"/>
    <col min="5655" max="5655" width="13.5703125" style="360" customWidth="1"/>
    <col min="5656" max="5656" width="19.7109375" style="360" customWidth="1"/>
    <col min="5657" max="5657" width="13.5703125" style="360" customWidth="1"/>
    <col min="5658" max="5659" width="14.7109375" style="360" customWidth="1"/>
    <col min="5660" max="5660" width="36.140625" style="360" customWidth="1"/>
    <col min="5661" max="5661" width="29.42578125" style="360" customWidth="1"/>
    <col min="5662" max="5662" width="16" style="360" customWidth="1"/>
    <col min="5663" max="5663" width="38.28515625" style="360" customWidth="1"/>
    <col min="5664" max="5664" width="12" style="360" customWidth="1"/>
    <col min="5665" max="5665" width="38.140625" style="360" customWidth="1"/>
    <col min="5666" max="5666" width="17.85546875" style="360" bestFit="1" customWidth="1"/>
    <col min="5667" max="5667" width="24.7109375" style="360" customWidth="1"/>
    <col min="5668" max="5668" width="36.42578125" style="360" customWidth="1"/>
    <col min="5669" max="5669" width="46.7109375" style="360" customWidth="1"/>
    <col min="5670" max="5670" width="43.7109375" style="360" customWidth="1"/>
    <col min="5671" max="5671" width="25.42578125" style="360" customWidth="1"/>
    <col min="5672" max="5672" width="12.42578125" style="360" customWidth="1"/>
    <col min="5673" max="5673" width="16.42578125" style="360" customWidth="1"/>
    <col min="5674" max="5674" width="13.42578125" style="360" customWidth="1"/>
    <col min="5675" max="5675" width="8.5703125" style="360" customWidth="1"/>
    <col min="5676" max="5679" width="11.42578125" style="360" customWidth="1"/>
    <col min="5680" max="5680" width="12.7109375" style="360" customWidth="1"/>
    <col min="5681" max="5681" width="11.85546875" style="360" customWidth="1"/>
    <col min="5682" max="5682" width="7.85546875" style="360" customWidth="1"/>
    <col min="5683" max="5683" width="7.5703125" style="360" customWidth="1"/>
    <col min="5684" max="5684" width="8.85546875" style="360" customWidth="1"/>
    <col min="5685" max="5685" width="8.140625" style="360" customWidth="1"/>
    <col min="5686" max="5686" width="7.85546875" style="360" customWidth="1"/>
    <col min="5687" max="5687" width="8.5703125" style="360" customWidth="1"/>
    <col min="5688" max="5688" width="8.28515625" style="360" customWidth="1"/>
    <col min="5689" max="5689" width="11.42578125" style="360" customWidth="1"/>
    <col min="5690" max="5690" width="18" style="360" customWidth="1"/>
    <col min="5691" max="5691" width="21.42578125" style="360" customWidth="1"/>
    <col min="5692" max="5692" width="27.85546875" style="360" customWidth="1"/>
    <col min="5693" max="5908" width="11.42578125" style="360"/>
    <col min="5909" max="5909" width="13.5703125" style="360" customWidth="1"/>
    <col min="5910" max="5910" width="19" style="360" customWidth="1"/>
    <col min="5911" max="5911" width="13.5703125" style="360" customWidth="1"/>
    <col min="5912" max="5912" width="19.7109375" style="360" customWidth="1"/>
    <col min="5913" max="5913" width="13.5703125" style="360" customWidth="1"/>
    <col min="5914" max="5915" width="14.7109375" style="360" customWidth="1"/>
    <col min="5916" max="5916" width="36.140625" style="360" customWidth="1"/>
    <col min="5917" max="5917" width="29.42578125" style="360" customWidth="1"/>
    <col min="5918" max="5918" width="16" style="360" customWidth="1"/>
    <col min="5919" max="5919" width="38.28515625" style="360" customWidth="1"/>
    <col min="5920" max="5920" width="12" style="360" customWidth="1"/>
    <col min="5921" max="5921" width="38.140625" style="360" customWidth="1"/>
    <col min="5922" max="5922" width="17.85546875" style="360" bestFit="1" customWidth="1"/>
    <col min="5923" max="5923" width="24.7109375" style="360" customWidth="1"/>
    <col min="5924" max="5924" width="36.42578125" style="360" customWidth="1"/>
    <col min="5925" max="5925" width="46.7109375" style="360" customWidth="1"/>
    <col min="5926" max="5926" width="43.7109375" style="360" customWidth="1"/>
    <col min="5927" max="5927" width="25.42578125" style="360" customWidth="1"/>
    <col min="5928" max="5928" width="12.42578125" style="360" customWidth="1"/>
    <col min="5929" max="5929" width="16.42578125" style="360" customWidth="1"/>
    <col min="5930" max="5930" width="13.42578125" style="360" customWidth="1"/>
    <col min="5931" max="5931" width="8.5703125" style="360" customWidth="1"/>
    <col min="5932" max="5935" width="11.42578125" style="360" customWidth="1"/>
    <col min="5936" max="5936" width="12.7109375" style="360" customWidth="1"/>
    <col min="5937" max="5937" width="11.85546875" style="360" customWidth="1"/>
    <col min="5938" max="5938" width="7.85546875" style="360" customWidth="1"/>
    <col min="5939" max="5939" width="7.5703125" style="360" customWidth="1"/>
    <col min="5940" max="5940" width="8.85546875" style="360" customWidth="1"/>
    <col min="5941" max="5941" width="8.140625" style="360" customWidth="1"/>
    <col min="5942" max="5942" width="7.85546875" style="360" customWidth="1"/>
    <col min="5943" max="5943" width="8.5703125" style="360" customWidth="1"/>
    <col min="5944" max="5944" width="8.28515625" style="360" customWidth="1"/>
    <col min="5945" max="5945" width="11.42578125" style="360" customWidth="1"/>
    <col min="5946" max="5946" width="18" style="360" customWidth="1"/>
    <col min="5947" max="5947" width="21.42578125" style="360" customWidth="1"/>
    <col min="5948" max="5948" width="27.85546875" style="360" customWidth="1"/>
    <col min="5949" max="6164" width="11.42578125" style="360"/>
    <col min="6165" max="6165" width="13.5703125" style="360" customWidth="1"/>
    <col min="6166" max="6166" width="19" style="360" customWidth="1"/>
    <col min="6167" max="6167" width="13.5703125" style="360" customWidth="1"/>
    <col min="6168" max="6168" width="19.7109375" style="360" customWidth="1"/>
    <col min="6169" max="6169" width="13.5703125" style="360" customWidth="1"/>
    <col min="6170" max="6171" width="14.7109375" style="360" customWidth="1"/>
    <col min="6172" max="6172" width="36.140625" style="360" customWidth="1"/>
    <col min="6173" max="6173" width="29.42578125" style="360" customWidth="1"/>
    <col min="6174" max="6174" width="16" style="360" customWidth="1"/>
    <col min="6175" max="6175" width="38.28515625" style="360" customWidth="1"/>
    <col min="6176" max="6176" width="12" style="360" customWidth="1"/>
    <col min="6177" max="6177" width="38.140625" style="360" customWidth="1"/>
    <col min="6178" max="6178" width="17.85546875" style="360" bestFit="1" customWidth="1"/>
    <col min="6179" max="6179" width="24.7109375" style="360" customWidth="1"/>
    <col min="6180" max="6180" width="36.42578125" style="360" customWidth="1"/>
    <col min="6181" max="6181" width="46.7109375" style="360" customWidth="1"/>
    <col min="6182" max="6182" width="43.7109375" style="360" customWidth="1"/>
    <col min="6183" max="6183" width="25.42578125" style="360" customWidth="1"/>
    <col min="6184" max="6184" width="12.42578125" style="360" customWidth="1"/>
    <col min="6185" max="6185" width="16.42578125" style="360" customWidth="1"/>
    <col min="6186" max="6186" width="13.42578125" style="360" customWidth="1"/>
    <col min="6187" max="6187" width="8.5703125" style="360" customWidth="1"/>
    <col min="6188" max="6191" width="11.42578125" style="360" customWidth="1"/>
    <col min="6192" max="6192" width="12.7109375" style="360" customWidth="1"/>
    <col min="6193" max="6193" width="11.85546875" style="360" customWidth="1"/>
    <col min="6194" max="6194" width="7.85546875" style="360" customWidth="1"/>
    <col min="6195" max="6195" width="7.5703125" style="360" customWidth="1"/>
    <col min="6196" max="6196" width="8.85546875" style="360" customWidth="1"/>
    <col min="6197" max="6197" width="8.140625" style="360" customWidth="1"/>
    <col min="6198" max="6198" width="7.85546875" style="360" customWidth="1"/>
    <col min="6199" max="6199" width="8.5703125" style="360" customWidth="1"/>
    <col min="6200" max="6200" width="8.28515625" style="360" customWidth="1"/>
    <col min="6201" max="6201" width="11.42578125" style="360" customWidth="1"/>
    <col min="6202" max="6202" width="18" style="360" customWidth="1"/>
    <col min="6203" max="6203" width="21.42578125" style="360" customWidth="1"/>
    <col min="6204" max="6204" width="27.85546875" style="360" customWidth="1"/>
    <col min="6205" max="6420" width="11.42578125" style="360"/>
    <col min="6421" max="6421" width="13.5703125" style="360" customWidth="1"/>
    <col min="6422" max="6422" width="19" style="360" customWidth="1"/>
    <col min="6423" max="6423" width="13.5703125" style="360" customWidth="1"/>
    <col min="6424" max="6424" width="19.7109375" style="360" customWidth="1"/>
    <col min="6425" max="6425" width="13.5703125" style="360" customWidth="1"/>
    <col min="6426" max="6427" width="14.7109375" style="360" customWidth="1"/>
    <col min="6428" max="6428" width="36.140625" style="360" customWidth="1"/>
    <col min="6429" max="6429" width="29.42578125" style="360" customWidth="1"/>
    <col min="6430" max="6430" width="16" style="360" customWidth="1"/>
    <col min="6431" max="6431" width="38.28515625" style="360" customWidth="1"/>
    <col min="6432" max="6432" width="12" style="360" customWidth="1"/>
    <col min="6433" max="6433" width="38.140625" style="360" customWidth="1"/>
    <col min="6434" max="6434" width="17.85546875" style="360" bestFit="1" customWidth="1"/>
    <col min="6435" max="6435" width="24.7109375" style="360" customWidth="1"/>
    <col min="6436" max="6436" width="36.42578125" style="360" customWidth="1"/>
    <col min="6437" max="6437" width="46.7109375" style="360" customWidth="1"/>
    <col min="6438" max="6438" width="43.7109375" style="360" customWidth="1"/>
    <col min="6439" max="6439" width="25.42578125" style="360" customWidth="1"/>
    <col min="6440" max="6440" width="12.42578125" style="360" customWidth="1"/>
    <col min="6441" max="6441" width="16.42578125" style="360" customWidth="1"/>
    <col min="6442" max="6442" width="13.42578125" style="360" customWidth="1"/>
    <col min="6443" max="6443" width="8.5703125" style="360" customWidth="1"/>
    <col min="6444" max="6447" width="11.42578125" style="360" customWidth="1"/>
    <col min="6448" max="6448" width="12.7109375" style="360" customWidth="1"/>
    <col min="6449" max="6449" width="11.85546875" style="360" customWidth="1"/>
    <col min="6450" max="6450" width="7.85546875" style="360" customWidth="1"/>
    <col min="6451" max="6451" width="7.5703125" style="360" customWidth="1"/>
    <col min="6452" max="6452" width="8.85546875" style="360" customWidth="1"/>
    <col min="6453" max="6453" width="8.140625" style="360" customWidth="1"/>
    <col min="6454" max="6454" width="7.85546875" style="360" customWidth="1"/>
    <col min="6455" max="6455" width="8.5703125" style="360" customWidth="1"/>
    <col min="6456" max="6456" width="8.28515625" style="360" customWidth="1"/>
    <col min="6457" max="6457" width="11.42578125" style="360" customWidth="1"/>
    <col min="6458" max="6458" width="18" style="360" customWidth="1"/>
    <col min="6459" max="6459" width="21.42578125" style="360" customWidth="1"/>
    <col min="6460" max="6460" width="27.85546875" style="360" customWidth="1"/>
    <col min="6461" max="6676" width="11.42578125" style="360"/>
    <col min="6677" max="6677" width="13.5703125" style="360" customWidth="1"/>
    <col min="6678" max="6678" width="19" style="360" customWidth="1"/>
    <col min="6679" max="6679" width="13.5703125" style="360" customWidth="1"/>
    <col min="6680" max="6680" width="19.7109375" style="360" customWidth="1"/>
    <col min="6681" max="6681" width="13.5703125" style="360" customWidth="1"/>
    <col min="6682" max="6683" width="14.7109375" style="360" customWidth="1"/>
    <col min="6684" max="6684" width="36.140625" style="360" customWidth="1"/>
    <col min="6685" max="6685" width="29.42578125" style="360" customWidth="1"/>
    <col min="6686" max="6686" width="16" style="360" customWidth="1"/>
    <col min="6687" max="6687" width="38.28515625" style="360" customWidth="1"/>
    <col min="6688" max="6688" width="12" style="360" customWidth="1"/>
    <col min="6689" max="6689" width="38.140625" style="360" customWidth="1"/>
    <col min="6690" max="6690" width="17.85546875" style="360" bestFit="1" customWidth="1"/>
    <col min="6691" max="6691" width="24.7109375" style="360" customWidth="1"/>
    <col min="6692" max="6692" width="36.42578125" style="360" customWidth="1"/>
    <col min="6693" max="6693" width="46.7109375" style="360" customWidth="1"/>
    <col min="6694" max="6694" width="43.7109375" style="360" customWidth="1"/>
    <col min="6695" max="6695" width="25.42578125" style="360" customWidth="1"/>
    <col min="6696" max="6696" width="12.42578125" style="360" customWidth="1"/>
    <col min="6697" max="6697" width="16.42578125" style="360" customWidth="1"/>
    <col min="6698" max="6698" width="13.42578125" style="360" customWidth="1"/>
    <col min="6699" max="6699" width="8.5703125" style="360" customWidth="1"/>
    <col min="6700" max="6703" width="11.42578125" style="360" customWidth="1"/>
    <col min="6704" max="6704" width="12.7109375" style="360" customWidth="1"/>
    <col min="6705" max="6705" width="11.85546875" style="360" customWidth="1"/>
    <col min="6706" max="6706" width="7.85546875" style="360" customWidth="1"/>
    <col min="6707" max="6707" width="7.5703125" style="360" customWidth="1"/>
    <col min="6708" max="6708" width="8.85546875" style="360" customWidth="1"/>
    <col min="6709" max="6709" width="8.140625" style="360" customWidth="1"/>
    <col min="6710" max="6710" width="7.85546875" style="360" customWidth="1"/>
    <col min="6711" max="6711" width="8.5703125" style="360" customWidth="1"/>
    <col min="6712" max="6712" width="8.28515625" style="360" customWidth="1"/>
    <col min="6713" max="6713" width="11.42578125" style="360" customWidth="1"/>
    <col min="6714" max="6714" width="18" style="360" customWidth="1"/>
    <col min="6715" max="6715" width="21.42578125" style="360" customWidth="1"/>
    <col min="6716" max="6716" width="27.85546875" style="360" customWidth="1"/>
    <col min="6717" max="6932" width="11.42578125" style="360"/>
    <col min="6933" max="6933" width="13.5703125" style="360" customWidth="1"/>
    <col min="6934" max="6934" width="19" style="360" customWidth="1"/>
    <col min="6935" max="6935" width="13.5703125" style="360" customWidth="1"/>
    <col min="6936" max="6936" width="19.7109375" style="360" customWidth="1"/>
    <col min="6937" max="6937" width="13.5703125" style="360" customWidth="1"/>
    <col min="6938" max="6939" width="14.7109375" style="360" customWidth="1"/>
    <col min="6940" max="6940" width="36.140625" style="360" customWidth="1"/>
    <col min="6941" max="6941" width="29.42578125" style="360" customWidth="1"/>
    <col min="6942" max="6942" width="16" style="360" customWidth="1"/>
    <col min="6943" max="6943" width="38.28515625" style="360" customWidth="1"/>
    <col min="6944" max="6944" width="12" style="360" customWidth="1"/>
    <col min="6945" max="6945" width="38.140625" style="360" customWidth="1"/>
    <col min="6946" max="6946" width="17.85546875" style="360" bestFit="1" customWidth="1"/>
    <col min="6947" max="6947" width="24.7109375" style="360" customWidth="1"/>
    <col min="6948" max="6948" width="36.42578125" style="360" customWidth="1"/>
    <col min="6949" max="6949" width="46.7109375" style="360" customWidth="1"/>
    <col min="6950" max="6950" width="43.7109375" style="360" customWidth="1"/>
    <col min="6951" max="6951" width="25.42578125" style="360" customWidth="1"/>
    <col min="6952" max="6952" width="12.42578125" style="360" customWidth="1"/>
    <col min="6953" max="6953" width="16.42578125" style="360" customWidth="1"/>
    <col min="6954" max="6954" width="13.42578125" style="360" customWidth="1"/>
    <col min="6955" max="6955" width="8.5703125" style="360" customWidth="1"/>
    <col min="6956" max="6959" width="11.42578125" style="360" customWidth="1"/>
    <col min="6960" max="6960" width="12.7109375" style="360" customWidth="1"/>
    <col min="6961" max="6961" width="11.85546875" style="360" customWidth="1"/>
    <col min="6962" max="6962" width="7.85546875" style="360" customWidth="1"/>
    <col min="6963" max="6963" width="7.5703125" style="360" customWidth="1"/>
    <col min="6964" max="6964" width="8.85546875" style="360" customWidth="1"/>
    <col min="6965" max="6965" width="8.140625" style="360" customWidth="1"/>
    <col min="6966" max="6966" width="7.85546875" style="360" customWidth="1"/>
    <col min="6967" max="6967" width="8.5703125" style="360" customWidth="1"/>
    <col min="6968" max="6968" width="8.28515625" style="360" customWidth="1"/>
    <col min="6969" max="6969" width="11.42578125" style="360" customWidth="1"/>
    <col min="6970" max="6970" width="18" style="360" customWidth="1"/>
    <col min="6971" max="6971" width="21.42578125" style="360" customWidth="1"/>
    <col min="6972" max="6972" width="27.85546875" style="360" customWidth="1"/>
    <col min="6973" max="7188" width="11.42578125" style="360"/>
    <col min="7189" max="7189" width="13.5703125" style="360" customWidth="1"/>
    <col min="7190" max="7190" width="19" style="360" customWidth="1"/>
    <col min="7191" max="7191" width="13.5703125" style="360" customWidth="1"/>
    <col min="7192" max="7192" width="19.7109375" style="360" customWidth="1"/>
    <col min="7193" max="7193" width="13.5703125" style="360" customWidth="1"/>
    <col min="7194" max="7195" width="14.7109375" style="360" customWidth="1"/>
    <col min="7196" max="7196" width="36.140625" style="360" customWidth="1"/>
    <col min="7197" max="7197" width="29.42578125" style="360" customWidth="1"/>
    <col min="7198" max="7198" width="16" style="360" customWidth="1"/>
    <col min="7199" max="7199" width="38.28515625" style="360" customWidth="1"/>
    <col min="7200" max="7200" width="12" style="360" customWidth="1"/>
    <col min="7201" max="7201" width="38.140625" style="360" customWidth="1"/>
    <col min="7202" max="7202" width="17.85546875" style="360" bestFit="1" customWidth="1"/>
    <col min="7203" max="7203" width="24.7109375" style="360" customWidth="1"/>
    <col min="7204" max="7204" width="36.42578125" style="360" customWidth="1"/>
    <col min="7205" max="7205" width="46.7109375" style="360" customWidth="1"/>
    <col min="7206" max="7206" width="43.7109375" style="360" customWidth="1"/>
    <col min="7207" max="7207" width="25.42578125" style="360" customWidth="1"/>
    <col min="7208" max="7208" width="12.42578125" style="360" customWidth="1"/>
    <col min="7209" max="7209" width="16.42578125" style="360" customWidth="1"/>
    <col min="7210" max="7210" width="13.42578125" style="360" customWidth="1"/>
    <col min="7211" max="7211" width="8.5703125" style="360" customWidth="1"/>
    <col min="7212" max="7215" width="11.42578125" style="360" customWidth="1"/>
    <col min="7216" max="7216" width="12.7109375" style="360" customWidth="1"/>
    <col min="7217" max="7217" width="11.85546875" style="360" customWidth="1"/>
    <col min="7218" max="7218" width="7.85546875" style="360" customWidth="1"/>
    <col min="7219" max="7219" width="7.5703125" style="360" customWidth="1"/>
    <col min="7220" max="7220" width="8.85546875" style="360" customWidth="1"/>
    <col min="7221" max="7221" width="8.140625" style="360" customWidth="1"/>
    <col min="7222" max="7222" width="7.85546875" style="360" customWidth="1"/>
    <col min="7223" max="7223" width="8.5703125" style="360" customWidth="1"/>
    <col min="7224" max="7224" width="8.28515625" style="360" customWidth="1"/>
    <col min="7225" max="7225" width="11.42578125" style="360" customWidth="1"/>
    <col min="7226" max="7226" width="18" style="360" customWidth="1"/>
    <col min="7227" max="7227" width="21.42578125" style="360" customWidth="1"/>
    <col min="7228" max="7228" width="27.85546875" style="360" customWidth="1"/>
    <col min="7229" max="7444" width="11.42578125" style="360"/>
    <col min="7445" max="7445" width="13.5703125" style="360" customWidth="1"/>
    <col min="7446" max="7446" width="19" style="360" customWidth="1"/>
    <col min="7447" max="7447" width="13.5703125" style="360" customWidth="1"/>
    <col min="7448" max="7448" width="19.7109375" style="360" customWidth="1"/>
    <col min="7449" max="7449" width="13.5703125" style="360" customWidth="1"/>
    <col min="7450" max="7451" width="14.7109375" style="360" customWidth="1"/>
    <col min="7452" max="7452" width="36.140625" style="360" customWidth="1"/>
    <col min="7453" max="7453" width="29.42578125" style="360" customWidth="1"/>
    <col min="7454" max="7454" width="16" style="360" customWidth="1"/>
    <col min="7455" max="7455" width="38.28515625" style="360" customWidth="1"/>
    <col min="7456" max="7456" width="12" style="360" customWidth="1"/>
    <col min="7457" max="7457" width="38.140625" style="360" customWidth="1"/>
    <col min="7458" max="7458" width="17.85546875" style="360" bestFit="1" customWidth="1"/>
    <col min="7459" max="7459" width="24.7109375" style="360" customWidth="1"/>
    <col min="7460" max="7460" width="36.42578125" style="360" customWidth="1"/>
    <col min="7461" max="7461" width="46.7109375" style="360" customWidth="1"/>
    <col min="7462" max="7462" width="43.7109375" style="360" customWidth="1"/>
    <col min="7463" max="7463" width="25.42578125" style="360" customWidth="1"/>
    <col min="7464" max="7464" width="12.42578125" style="360" customWidth="1"/>
    <col min="7465" max="7465" width="16.42578125" style="360" customWidth="1"/>
    <col min="7466" max="7466" width="13.42578125" style="360" customWidth="1"/>
    <col min="7467" max="7467" width="8.5703125" style="360" customWidth="1"/>
    <col min="7468" max="7471" width="11.42578125" style="360" customWidth="1"/>
    <col min="7472" max="7472" width="12.7109375" style="360" customWidth="1"/>
    <col min="7473" max="7473" width="11.85546875" style="360" customWidth="1"/>
    <col min="7474" max="7474" width="7.85546875" style="360" customWidth="1"/>
    <col min="7475" max="7475" width="7.5703125" style="360" customWidth="1"/>
    <col min="7476" max="7476" width="8.85546875" style="360" customWidth="1"/>
    <col min="7477" max="7477" width="8.140625" style="360" customWidth="1"/>
    <col min="7478" max="7478" width="7.85546875" style="360" customWidth="1"/>
    <col min="7479" max="7479" width="8.5703125" style="360" customWidth="1"/>
    <col min="7480" max="7480" width="8.28515625" style="360" customWidth="1"/>
    <col min="7481" max="7481" width="11.42578125" style="360" customWidth="1"/>
    <col min="7482" max="7482" width="18" style="360" customWidth="1"/>
    <col min="7483" max="7483" width="21.42578125" style="360" customWidth="1"/>
    <col min="7484" max="7484" width="27.85546875" style="360" customWidth="1"/>
    <col min="7485" max="7700" width="11.42578125" style="360"/>
    <col min="7701" max="7701" width="13.5703125" style="360" customWidth="1"/>
    <col min="7702" max="7702" width="19" style="360" customWidth="1"/>
    <col min="7703" max="7703" width="13.5703125" style="360" customWidth="1"/>
    <col min="7704" max="7704" width="19.7109375" style="360" customWidth="1"/>
    <col min="7705" max="7705" width="13.5703125" style="360" customWidth="1"/>
    <col min="7706" max="7707" width="14.7109375" style="360" customWidth="1"/>
    <col min="7708" max="7708" width="36.140625" style="360" customWidth="1"/>
    <col min="7709" max="7709" width="29.42578125" style="360" customWidth="1"/>
    <col min="7710" max="7710" width="16" style="360" customWidth="1"/>
    <col min="7711" max="7711" width="38.28515625" style="360" customWidth="1"/>
    <col min="7712" max="7712" width="12" style="360" customWidth="1"/>
    <col min="7713" max="7713" width="38.140625" style="360" customWidth="1"/>
    <col min="7714" max="7714" width="17.85546875" style="360" bestFit="1" customWidth="1"/>
    <col min="7715" max="7715" width="24.7109375" style="360" customWidth="1"/>
    <col min="7716" max="7716" width="36.42578125" style="360" customWidth="1"/>
    <col min="7717" max="7717" width="46.7109375" style="360" customWidth="1"/>
    <col min="7718" max="7718" width="43.7109375" style="360" customWidth="1"/>
    <col min="7719" max="7719" width="25.42578125" style="360" customWidth="1"/>
    <col min="7720" max="7720" width="12.42578125" style="360" customWidth="1"/>
    <col min="7721" max="7721" width="16.42578125" style="360" customWidth="1"/>
    <col min="7722" max="7722" width="13.42578125" style="360" customWidth="1"/>
    <col min="7723" max="7723" width="8.5703125" style="360" customWidth="1"/>
    <col min="7724" max="7727" width="11.42578125" style="360" customWidth="1"/>
    <col min="7728" max="7728" width="12.7109375" style="360" customWidth="1"/>
    <col min="7729" max="7729" width="11.85546875" style="360" customWidth="1"/>
    <col min="7730" max="7730" width="7.85546875" style="360" customWidth="1"/>
    <col min="7731" max="7731" width="7.5703125" style="360" customWidth="1"/>
    <col min="7732" max="7732" width="8.85546875" style="360" customWidth="1"/>
    <col min="7733" max="7733" width="8.140625" style="360" customWidth="1"/>
    <col min="7734" max="7734" width="7.85546875" style="360" customWidth="1"/>
    <col min="7735" max="7735" width="8.5703125" style="360" customWidth="1"/>
    <col min="7736" max="7736" width="8.28515625" style="360" customWidth="1"/>
    <col min="7737" max="7737" width="11.42578125" style="360" customWidth="1"/>
    <col min="7738" max="7738" width="18" style="360" customWidth="1"/>
    <col min="7739" max="7739" width="21.42578125" style="360" customWidth="1"/>
    <col min="7740" max="7740" width="27.85546875" style="360" customWidth="1"/>
    <col min="7741" max="7956" width="11.42578125" style="360"/>
    <col min="7957" max="7957" width="13.5703125" style="360" customWidth="1"/>
    <col min="7958" max="7958" width="19" style="360" customWidth="1"/>
    <col min="7959" max="7959" width="13.5703125" style="360" customWidth="1"/>
    <col min="7960" max="7960" width="19.7109375" style="360" customWidth="1"/>
    <col min="7961" max="7961" width="13.5703125" style="360" customWidth="1"/>
    <col min="7962" max="7963" width="14.7109375" style="360" customWidth="1"/>
    <col min="7964" max="7964" width="36.140625" style="360" customWidth="1"/>
    <col min="7965" max="7965" width="29.42578125" style="360" customWidth="1"/>
    <col min="7966" max="7966" width="16" style="360" customWidth="1"/>
    <col min="7967" max="7967" width="38.28515625" style="360" customWidth="1"/>
    <col min="7968" max="7968" width="12" style="360" customWidth="1"/>
    <col min="7969" max="7969" width="38.140625" style="360" customWidth="1"/>
    <col min="7970" max="7970" width="17.85546875" style="360" bestFit="1" customWidth="1"/>
    <col min="7971" max="7971" width="24.7109375" style="360" customWidth="1"/>
    <col min="7972" max="7972" width="36.42578125" style="360" customWidth="1"/>
    <col min="7973" max="7973" width="46.7109375" style="360" customWidth="1"/>
    <col min="7974" max="7974" width="43.7109375" style="360" customWidth="1"/>
    <col min="7975" max="7975" width="25.42578125" style="360" customWidth="1"/>
    <col min="7976" max="7976" width="12.42578125" style="360" customWidth="1"/>
    <col min="7977" max="7977" width="16.42578125" style="360" customWidth="1"/>
    <col min="7978" max="7978" width="13.42578125" style="360" customWidth="1"/>
    <col min="7979" max="7979" width="8.5703125" style="360" customWidth="1"/>
    <col min="7980" max="7983" width="11.42578125" style="360" customWidth="1"/>
    <col min="7984" max="7984" width="12.7109375" style="360" customWidth="1"/>
    <col min="7985" max="7985" width="11.85546875" style="360" customWidth="1"/>
    <col min="7986" max="7986" width="7.85546875" style="360" customWidth="1"/>
    <col min="7987" max="7987" width="7.5703125" style="360" customWidth="1"/>
    <col min="7988" max="7988" width="8.85546875" style="360" customWidth="1"/>
    <col min="7989" max="7989" width="8.140625" style="360" customWidth="1"/>
    <col min="7990" max="7990" width="7.85546875" style="360" customWidth="1"/>
    <col min="7991" max="7991" width="8.5703125" style="360" customWidth="1"/>
    <col min="7992" max="7992" width="8.28515625" style="360" customWidth="1"/>
    <col min="7993" max="7993" width="11.42578125" style="360" customWidth="1"/>
    <col min="7994" max="7994" width="18" style="360" customWidth="1"/>
    <col min="7995" max="7995" width="21.42578125" style="360" customWidth="1"/>
    <col min="7996" max="7996" width="27.85546875" style="360" customWidth="1"/>
    <col min="7997" max="8212" width="11.42578125" style="360"/>
    <col min="8213" max="8213" width="13.5703125" style="360" customWidth="1"/>
    <col min="8214" max="8214" width="19" style="360" customWidth="1"/>
    <col min="8215" max="8215" width="13.5703125" style="360" customWidth="1"/>
    <col min="8216" max="8216" width="19.7109375" style="360" customWidth="1"/>
    <col min="8217" max="8217" width="13.5703125" style="360" customWidth="1"/>
    <col min="8218" max="8219" width="14.7109375" style="360" customWidth="1"/>
    <col min="8220" max="8220" width="36.140625" style="360" customWidth="1"/>
    <col min="8221" max="8221" width="29.42578125" style="360" customWidth="1"/>
    <col min="8222" max="8222" width="16" style="360" customWidth="1"/>
    <col min="8223" max="8223" width="38.28515625" style="360" customWidth="1"/>
    <col min="8224" max="8224" width="12" style="360" customWidth="1"/>
    <col min="8225" max="8225" width="38.140625" style="360" customWidth="1"/>
    <col min="8226" max="8226" width="17.85546875" style="360" bestFit="1" customWidth="1"/>
    <col min="8227" max="8227" width="24.7109375" style="360" customWidth="1"/>
    <col min="8228" max="8228" width="36.42578125" style="360" customWidth="1"/>
    <col min="8229" max="8229" width="46.7109375" style="360" customWidth="1"/>
    <col min="8230" max="8230" width="43.7109375" style="360" customWidth="1"/>
    <col min="8231" max="8231" width="25.42578125" style="360" customWidth="1"/>
    <col min="8232" max="8232" width="12.42578125" style="360" customWidth="1"/>
    <col min="8233" max="8233" width="16.42578125" style="360" customWidth="1"/>
    <col min="8234" max="8234" width="13.42578125" style="360" customWidth="1"/>
    <col min="8235" max="8235" width="8.5703125" style="360" customWidth="1"/>
    <col min="8236" max="8239" width="11.42578125" style="360" customWidth="1"/>
    <col min="8240" max="8240" width="12.7109375" style="360" customWidth="1"/>
    <col min="8241" max="8241" width="11.85546875" style="360" customWidth="1"/>
    <col min="8242" max="8242" width="7.85546875" style="360" customWidth="1"/>
    <col min="8243" max="8243" width="7.5703125" style="360" customWidth="1"/>
    <col min="8244" max="8244" width="8.85546875" style="360" customWidth="1"/>
    <col min="8245" max="8245" width="8.140625" style="360" customWidth="1"/>
    <col min="8246" max="8246" width="7.85546875" style="360" customWidth="1"/>
    <col min="8247" max="8247" width="8.5703125" style="360" customWidth="1"/>
    <col min="8248" max="8248" width="8.28515625" style="360" customWidth="1"/>
    <col min="8249" max="8249" width="11.42578125" style="360" customWidth="1"/>
    <col min="8250" max="8250" width="18" style="360" customWidth="1"/>
    <col min="8251" max="8251" width="21.42578125" style="360" customWidth="1"/>
    <col min="8252" max="8252" width="27.85546875" style="360" customWidth="1"/>
    <col min="8253" max="8468" width="11.42578125" style="360"/>
    <col min="8469" max="8469" width="13.5703125" style="360" customWidth="1"/>
    <col min="8470" max="8470" width="19" style="360" customWidth="1"/>
    <col min="8471" max="8471" width="13.5703125" style="360" customWidth="1"/>
    <col min="8472" max="8472" width="19.7109375" style="360" customWidth="1"/>
    <col min="8473" max="8473" width="13.5703125" style="360" customWidth="1"/>
    <col min="8474" max="8475" width="14.7109375" style="360" customWidth="1"/>
    <col min="8476" max="8476" width="36.140625" style="360" customWidth="1"/>
    <col min="8477" max="8477" width="29.42578125" style="360" customWidth="1"/>
    <col min="8478" max="8478" width="16" style="360" customWidth="1"/>
    <col min="8479" max="8479" width="38.28515625" style="360" customWidth="1"/>
    <col min="8480" max="8480" width="12" style="360" customWidth="1"/>
    <col min="8481" max="8481" width="38.140625" style="360" customWidth="1"/>
    <col min="8482" max="8482" width="17.85546875" style="360" bestFit="1" customWidth="1"/>
    <col min="8483" max="8483" width="24.7109375" style="360" customWidth="1"/>
    <col min="8484" max="8484" width="36.42578125" style="360" customWidth="1"/>
    <col min="8485" max="8485" width="46.7109375" style="360" customWidth="1"/>
    <col min="8486" max="8486" width="43.7109375" style="360" customWidth="1"/>
    <col min="8487" max="8487" width="25.42578125" style="360" customWidth="1"/>
    <col min="8488" max="8488" width="12.42578125" style="360" customWidth="1"/>
    <col min="8489" max="8489" width="16.42578125" style="360" customWidth="1"/>
    <col min="8490" max="8490" width="13.42578125" style="360" customWidth="1"/>
    <col min="8491" max="8491" width="8.5703125" style="360" customWidth="1"/>
    <col min="8492" max="8495" width="11.42578125" style="360" customWidth="1"/>
    <col min="8496" max="8496" width="12.7109375" style="360" customWidth="1"/>
    <col min="8497" max="8497" width="11.85546875" style="360" customWidth="1"/>
    <col min="8498" max="8498" width="7.85546875" style="360" customWidth="1"/>
    <col min="8499" max="8499" width="7.5703125" style="360" customWidth="1"/>
    <col min="8500" max="8500" width="8.85546875" style="360" customWidth="1"/>
    <col min="8501" max="8501" width="8.140625" style="360" customWidth="1"/>
    <col min="8502" max="8502" width="7.85546875" style="360" customWidth="1"/>
    <col min="8503" max="8503" width="8.5703125" style="360" customWidth="1"/>
    <col min="8504" max="8504" width="8.28515625" style="360" customWidth="1"/>
    <col min="8505" max="8505" width="11.42578125" style="360" customWidth="1"/>
    <col min="8506" max="8506" width="18" style="360" customWidth="1"/>
    <col min="8507" max="8507" width="21.42578125" style="360" customWidth="1"/>
    <col min="8508" max="8508" width="27.85546875" style="360" customWidth="1"/>
    <col min="8509" max="8724" width="11.42578125" style="360"/>
    <col min="8725" max="8725" width="13.5703125" style="360" customWidth="1"/>
    <col min="8726" max="8726" width="19" style="360" customWidth="1"/>
    <col min="8727" max="8727" width="13.5703125" style="360" customWidth="1"/>
    <col min="8728" max="8728" width="19.7109375" style="360" customWidth="1"/>
    <col min="8729" max="8729" width="13.5703125" style="360" customWidth="1"/>
    <col min="8730" max="8731" width="14.7109375" style="360" customWidth="1"/>
    <col min="8732" max="8732" width="36.140625" style="360" customWidth="1"/>
    <col min="8733" max="8733" width="29.42578125" style="360" customWidth="1"/>
    <col min="8734" max="8734" width="16" style="360" customWidth="1"/>
    <col min="8735" max="8735" width="38.28515625" style="360" customWidth="1"/>
    <col min="8736" max="8736" width="12" style="360" customWidth="1"/>
    <col min="8737" max="8737" width="38.140625" style="360" customWidth="1"/>
    <col min="8738" max="8738" width="17.85546875" style="360" bestFit="1" customWidth="1"/>
    <col min="8739" max="8739" width="24.7109375" style="360" customWidth="1"/>
    <col min="8740" max="8740" width="36.42578125" style="360" customWidth="1"/>
    <col min="8741" max="8741" width="46.7109375" style="360" customWidth="1"/>
    <col min="8742" max="8742" width="43.7109375" style="360" customWidth="1"/>
    <col min="8743" max="8743" width="25.42578125" style="360" customWidth="1"/>
    <col min="8744" max="8744" width="12.42578125" style="360" customWidth="1"/>
    <col min="8745" max="8745" width="16.42578125" style="360" customWidth="1"/>
    <col min="8746" max="8746" width="13.42578125" style="360" customWidth="1"/>
    <col min="8747" max="8747" width="8.5703125" style="360" customWidth="1"/>
    <col min="8748" max="8751" width="11.42578125" style="360" customWidth="1"/>
    <col min="8752" max="8752" width="12.7109375" style="360" customWidth="1"/>
    <col min="8753" max="8753" width="11.85546875" style="360" customWidth="1"/>
    <col min="8754" max="8754" width="7.85546875" style="360" customWidth="1"/>
    <col min="8755" max="8755" width="7.5703125" style="360" customWidth="1"/>
    <col min="8756" max="8756" width="8.85546875" style="360" customWidth="1"/>
    <col min="8757" max="8757" width="8.140625" style="360" customWidth="1"/>
    <col min="8758" max="8758" width="7.85546875" style="360" customWidth="1"/>
    <col min="8759" max="8759" width="8.5703125" style="360" customWidth="1"/>
    <col min="8760" max="8760" width="8.28515625" style="360" customWidth="1"/>
    <col min="8761" max="8761" width="11.42578125" style="360" customWidth="1"/>
    <col min="8762" max="8762" width="18" style="360" customWidth="1"/>
    <col min="8763" max="8763" width="21.42578125" style="360" customWidth="1"/>
    <col min="8764" max="8764" width="27.85546875" style="360" customWidth="1"/>
    <col min="8765" max="8980" width="11.42578125" style="360"/>
    <col min="8981" max="8981" width="13.5703125" style="360" customWidth="1"/>
    <col min="8982" max="8982" width="19" style="360" customWidth="1"/>
    <col min="8983" max="8983" width="13.5703125" style="360" customWidth="1"/>
    <col min="8984" max="8984" width="19.7109375" style="360" customWidth="1"/>
    <col min="8985" max="8985" width="13.5703125" style="360" customWidth="1"/>
    <col min="8986" max="8987" width="14.7109375" style="360" customWidth="1"/>
    <col min="8988" max="8988" width="36.140625" style="360" customWidth="1"/>
    <col min="8989" max="8989" width="29.42578125" style="360" customWidth="1"/>
    <col min="8990" max="8990" width="16" style="360" customWidth="1"/>
    <col min="8991" max="8991" width="38.28515625" style="360" customWidth="1"/>
    <col min="8992" max="8992" width="12" style="360" customWidth="1"/>
    <col min="8993" max="8993" width="38.140625" style="360" customWidth="1"/>
    <col min="8994" max="8994" width="17.85546875" style="360" bestFit="1" customWidth="1"/>
    <col min="8995" max="8995" width="24.7109375" style="360" customWidth="1"/>
    <col min="8996" max="8996" width="36.42578125" style="360" customWidth="1"/>
    <col min="8997" max="8997" width="46.7109375" style="360" customWidth="1"/>
    <col min="8998" max="8998" width="43.7109375" style="360" customWidth="1"/>
    <col min="8999" max="8999" width="25.42578125" style="360" customWidth="1"/>
    <col min="9000" max="9000" width="12.42578125" style="360" customWidth="1"/>
    <col min="9001" max="9001" width="16.42578125" style="360" customWidth="1"/>
    <col min="9002" max="9002" width="13.42578125" style="360" customWidth="1"/>
    <col min="9003" max="9003" width="8.5703125" style="360" customWidth="1"/>
    <col min="9004" max="9007" width="11.42578125" style="360" customWidth="1"/>
    <col min="9008" max="9008" width="12.7109375" style="360" customWidth="1"/>
    <col min="9009" max="9009" width="11.85546875" style="360" customWidth="1"/>
    <col min="9010" max="9010" width="7.85546875" style="360" customWidth="1"/>
    <col min="9011" max="9011" width="7.5703125" style="360" customWidth="1"/>
    <col min="9012" max="9012" width="8.85546875" style="360" customWidth="1"/>
    <col min="9013" max="9013" width="8.140625" style="360" customWidth="1"/>
    <col min="9014" max="9014" width="7.85546875" style="360" customWidth="1"/>
    <col min="9015" max="9015" width="8.5703125" style="360" customWidth="1"/>
    <col min="9016" max="9016" width="8.28515625" style="360" customWidth="1"/>
    <col min="9017" max="9017" width="11.42578125" style="360" customWidth="1"/>
    <col min="9018" max="9018" width="18" style="360" customWidth="1"/>
    <col min="9019" max="9019" width="21.42578125" style="360" customWidth="1"/>
    <col min="9020" max="9020" width="27.85546875" style="360" customWidth="1"/>
    <col min="9021" max="9236" width="11.42578125" style="360"/>
    <col min="9237" max="9237" width="13.5703125" style="360" customWidth="1"/>
    <col min="9238" max="9238" width="19" style="360" customWidth="1"/>
    <col min="9239" max="9239" width="13.5703125" style="360" customWidth="1"/>
    <col min="9240" max="9240" width="19.7109375" style="360" customWidth="1"/>
    <col min="9241" max="9241" width="13.5703125" style="360" customWidth="1"/>
    <col min="9242" max="9243" width="14.7109375" style="360" customWidth="1"/>
    <col min="9244" max="9244" width="36.140625" style="360" customWidth="1"/>
    <col min="9245" max="9245" width="29.42578125" style="360" customWidth="1"/>
    <col min="9246" max="9246" width="16" style="360" customWidth="1"/>
    <col min="9247" max="9247" width="38.28515625" style="360" customWidth="1"/>
    <col min="9248" max="9248" width="12" style="360" customWidth="1"/>
    <col min="9249" max="9249" width="38.140625" style="360" customWidth="1"/>
    <col min="9250" max="9250" width="17.85546875" style="360" bestFit="1" customWidth="1"/>
    <col min="9251" max="9251" width="24.7109375" style="360" customWidth="1"/>
    <col min="9252" max="9252" width="36.42578125" style="360" customWidth="1"/>
    <col min="9253" max="9253" width="46.7109375" style="360" customWidth="1"/>
    <col min="9254" max="9254" width="43.7109375" style="360" customWidth="1"/>
    <col min="9255" max="9255" width="25.42578125" style="360" customWidth="1"/>
    <col min="9256" max="9256" width="12.42578125" style="360" customWidth="1"/>
    <col min="9257" max="9257" width="16.42578125" style="360" customWidth="1"/>
    <col min="9258" max="9258" width="13.42578125" style="360" customWidth="1"/>
    <col min="9259" max="9259" width="8.5703125" style="360" customWidth="1"/>
    <col min="9260" max="9263" width="11.42578125" style="360" customWidth="1"/>
    <col min="9264" max="9264" width="12.7109375" style="360" customWidth="1"/>
    <col min="9265" max="9265" width="11.85546875" style="360" customWidth="1"/>
    <col min="9266" max="9266" width="7.85546875" style="360" customWidth="1"/>
    <col min="9267" max="9267" width="7.5703125" style="360" customWidth="1"/>
    <col min="9268" max="9268" width="8.85546875" style="360" customWidth="1"/>
    <col min="9269" max="9269" width="8.140625" style="360" customWidth="1"/>
    <col min="9270" max="9270" width="7.85546875" style="360" customWidth="1"/>
    <col min="9271" max="9271" width="8.5703125" style="360" customWidth="1"/>
    <col min="9272" max="9272" width="8.28515625" style="360" customWidth="1"/>
    <col min="9273" max="9273" width="11.42578125" style="360" customWidth="1"/>
    <col min="9274" max="9274" width="18" style="360" customWidth="1"/>
    <col min="9275" max="9275" width="21.42578125" style="360" customWidth="1"/>
    <col min="9276" max="9276" width="27.85546875" style="360" customWidth="1"/>
    <col min="9277" max="9492" width="11.42578125" style="360"/>
    <col min="9493" max="9493" width="13.5703125" style="360" customWidth="1"/>
    <col min="9494" max="9494" width="19" style="360" customWidth="1"/>
    <col min="9495" max="9495" width="13.5703125" style="360" customWidth="1"/>
    <col min="9496" max="9496" width="19.7109375" style="360" customWidth="1"/>
    <col min="9497" max="9497" width="13.5703125" style="360" customWidth="1"/>
    <col min="9498" max="9499" width="14.7109375" style="360" customWidth="1"/>
    <col min="9500" max="9500" width="36.140625" style="360" customWidth="1"/>
    <col min="9501" max="9501" width="29.42578125" style="360" customWidth="1"/>
    <col min="9502" max="9502" width="16" style="360" customWidth="1"/>
    <col min="9503" max="9503" width="38.28515625" style="360" customWidth="1"/>
    <col min="9504" max="9504" width="12" style="360" customWidth="1"/>
    <col min="9505" max="9505" width="38.140625" style="360" customWidth="1"/>
    <col min="9506" max="9506" width="17.85546875" style="360" bestFit="1" customWidth="1"/>
    <col min="9507" max="9507" width="24.7109375" style="360" customWidth="1"/>
    <col min="9508" max="9508" width="36.42578125" style="360" customWidth="1"/>
    <col min="9509" max="9509" width="46.7109375" style="360" customWidth="1"/>
    <col min="9510" max="9510" width="43.7109375" style="360" customWidth="1"/>
    <col min="9511" max="9511" width="25.42578125" style="360" customWidth="1"/>
    <col min="9512" max="9512" width="12.42578125" style="360" customWidth="1"/>
    <col min="9513" max="9513" width="16.42578125" style="360" customWidth="1"/>
    <col min="9514" max="9514" width="13.42578125" style="360" customWidth="1"/>
    <col min="9515" max="9515" width="8.5703125" style="360" customWidth="1"/>
    <col min="9516" max="9519" width="11.42578125" style="360" customWidth="1"/>
    <col min="9520" max="9520" width="12.7109375" style="360" customWidth="1"/>
    <col min="9521" max="9521" width="11.85546875" style="360" customWidth="1"/>
    <col min="9522" max="9522" width="7.85546875" style="360" customWidth="1"/>
    <col min="9523" max="9523" width="7.5703125" style="360" customWidth="1"/>
    <col min="9524" max="9524" width="8.85546875" style="360" customWidth="1"/>
    <col min="9525" max="9525" width="8.140625" style="360" customWidth="1"/>
    <col min="9526" max="9526" width="7.85546875" style="360" customWidth="1"/>
    <col min="9527" max="9527" width="8.5703125" style="360" customWidth="1"/>
    <col min="9528" max="9528" width="8.28515625" style="360" customWidth="1"/>
    <col min="9529" max="9529" width="11.42578125" style="360" customWidth="1"/>
    <col min="9530" max="9530" width="18" style="360" customWidth="1"/>
    <col min="9531" max="9531" width="21.42578125" style="360" customWidth="1"/>
    <col min="9532" max="9532" width="27.85546875" style="360" customWidth="1"/>
    <col min="9533" max="9748" width="11.42578125" style="360"/>
    <col min="9749" max="9749" width="13.5703125" style="360" customWidth="1"/>
    <col min="9750" max="9750" width="19" style="360" customWidth="1"/>
    <col min="9751" max="9751" width="13.5703125" style="360" customWidth="1"/>
    <col min="9752" max="9752" width="19.7109375" style="360" customWidth="1"/>
    <col min="9753" max="9753" width="13.5703125" style="360" customWidth="1"/>
    <col min="9754" max="9755" width="14.7109375" style="360" customWidth="1"/>
    <col min="9756" max="9756" width="36.140625" style="360" customWidth="1"/>
    <col min="9757" max="9757" width="29.42578125" style="360" customWidth="1"/>
    <col min="9758" max="9758" width="16" style="360" customWidth="1"/>
    <col min="9759" max="9759" width="38.28515625" style="360" customWidth="1"/>
    <col min="9760" max="9760" width="12" style="360" customWidth="1"/>
    <col min="9761" max="9761" width="38.140625" style="360" customWidth="1"/>
    <col min="9762" max="9762" width="17.85546875" style="360" bestFit="1" customWidth="1"/>
    <col min="9763" max="9763" width="24.7109375" style="360" customWidth="1"/>
    <col min="9764" max="9764" width="36.42578125" style="360" customWidth="1"/>
    <col min="9765" max="9765" width="46.7109375" style="360" customWidth="1"/>
    <col min="9766" max="9766" width="43.7109375" style="360" customWidth="1"/>
    <col min="9767" max="9767" width="25.42578125" style="360" customWidth="1"/>
    <col min="9768" max="9768" width="12.42578125" style="360" customWidth="1"/>
    <col min="9769" max="9769" width="16.42578125" style="360" customWidth="1"/>
    <col min="9770" max="9770" width="13.42578125" style="360" customWidth="1"/>
    <col min="9771" max="9771" width="8.5703125" style="360" customWidth="1"/>
    <col min="9772" max="9775" width="11.42578125" style="360" customWidth="1"/>
    <col min="9776" max="9776" width="12.7109375" style="360" customWidth="1"/>
    <col min="9777" max="9777" width="11.85546875" style="360" customWidth="1"/>
    <col min="9778" max="9778" width="7.85546875" style="360" customWidth="1"/>
    <col min="9779" max="9779" width="7.5703125" style="360" customWidth="1"/>
    <col min="9780" max="9780" width="8.85546875" style="360" customWidth="1"/>
    <col min="9781" max="9781" width="8.140625" style="360" customWidth="1"/>
    <col min="9782" max="9782" width="7.85546875" style="360" customWidth="1"/>
    <col min="9783" max="9783" width="8.5703125" style="360" customWidth="1"/>
    <col min="9784" max="9784" width="8.28515625" style="360" customWidth="1"/>
    <col min="9785" max="9785" width="11.42578125" style="360" customWidth="1"/>
    <col min="9786" max="9786" width="18" style="360" customWidth="1"/>
    <col min="9787" max="9787" width="21.42578125" style="360" customWidth="1"/>
    <col min="9788" max="9788" width="27.85546875" style="360" customWidth="1"/>
    <col min="9789" max="10004" width="11.42578125" style="360"/>
    <col min="10005" max="10005" width="13.5703125" style="360" customWidth="1"/>
    <col min="10006" max="10006" width="19" style="360" customWidth="1"/>
    <col min="10007" max="10007" width="13.5703125" style="360" customWidth="1"/>
    <col min="10008" max="10008" width="19.7109375" style="360" customWidth="1"/>
    <col min="10009" max="10009" width="13.5703125" style="360" customWidth="1"/>
    <col min="10010" max="10011" width="14.7109375" style="360" customWidth="1"/>
    <col min="10012" max="10012" width="36.140625" style="360" customWidth="1"/>
    <col min="10013" max="10013" width="29.42578125" style="360" customWidth="1"/>
    <col min="10014" max="10014" width="16" style="360" customWidth="1"/>
    <col min="10015" max="10015" width="38.28515625" style="360" customWidth="1"/>
    <col min="10016" max="10016" width="12" style="360" customWidth="1"/>
    <col min="10017" max="10017" width="38.140625" style="360" customWidth="1"/>
    <col min="10018" max="10018" width="17.85546875" style="360" bestFit="1" customWidth="1"/>
    <col min="10019" max="10019" width="24.7109375" style="360" customWidth="1"/>
    <col min="10020" max="10020" width="36.42578125" style="360" customWidth="1"/>
    <col min="10021" max="10021" width="46.7109375" style="360" customWidth="1"/>
    <col min="10022" max="10022" width="43.7109375" style="360" customWidth="1"/>
    <col min="10023" max="10023" width="25.42578125" style="360" customWidth="1"/>
    <col min="10024" max="10024" width="12.42578125" style="360" customWidth="1"/>
    <col min="10025" max="10025" width="16.42578125" style="360" customWidth="1"/>
    <col min="10026" max="10026" width="13.42578125" style="360" customWidth="1"/>
    <col min="10027" max="10027" width="8.5703125" style="360" customWidth="1"/>
    <col min="10028" max="10031" width="11.42578125" style="360" customWidth="1"/>
    <col min="10032" max="10032" width="12.7109375" style="360" customWidth="1"/>
    <col min="10033" max="10033" width="11.85546875" style="360" customWidth="1"/>
    <col min="10034" max="10034" width="7.85546875" style="360" customWidth="1"/>
    <col min="10035" max="10035" width="7.5703125" style="360" customWidth="1"/>
    <col min="10036" max="10036" width="8.85546875" style="360" customWidth="1"/>
    <col min="10037" max="10037" width="8.140625" style="360" customWidth="1"/>
    <col min="10038" max="10038" width="7.85546875" style="360" customWidth="1"/>
    <col min="10039" max="10039" width="8.5703125" style="360" customWidth="1"/>
    <col min="10040" max="10040" width="8.28515625" style="360" customWidth="1"/>
    <col min="10041" max="10041" width="11.42578125" style="360" customWidth="1"/>
    <col min="10042" max="10042" width="18" style="360" customWidth="1"/>
    <col min="10043" max="10043" width="21.42578125" style="360" customWidth="1"/>
    <col min="10044" max="10044" width="27.85546875" style="360" customWidth="1"/>
    <col min="10045" max="10260" width="11.42578125" style="360"/>
    <col min="10261" max="10261" width="13.5703125" style="360" customWidth="1"/>
    <col min="10262" max="10262" width="19" style="360" customWidth="1"/>
    <col min="10263" max="10263" width="13.5703125" style="360" customWidth="1"/>
    <col min="10264" max="10264" width="19.7109375" style="360" customWidth="1"/>
    <col min="10265" max="10265" width="13.5703125" style="360" customWidth="1"/>
    <col min="10266" max="10267" width="14.7109375" style="360" customWidth="1"/>
    <col min="10268" max="10268" width="36.140625" style="360" customWidth="1"/>
    <col min="10269" max="10269" width="29.42578125" style="360" customWidth="1"/>
    <col min="10270" max="10270" width="16" style="360" customWidth="1"/>
    <col min="10271" max="10271" width="38.28515625" style="360" customWidth="1"/>
    <col min="10272" max="10272" width="12" style="360" customWidth="1"/>
    <col min="10273" max="10273" width="38.140625" style="360" customWidth="1"/>
    <col min="10274" max="10274" width="17.85546875" style="360" bestFit="1" customWidth="1"/>
    <col min="10275" max="10275" width="24.7109375" style="360" customWidth="1"/>
    <col min="10276" max="10276" width="36.42578125" style="360" customWidth="1"/>
    <col min="10277" max="10277" width="46.7109375" style="360" customWidth="1"/>
    <col min="10278" max="10278" width="43.7109375" style="360" customWidth="1"/>
    <col min="10279" max="10279" width="25.42578125" style="360" customWidth="1"/>
    <col min="10280" max="10280" width="12.42578125" style="360" customWidth="1"/>
    <col min="10281" max="10281" width="16.42578125" style="360" customWidth="1"/>
    <col min="10282" max="10282" width="13.42578125" style="360" customWidth="1"/>
    <col min="10283" max="10283" width="8.5703125" style="360" customWidth="1"/>
    <col min="10284" max="10287" width="11.42578125" style="360" customWidth="1"/>
    <col min="10288" max="10288" width="12.7109375" style="360" customWidth="1"/>
    <col min="10289" max="10289" width="11.85546875" style="360" customWidth="1"/>
    <col min="10290" max="10290" width="7.85546875" style="360" customWidth="1"/>
    <col min="10291" max="10291" width="7.5703125" style="360" customWidth="1"/>
    <col min="10292" max="10292" width="8.85546875" style="360" customWidth="1"/>
    <col min="10293" max="10293" width="8.140625" style="360" customWidth="1"/>
    <col min="10294" max="10294" width="7.85546875" style="360" customWidth="1"/>
    <col min="10295" max="10295" width="8.5703125" style="360" customWidth="1"/>
    <col min="10296" max="10296" width="8.28515625" style="360" customWidth="1"/>
    <col min="10297" max="10297" width="11.42578125" style="360" customWidth="1"/>
    <col min="10298" max="10298" width="18" style="360" customWidth="1"/>
    <col min="10299" max="10299" width="21.42578125" style="360" customWidth="1"/>
    <col min="10300" max="10300" width="27.85546875" style="360" customWidth="1"/>
    <col min="10301" max="10516" width="11.42578125" style="360"/>
    <col min="10517" max="10517" width="13.5703125" style="360" customWidth="1"/>
    <col min="10518" max="10518" width="19" style="360" customWidth="1"/>
    <col min="10519" max="10519" width="13.5703125" style="360" customWidth="1"/>
    <col min="10520" max="10520" width="19.7109375" style="360" customWidth="1"/>
    <col min="10521" max="10521" width="13.5703125" style="360" customWidth="1"/>
    <col min="10522" max="10523" width="14.7109375" style="360" customWidth="1"/>
    <col min="10524" max="10524" width="36.140625" style="360" customWidth="1"/>
    <col min="10525" max="10525" width="29.42578125" style="360" customWidth="1"/>
    <col min="10526" max="10526" width="16" style="360" customWidth="1"/>
    <col min="10527" max="10527" width="38.28515625" style="360" customWidth="1"/>
    <col min="10528" max="10528" width="12" style="360" customWidth="1"/>
    <col min="10529" max="10529" width="38.140625" style="360" customWidth="1"/>
    <col min="10530" max="10530" width="17.85546875" style="360" bestFit="1" customWidth="1"/>
    <col min="10531" max="10531" width="24.7109375" style="360" customWidth="1"/>
    <col min="10532" max="10532" width="36.42578125" style="360" customWidth="1"/>
    <col min="10533" max="10533" width="46.7109375" style="360" customWidth="1"/>
    <col min="10534" max="10534" width="43.7109375" style="360" customWidth="1"/>
    <col min="10535" max="10535" width="25.42578125" style="360" customWidth="1"/>
    <col min="10536" max="10536" width="12.42578125" style="360" customWidth="1"/>
    <col min="10537" max="10537" width="16.42578125" style="360" customWidth="1"/>
    <col min="10538" max="10538" width="13.42578125" style="360" customWidth="1"/>
    <col min="10539" max="10539" width="8.5703125" style="360" customWidth="1"/>
    <col min="10540" max="10543" width="11.42578125" style="360" customWidth="1"/>
    <col min="10544" max="10544" width="12.7109375" style="360" customWidth="1"/>
    <col min="10545" max="10545" width="11.85546875" style="360" customWidth="1"/>
    <col min="10546" max="10546" width="7.85546875" style="360" customWidth="1"/>
    <col min="10547" max="10547" width="7.5703125" style="360" customWidth="1"/>
    <col min="10548" max="10548" width="8.85546875" style="360" customWidth="1"/>
    <col min="10549" max="10549" width="8.140625" style="360" customWidth="1"/>
    <col min="10550" max="10550" width="7.85546875" style="360" customWidth="1"/>
    <col min="10551" max="10551" width="8.5703125" style="360" customWidth="1"/>
    <col min="10552" max="10552" width="8.28515625" style="360" customWidth="1"/>
    <col min="10553" max="10553" width="11.42578125" style="360" customWidth="1"/>
    <col min="10554" max="10554" width="18" style="360" customWidth="1"/>
    <col min="10555" max="10555" width="21.42578125" style="360" customWidth="1"/>
    <col min="10556" max="10556" width="27.85546875" style="360" customWidth="1"/>
    <col min="10557" max="10772" width="11.42578125" style="360"/>
    <col min="10773" max="10773" width="13.5703125" style="360" customWidth="1"/>
    <col min="10774" max="10774" width="19" style="360" customWidth="1"/>
    <col min="10775" max="10775" width="13.5703125" style="360" customWidth="1"/>
    <col min="10776" max="10776" width="19.7109375" style="360" customWidth="1"/>
    <col min="10777" max="10777" width="13.5703125" style="360" customWidth="1"/>
    <col min="10778" max="10779" width="14.7109375" style="360" customWidth="1"/>
    <col min="10780" max="10780" width="36.140625" style="360" customWidth="1"/>
    <col min="10781" max="10781" width="29.42578125" style="360" customWidth="1"/>
    <col min="10782" max="10782" width="16" style="360" customWidth="1"/>
    <col min="10783" max="10783" width="38.28515625" style="360" customWidth="1"/>
    <col min="10784" max="10784" width="12" style="360" customWidth="1"/>
    <col min="10785" max="10785" width="38.140625" style="360" customWidth="1"/>
    <col min="10786" max="10786" width="17.85546875" style="360" bestFit="1" customWidth="1"/>
    <col min="10787" max="10787" width="24.7109375" style="360" customWidth="1"/>
    <col min="10788" max="10788" width="36.42578125" style="360" customWidth="1"/>
    <col min="10789" max="10789" width="46.7109375" style="360" customWidth="1"/>
    <col min="10790" max="10790" width="43.7109375" style="360" customWidth="1"/>
    <col min="10791" max="10791" width="25.42578125" style="360" customWidth="1"/>
    <col min="10792" max="10792" width="12.42578125" style="360" customWidth="1"/>
    <col min="10793" max="10793" width="16.42578125" style="360" customWidth="1"/>
    <col min="10794" max="10794" width="13.42578125" style="360" customWidth="1"/>
    <col min="10795" max="10795" width="8.5703125" style="360" customWidth="1"/>
    <col min="10796" max="10799" width="11.42578125" style="360" customWidth="1"/>
    <col min="10800" max="10800" width="12.7109375" style="360" customWidth="1"/>
    <col min="10801" max="10801" width="11.85546875" style="360" customWidth="1"/>
    <col min="10802" max="10802" width="7.85546875" style="360" customWidth="1"/>
    <col min="10803" max="10803" width="7.5703125" style="360" customWidth="1"/>
    <col min="10804" max="10804" width="8.85546875" style="360" customWidth="1"/>
    <col min="10805" max="10805" width="8.140625" style="360" customWidth="1"/>
    <col min="10806" max="10806" width="7.85546875" style="360" customWidth="1"/>
    <col min="10807" max="10807" width="8.5703125" style="360" customWidth="1"/>
    <col min="10808" max="10808" width="8.28515625" style="360" customWidth="1"/>
    <col min="10809" max="10809" width="11.42578125" style="360" customWidth="1"/>
    <col min="10810" max="10810" width="18" style="360" customWidth="1"/>
    <col min="10811" max="10811" width="21.42578125" style="360" customWidth="1"/>
    <col min="10812" max="10812" width="27.85546875" style="360" customWidth="1"/>
    <col min="10813" max="11028" width="11.42578125" style="360"/>
    <col min="11029" max="11029" width="13.5703125" style="360" customWidth="1"/>
    <col min="11030" max="11030" width="19" style="360" customWidth="1"/>
    <col min="11031" max="11031" width="13.5703125" style="360" customWidth="1"/>
    <col min="11032" max="11032" width="19.7109375" style="360" customWidth="1"/>
    <col min="11033" max="11033" width="13.5703125" style="360" customWidth="1"/>
    <col min="11034" max="11035" width="14.7109375" style="360" customWidth="1"/>
    <col min="11036" max="11036" width="36.140625" style="360" customWidth="1"/>
    <col min="11037" max="11037" width="29.42578125" style="360" customWidth="1"/>
    <col min="11038" max="11038" width="16" style="360" customWidth="1"/>
    <col min="11039" max="11039" width="38.28515625" style="360" customWidth="1"/>
    <col min="11040" max="11040" width="12" style="360" customWidth="1"/>
    <col min="11041" max="11041" width="38.140625" style="360" customWidth="1"/>
    <col min="11042" max="11042" width="17.85546875" style="360" bestFit="1" customWidth="1"/>
    <col min="11043" max="11043" width="24.7109375" style="360" customWidth="1"/>
    <col min="11044" max="11044" width="36.42578125" style="360" customWidth="1"/>
    <col min="11045" max="11045" width="46.7109375" style="360" customWidth="1"/>
    <col min="11046" max="11046" width="43.7109375" style="360" customWidth="1"/>
    <col min="11047" max="11047" width="25.42578125" style="360" customWidth="1"/>
    <col min="11048" max="11048" width="12.42578125" style="360" customWidth="1"/>
    <col min="11049" max="11049" width="16.42578125" style="360" customWidth="1"/>
    <col min="11050" max="11050" width="13.42578125" style="360" customWidth="1"/>
    <col min="11051" max="11051" width="8.5703125" style="360" customWidth="1"/>
    <col min="11052" max="11055" width="11.42578125" style="360" customWidth="1"/>
    <col min="11056" max="11056" width="12.7109375" style="360" customWidth="1"/>
    <col min="11057" max="11057" width="11.85546875" style="360" customWidth="1"/>
    <col min="11058" max="11058" width="7.85546875" style="360" customWidth="1"/>
    <col min="11059" max="11059" width="7.5703125" style="360" customWidth="1"/>
    <col min="11060" max="11060" width="8.85546875" style="360" customWidth="1"/>
    <col min="11061" max="11061" width="8.140625" style="360" customWidth="1"/>
    <col min="11062" max="11062" width="7.85546875" style="360" customWidth="1"/>
    <col min="11063" max="11063" width="8.5703125" style="360" customWidth="1"/>
    <col min="11064" max="11064" width="8.28515625" style="360" customWidth="1"/>
    <col min="11065" max="11065" width="11.42578125" style="360" customWidth="1"/>
    <col min="11066" max="11066" width="18" style="360" customWidth="1"/>
    <col min="11067" max="11067" width="21.42578125" style="360" customWidth="1"/>
    <col min="11068" max="11068" width="27.85546875" style="360" customWidth="1"/>
    <col min="11069" max="11284" width="11.42578125" style="360"/>
    <col min="11285" max="11285" width="13.5703125" style="360" customWidth="1"/>
    <col min="11286" max="11286" width="19" style="360" customWidth="1"/>
    <col min="11287" max="11287" width="13.5703125" style="360" customWidth="1"/>
    <col min="11288" max="11288" width="19.7109375" style="360" customWidth="1"/>
    <col min="11289" max="11289" width="13.5703125" style="360" customWidth="1"/>
    <col min="11290" max="11291" width="14.7109375" style="360" customWidth="1"/>
    <col min="11292" max="11292" width="36.140625" style="360" customWidth="1"/>
    <col min="11293" max="11293" width="29.42578125" style="360" customWidth="1"/>
    <col min="11294" max="11294" width="16" style="360" customWidth="1"/>
    <col min="11295" max="11295" width="38.28515625" style="360" customWidth="1"/>
    <col min="11296" max="11296" width="12" style="360" customWidth="1"/>
    <col min="11297" max="11297" width="38.140625" style="360" customWidth="1"/>
    <col min="11298" max="11298" width="17.85546875" style="360" bestFit="1" customWidth="1"/>
    <col min="11299" max="11299" width="24.7109375" style="360" customWidth="1"/>
    <col min="11300" max="11300" width="36.42578125" style="360" customWidth="1"/>
    <col min="11301" max="11301" width="46.7109375" style="360" customWidth="1"/>
    <col min="11302" max="11302" width="43.7109375" style="360" customWidth="1"/>
    <col min="11303" max="11303" width="25.42578125" style="360" customWidth="1"/>
    <col min="11304" max="11304" width="12.42578125" style="360" customWidth="1"/>
    <col min="11305" max="11305" width="16.42578125" style="360" customWidth="1"/>
    <col min="11306" max="11306" width="13.42578125" style="360" customWidth="1"/>
    <col min="11307" max="11307" width="8.5703125" style="360" customWidth="1"/>
    <col min="11308" max="11311" width="11.42578125" style="360" customWidth="1"/>
    <col min="11312" max="11312" width="12.7109375" style="360" customWidth="1"/>
    <col min="11313" max="11313" width="11.85546875" style="360" customWidth="1"/>
    <col min="11314" max="11314" width="7.85546875" style="360" customWidth="1"/>
    <col min="11315" max="11315" width="7.5703125" style="360" customWidth="1"/>
    <col min="11316" max="11316" width="8.85546875" style="360" customWidth="1"/>
    <col min="11317" max="11317" width="8.140625" style="360" customWidth="1"/>
    <col min="11318" max="11318" width="7.85546875" style="360" customWidth="1"/>
    <col min="11319" max="11319" width="8.5703125" style="360" customWidth="1"/>
    <col min="11320" max="11320" width="8.28515625" style="360" customWidth="1"/>
    <col min="11321" max="11321" width="11.42578125" style="360" customWidth="1"/>
    <col min="11322" max="11322" width="18" style="360" customWidth="1"/>
    <col min="11323" max="11323" width="21.42578125" style="360" customWidth="1"/>
    <col min="11324" max="11324" width="27.85546875" style="360" customWidth="1"/>
    <col min="11325" max="11540" width="11.42578125" style="360"/>
    <col min="11541" max="11541" width="13.5703125" style="360" customWidth="1"/>
    <col min="11542" max="11542" width="19" style="360" customWidth="1"/>
    <col min="11543" max="11543" width="13.5703125" style="360" customWidth="1"/>
    <col min="11544" max="11544" width="19.7109375" style="360" customWidth="1"/>
    <col min="11545" max="11545" width="13.5703125" style="360" customWidth="1"/>
    <col min="11546" max="11547" width="14.7109375" style="360" customWidth="1"/>
    <col min="11548" max="11548" width="36.140625" style="360" customWidth="1"/>
    <col min="11549" max="11549" width="29.42578125" style="360" customWidth="1"/>
    <col min="11550" max="11550" width="16" style="360" customWidth="1"/>
    <col min="11551" max="11551" width="38.28515625" style="360" customWidth="1"/>
    <col min="11552" max="11552" width="12" style="360" customWidth="1"/>
    <col min="11553" max="11553" width="38.140625" style="360" customWidth="1"/>
    <col min="11554" max="11554" width="17.85546875" style="360" bestFit="1" customWidth="1"/>
    <col min="11555" max="11555" width="24.7109375" style="360" customWidth="1"/>
    <col min="11556" max="11556" width="36.42578125" style="360" customWidth="1"/>
    <col min="11557" max="11557" width="46.7109375" style="360" customWidth="1"/>
    <col min="11558" max="11558" width="43.7109375" style="360" customWidth="1"/>
    <col min="11559" max="11559" width="25.42578125" style="360" customWidth="1"/>
    <col min="11560" max="11560" width="12.42578125" style="360" customWidth="1"/>
    <col min="11561" max="11561" width="16.42578125" style="360" customWidth="1"/>
    <col min="11562" max="11562" width="13.42578125" style="360" customWidth="1"/>
    <col min="11563" max="11563" width="8.5703125" style="360" customWidth="1"/>
    <col min="11564" max="11567" width="11.42578125" style="360" customWidth="1"/>
    <col min="11568" max="11568" width="12.7109375" style="360" customWidth="1"/>
    <col min="11569" max="11569" width="11.85546875" style="360" customWidth="1"/>
    <col min="11570" max="11570" width="7.85546875" style="360" customWidth="1"/>
    <col min="11571" max="11571" width="7.5703125" style="360" customWidth="1"/>
    <col min="11572" max="11572" width="8.85546875" style="360" customWidth="1"/>
    <col min="11573" max="11573" width="8.140625" style="360" customWidth="1"/>
    <col min="11574" max="11574" width="7.85546875" style="360" customWidth="1"/>
    <col min="11575" max="11575" width="8.5703125" style="360" customWidth="1"/>
    <col min="11576" max="11576" width="8.28515625" style="360" customWidth="1"/>
    <col min="11577" max="11577" width="11.42578125" style="360" customWidth="1"/>
    <col min="11578" max="11578" width="18" style="360" customWidth="1"/>
    <col min="11579" max="11579" width="21.42578125" style="360" customWidth="1"/>
    <col min="11580" max="11580" width="27.85546875" style="360" customWidth="1"/>
    <col min="11581" max="11796" width="11.42578125" style="360"/>
    <col min="11797" max="11797" width="13.5703125" style="360" customWidth="1"/>
    <col min="11798" max="11798" width="19" style="360" customWidth="1"/>
    <col min="11799" max="11799" width="13.5703125" style="360" customWidth="1"/>
    <col min="11800" max="11800" width="19.7109375" style="360" customWidth="1"/>
    <col min="11801" max="11801" width="13.5703125" style="360" customWidth="1"/>
    <col min="11802" max="11803" width="14.7109375" style="360" customWidth="1"/>
    <col min="11804" max="11804" width="36.140625" style="360" customWidth="1"/>
    <col min="11805" max="11805" width="29.42578125" style="360" customWidth="1"/>
    <col min="11806" max="11806" width="16" style="360" customWidth="1"/>
    <col min="11807" max="11807" width="38.28515625" style="360" customWidth="1"/>
    <col min="11808" max="11808" width="12" style="360" customWidth="1"/>
    <col min="11809" max="11809" width="38.140625" style="360" customWidth="1"/>
    <col min="11810" max="11810" width="17.85546875" style="360" bestFit="1" customWidth="1"/>
    <col min="11811" max="11811" width="24.7109375" style="360" customWidth="1"/>
    <col min="11812" max="11812" width="36.42578125" style="360" customWidth="1"/>
    <col min="11813" max="11813" width="46.7109375" style="360" customWidth="1"/>
    <col min="11814" max="11814" width="43.7109375" style="360" customWidth="1"/>
    <col min="11815" max="11815" width="25.42578125" style="360" customWidth="1"/>
    <col min="11816" max="11816" width="12.42578125" style="360" customWidth="1"/>
    <col min="11817" max="11817" width="16.42578125" style="360" customWidth="1"/>
    <col min="11818" max="11818" width="13.42578125" style="360" customWidth="1"/>
    <col min="11819" max="11819" width="8.5703125" style="360" customWidth="1"/>
    <col min="11820" max="11823" width="11.42578125" style="360" customWidth="1"/>
    <col min="11824" max="11824" width="12.7109375" style="360" customWidth="1"/>
    <col min="11825" max="11825" width="11.85546875" style="360" customWidth="1"/>
    <col min="11826" max="11826" width="7.85546875" style="360" customWidth="1"/>
    <col min="11827" max="11827" width="7.5703125" style="360" customWidth="1"/>
    <col min="11828" max="11828" width="8.85546875" style="360" customWidth="1"/>
    <col min="11829" max="11829" width="8.140625" style="360" customWidth="1"/>
    <col min="11830" max="11830" width="7.85546875" style="360" customWidth="1"/>
    <col min="11831" max="11831" width="8.5703125" style="360" customWidth="1"/>
    <col min="11832" max="11832" width="8.28515625" style="360" customWidth="1"/>
    <col min="11833" max="11833" width="11.42578125" style="360" customWidth="1"/>
    <col min="11834" max="11834" width="18" style="360" customWidth="1"/>
    <col min="11835" max="11835" width="21.42578125" style="360" customWidth="1"/>
    <col min="11836" max="11836" width="27.85546875" style="360" customWidth="1"/>
    <col min="11837" max="12052" width="11.42578125" style="360"/>
    <col min="12053" max="12053" width="13.5703125" style="360" customWidth="1"/>
    <col min="12054" max="12054" width="19" style="360" customWidth="1"/>
    <col min="12055" max="12055" width="13.5703125" style="360" customWidth="1"/>
    <col min="12056" max="12056" width="19.7109375" style="360" customWidth="1"/>
    <col min="12057" max="12057" width="13.5703125" style="360" customWidth="1"/>
    <col min="12058" max="12059" width="14.7109375" style="360" customWidth="1"/>
    <col min="12060" max="12060" width="36.140625" style="360" customWidth="1"/>
    <col min="12061" max="12061" width="29.42578125" style="360" customWidth="1"/>
    <col min="12062" max="12062" width="16" style="360" customWidth="1"/>
    <col min="12063" max="12063" width="38.28515625" style="360" customWidth="1"/>
    <col min="12064" max="12064" width="12" style="360" customWidth="1"/>
    <col min="12065" max="12065" width="38.140625" style="360" customWidth="1"/>
    <col min="12066" max="12066" width="17.85546875" style="360" bestFit="1" customWidth="1"/>
    <col min="12067" max="12067" width="24.7109375" style="360" customWidth="1"/>
    <col min="12068" max="12068" width="36.42578125" style="360" customWidth="1"/>
    <col min="12069" max="12069" width="46.7109375" style="360" customWidth="1"/>
    <col min="12070" max="12070" width="43.7109375" style="360" customWidth="1"/>
    <col min="12071" max="12071" width="25.42578125" style="360" customWidth="1"/>
    <col min="12072" max="12072" width="12.42578125" style="360" customWidth="1"/>
    <col min="12073" max="12073" width="16.42578125" style="360" customWidth="1"/>
    <col min="12074" max="12074" width="13.42578125" style="360" customWidth="1"/>
    <col min="12075" max="12075" width="8.5703125" style="360" customWidth="1"/>
    <col min="12076" max="12079" width="11.42578125" style="360" customWidth="1"/>
    <col min="12080" max="12080" width="12.7109375" style="360" customWidth="1"/>
    <col min="12081" max="12081" width="11.85546875" style="360" customWidth="1"/>
    <col min="12082" max="12082" width="7.85546875" style="360" customWidth="1"/>
    <col min="12083" max="12083" width="7.5703125" style="360" customWidth="1"/>
    <col min="12084" max="12084" width="8.85546875" style="360" customWidth="1"/>
    <col min="12085" max="12085" width="8.140625" style="360" customWidth="1"/>
    <col min="12086" max="12086" width="7.85546875" style="360" customWidth="1"/>
    <col min="12087" max="12087" width="8.5703125" style="360" customWidth="1"/>
    <col min="12088" max="12088" width="8.28515625" style="360" customWidth="1"/>
    <col min="12089" max="12089" width="11.42578125" style="360" customWidth="1"/>
    <col min="12090" max="12090" width="18" style="360" customWidth="1"/>
    <col min="12091" max="12091" width="21.42578125" style="360" customWidth="1"/>
    <col min="12092" max="12092" width="27.85546875" style="360" customWidth="1"/>
    <col min="12093" max="12308" width="11.42578125" style="360"/>
    <col min="12309" max="12309" width="13.5703125" style="360" customWidth="1"/>
    <col min="12310" max="12310" width="19" style="360" customWidth="1"/>
    <col min="12311" max="12311" width="13.5703125" style="360" customWidth="1"/>
    <col min="12312" max="12312" width="19.7109375" style="360" customWidth="1"/>
    <col min="12313" max="12313" width="13.5703125" style="360" customWidth="1"/>
    <col min="12314" max="12315" width="14.7109375" style="360" customWidth="1"/>
    <col min="12316" max="12316" width="36.140625" style="360" customWidth="1"/>
    <col min="12317" max="12317" width="29.42578125" style="360" customWidth="1"/>
    <col min="12318" max="12318" width="16" style="360" customWidth="1"/>
    <col min="12319" max="12319" width="38.28515625" style="360" customWidth="1"/>
    <col min="12320" max="12320" width="12" style="360" customWidth="1"/>
    <col min="12321" max="12321" width="38.140625" style="360" customWidth="1"/>
    <col min="12322" max="12322" width="17.85546875" style="360" bestFit="1" customWidth="1"/>
    <col min="12323" max="12323" width="24.7109375" style="360" customWidth="1"/>
    <col min="12324" max="12324" width="36.42578125" style="360" customWidth="1"/>
    <col min="12325" max="12325" width="46.7109375" style="360" customWidth="1"/>
    <col min="12326" max="12326" width="43.7109375" style="360" customWidth="1"/>
    <col min="12327" max="12327" width="25.42578125" style="360" customWidth="1"/>
    <col min="12328" max="12328" width="12.42578125" style="360" customWidth="1"/>
    <col min="12329" max="12329" width="16.42578125" style="360" customWidth="1"/>
    <col min="12330" max="12330" width="13.42578125" style="360" customWidth="1"/>
    <col min="12331" max="12331" width="8.5703125" style="360" customWidth="1"/>
    <col min="12332" max="12335" width="11.42578125" style="360" customWidth="1"/>
    <col min="12336" max="12336" width="12.7109375" style="360" customWidth="1"/>
    <col min="12337" max="12337" width="11.85546875" style="360" customWidth="1"/>
    <col min="12338" max="12338" width="7.85546875" style="360" customWidth="1"/>
    <col min="12339" max="12339" width="7.5703125" style="360" customWidth="1"/>
    <col min="12340" max="12340" width="8.85546875" style="360" customWidth="1"/>
    <col min="12341" max="12341" width="8.140625" style="360" customWidth="1"/>
    <col min="12342" max="12342" width="7.85546875" style="360" customWidth="1"/>
    <col min="12343" max="12343" width="8.5703125" style="360" customWidth="1"/>
    <col min="12344" max="12344" width="8.28515625" style="360" customWidth="1"/>
    <col min="12345" max="12345" width="11.42578125" style="360" customWidth="1"/>
    <col min="12346" max="12346" width="18" style="360" customWidth="1"/>
    <col min="12347" max="12347" width="21.42578125" style="360" customWidth="1"/>
    <col min="12348" max="12348" width="27.85546875" style="360" customWidth="1"/>
    <col min="12349" max="12564" width="11.42578125" style="360"/>
    <col min="12565" max="12565" width="13.5703125" style="360" customWidth="1"/>
    <col min="12566" max="12566" width="19" style="360" customWidth="1"/>
    <col min="12567" max="12567" width="13.5703125" style="360" customWidth="1"/>
    <col min="12568" max="12568" width="19.7109375" style="360" customWidth="1"/>
    <col min="12569" max="12569" width="13.5703125" style="360" customWidth="1"/>
    <col min="12570" max="12571" width="14.7109375" style="360" customWidth="1"/>
    <col min="12572" max="12572" width="36.140625" style="360" customWidth="1"/>
    <col min="12573" max="12573" width="29.42578125" style="360" customWidth="1"/>
    <col min="12574" max="12574" width="16" style="360" customWidth="1"/>
    <col min="12575" max="12575" width="38.28515625" style="360" customWidth="1"/>
    <col min="12576" max="12576" width="12" style="360" customWidth="1"/>
    <col min="12577" max="12577" width="38.140625" style="360" customWidth="1"/>
    <col min="12578" max="12578" width="17.85546875" style="360" bestFit="1" customWidth="1"/>
    <col min="12579" max="12579" width="24.7109375" style="360" customWidth="1"/>
    <col min="12580" max="12580" width="36.42578125" style="360" customWidth="1"/>
    <col min="12581" max="12581" width="46.7109375" style="360" customWidth="1"/>
    <col min="12582" max="12582" width="43.7109375" style="360" customWidth="1"/>
    <col min="12583" max="12583" width="25.42578125" style="360" customWidth="1"/>
    <col min="12584" max="12584" width="12.42578125" style="360" customWidth="1"/>
    <col min="12585" max="12585" width="16.42578125" style="360" customWidth="1"/>
    <col min="12586" max="12586" width="13.42578125" style="360" customWidth="1"/>
    <col min="12587" max="12587" width="8.5703125" style="360" customWidth="1"/>
    <col min="12588" max="12591" width="11.42578125" style="360" customWidth="1"/>
    <col min="12592" max="12592" width="12.7109375" style="360" customWidth="1"/>
    <col min="12593" max="12593" width="11.85546875" style="360" customWidth="1"/>
    <col min="12594" max="12594" width="7.85546875" style="360" customWidth="1"/>
    <col min="12595" max="12595" width="7.5703125" style="360" customWidth="1"/>
    <col min="12596" max="12596" width="8.85546875" style="360" customWidth="1"/>
    <col min="12597" max="12597" width="8.140625" style="360" customWidth="1"/>
    <col min="12598" max="12598" width="7.85546875" style="360" customWidth="1"/>
    <col min="12599" max="12599" width="8.5703125" style="360" customWidth="1"/>
    <col min="12600" max="12600" width="8.28515625" style="360" customWidth="1"/>
    <col min="12601" max="12601" width="11.42578125" style="360" customWidth="1"/>
    <col min="12602" max="12602" width="18" style="360" customWidth="1"/>
    <col min="12603" max="12603" width="21.42578125" style="360" customWidth="1"/>
    <col min="12604" max="12604" width="27.85546875" style="360" customWidth="1"/>
    <col min="12605" max="12820" width="11.42578125" style="360"/>
    <col min="12821" max="12821" width="13.5703125" style="360" customWidth="1"/>
    <col min="12822" max="12822" width="19" style="360" customWidth="1"/>
    <col min="12823" max="12823" width="13.5703125" style="360" customWidth="1"/>
    <col min="12824" max="12824" width="19.7109375" style="360" customWidth="1"/>
    <col min="12825" max="12825" width="13.5703125" style="360" customWidth="1"/>
    <col min="12826" max="12827" width="14.7109375" style="360" customWidth="1"/>
    <col min="12828" max="12828" width="36.140625" style="360" customWidth="1"/>
    <col min="12829" max="12829" width="29.42578125" style="360" customWidth="1"/>
    <col min="12830" max="12830" width="16" style="360" customWidth="1"/>
    <col min="12831" max="12831" width="38.28515625" style="360" customWidth="1"/>
    <col min="12832" max="12832" width="12" style="360" customWidth="1"/>
    <col min="12833" max="12833" width="38.140625" style="360" customWidth="1"/>
    <col min="12834" max="12834" width="17.85546875" style="360" bestFit="1" customWidth="1"/>
    <col min="12835" max="12835" width="24.7109375" style="360" customWidth="1"/>
    <col min="12836" max="12836" width="36.42578125" style="360" customWidth="1"/>
    <col min="12837" max="12837" width="46.7109375" style="360" customWidth="1"/>
    <col min="12838" max="12838" width="43.7109375" style="360" customWidth="1"/>
    <col min="12839" max="12839" width="25.42578125" style="360" customWidth="1"/>
    <col min="12840" max="12840" width="12.42578125" style="360" customWidth="1"/>
    <col min="12841" max="12841" width="16.42578125" style="360" customWidth="1"/>
    <col min="12842" max="12842" width="13.42578125" style="360" customWidth="1"/>
    <col min="12843" max="12843" width="8.5703125" style="360" customWidth="1"/>
    <col min="12844" max="12847" width="11.42578125" style="360" customWidth="1"/>
    <col min="12848" max="12848" width="12.7109375" style="360" customWidth="1"/>
    <col min="12849" max="12849" width="11.85546875" style="360" customWidth="1"/>
    <col min="12850" max="12850" width="7.85546875" style="360" customWidth="1"/>
    <col min="12851" max="12851" width="7.5703125" style="360" customWidth="1"/>
    <col min="12852" max="12852" width="8.85546875" style="360" customWidth="1"/>
    <col min="12853" max="12853" width="8.140625" style="360" customWidth="1"/>
    <col min="12854" max="12854" width="7.85546875" style="360" customWidth="1"/>
    <col min="12855" max="12855" width="8.5703125" style="360" customWidth="1"/>
    <col min="12856" max="12856" width="8.28515625" style="360" customWidth="1"/>
    <col min="12857" max="12857" width="11.42578125" style="360" customWidth="1"/>
    <col min="12858" max="12858" width="18" style="360" customWidth="1"/>
    <col min="12859" max="12859" width="21.42578125" style="360" customWidth="1"/>
    <col min="12860" max="12860" width="27.85546875" style="360" customWidth="1"/>
    <col min="12861" max="13076" width="11.42578125" style="360"/>
    <col min="13077" max="13077" width="13.5703125" style="360" customWidth="1"/>
    <col min="13078" max="13078" width="19" style="360" customWidth="1"/>
    <col min="13079" max="13079" width="13.5703125" style="360" customWidth="1"/>
    <col min="13080" max="13080" width="19.7109375" style="360" customWidth="1"/>
    <col min="13081" max="13081" width="13.5703125" style="360" customWidth="1"/>
    <col min="13082" max="13083" width="14.7109375" style="360" customWidth="1"/>
    <col min="13084" max="13084" width="36.140625" style="360" customWidth="1"/>
    <col min="13085" max="13085" width="29.42578125" style="360" customWidth="1"/>
    <col min="13086" max="13086" width="16" style="360" customWidth="1"/>
    <col min="13087" max="13087" width="38.28515625" style="360" customWidth="1"/>
    <col min="13088" max="13088" width="12" style="360" customWidth="1"/>
    <col min="13089" max="13089" width="38.140625" style="360" customWidth="1"/>
    <col min="13090" max="13090" width="17.85546875" style="360" bestFit="1" customWidth="1"/>
    <col min="13091" max="13091" width="24.7109375" style="360" customWidth="1"/>
    <col min="13092" max="13092" width="36.42578125" style="360" customWidth="1"/>
    <col min="13093" max="13093" width="46.7109375" style="360" customWidth="1"/>
    <col min="13094" max="13094" width="43.7109375" style="360" customWidth="1"/>
    <col min="13095" max="13095" width="25.42578125" style="360" customWidth="1"/>
    <col min="13096" max="13096" width="12.42578125" style="360" customWidth="1"/>
    <col min="13097" max="13097" width="16.42578125" style="360" customWidth="1"/>
    <col min="13098" max="13098" width="13.42578125" style="360" customWidth="1"/>
    <col min="13099" max="13099" width="8.5703125" style="360" customWidth="1"/>
    <col min="13100" max="13103" width="11.42578125" style="360" customWidth="1"/>
    <col min="13104" max="13104" width="12.7109375" style="360" customWidth="1"/>
    <col min="13105" max="13105" width="11.85546875" style="360" customWidth="1"/>
    <col min="13106" max="13106" width="7.85546875" style="360" customWidth="1"/>
    <col min="13107" max="13107" width="7.5703125" style="360" customWidth="1"/>
    <col min="13108" max="13108" width="8.85546875" style="360" customWidth="1"/>
    <col min="13109" max="13109" width="8.140625" style="360" customWidth="1"/>
    <col min="13110" max="13110" width="7.85546875" style="360" customWidth="1"/>
    <col min="13111" max="13111" width="8.5703125" style="360" customWidth="1"/>
    <col min="13112" max="13112" width="8.28515625" style="360" customWidth="1"/>
    <col min="13113" max="13113" width="11.42578125" style="360" customWidth="1"/>
    <col min="13114" max="13114" width="18" style="360" customWidth="1"/>
    <col min="13115" max="13115" width="21.42578125" style="360" customWidth="1"/>
    <col min="13116" max="13116" width="27.85546875" style="360" customWidth="1"/>
    <col min="13117" max="13332" width="11.42578125" style="360"/>
    <col min="13333" max="13333" width="13.5703125" style="360" customWidth="1"/>
    <col min="13334" max="13334" width="19" style="360" customWidth="1"/>
    <col min="13335" max="13335" width="13.5703125" style="360" customWidth="1"/>
    <col min="13336" max="13336" width="19.7109375" style="360" customWidth="1"/>
    <col min="13337" max="13337" width="13.5703125" style="360" customWidth="1"/>
    <col min="13338" max="13339" width="14.7109375" style="360" customWidth="1"/>
    <col min="13340" max="13340" width="36.140625" style="360" customWidth="1"/>
    <col min="13341" max="13341" width="29.42578125" style="360" customWidth="1"/>
    <col min="13342" max="13342" width="16" style="360" customWidth="1"/>
    <col min="13343" max="13343" width="38.28515625" style="360" customWidth="1"/>
    <col min="13344" max="13344" width="12" style="360" customWidth="1"/>
    <col min="13345" max="13345" width="38.140625" style="360" customWidth="1"/>
    <col min="13346" max="13346" width="17.85546875" style="360" bestFit="1" customWidth="1"/>
    <col min="13347" max="13347" width="24.7109375" style="360" customWidth="1"/>
    <col min="13348" max="13348" width="36.42578125" style="360" customWidth="1"/>
    <col min="13349" max="13349" width="46.7109375" style="360" customWidth="1"/>
    <col min="13350" max="13350" width="43.7109375" style="360" customWidth="1"/>
    <col min="13351" max="13351" width="25.42578125" style="360" customWidth="1"/>
    <col min="13352" max="13352" width="12.42578125" style="360" customWidth="1"/>
    <col min="13353" max="13353" width="16.42578125" style="360" customWidth="1"/>
    <col min="13354" max="13354" width="13.42578125" style="360" customWidth="1"/>
    <col min="13355" max="13355" width="8.5703125" style="360" customWidth="1"/>
    <col min="13356" max="13359" width="11.42578125" style="360" customWidth="1"/>
    <col min="13360" max="13360" width="12.7109375" style="360" customWidth="1"/>
    <col min="13361" max="13361" width="11.85546875" style="360" customWidth="1"/>
    <col min="13362" max="13362" width="7.85546875" style="360" customWidth="1"/>
    <col min="13363" max="13363" width="7.5703125" style="360" customWidth="1"/>
    <col min="13364" max="13364" width="8.85546875" style="360" customWidth="1"/>
    <col min="13365" max="13365" width="8.140625" style="360" customWidth="1"/>
    <col min="13366" max="13366" width="7.85546875" style="360" customWidth="1"/>
    <col min="13367" max="13367" width="8.5703125" style="360" customWidth="1"/>
    <col min="13368" max="13368" width="8.28515625" style="360" customWidth="1"/>
    <col min="13369" max="13369" width="11.42578125" style="360" customWidth="1"/>
    <col min="13370" max="13370" width="18" style="360" customWidth="1"/>
    <col min="13371" max="13371" width="21.42578125" style="360" customWidth="1"/>
    <col min="13372" max="13372" width="27.85546875" style="360" customWidth="1"/>
    <col min="13373" max="13588" width="11.42578125" style="360"/>
    <col min="13589" max="13589" width="13.5703125" style="360" customWidth="1"/>
    <col min="13590" max="13590" width="19" style="360" customWidth="1"/>
    <col min="13591" max="13591" width="13.5703125" style="360" customWidth="1"/>
    <col min="13592" max="13592" width="19.7109375" style="360" customWidth="1"/>
    <col min="13593" max="13593" width="13.5703125" style="360" customWidth="1"/>
    <col min="13594" max="13595" width="14.7109375" style="360" customWidth="1"/>
    <col min="13596" max="13596" width="36.140625" style="360" customWidth="1"/>
    <col min="13597" max="13597" width="29.42578125" style="360" customWidth="1"/>
    <col min="13598" max="13598" width="16" style="360" customWidth="1"/>
    <col min="13599" max="13599" width="38.28515625" style="360" customWidth="1"/>
    <col min="13600" max="13600" width="12" style="360" customWidth="1"/>
    <col min="13601" max="13601" width="38.140625" style="360" customWidth="1"/>
    <col min="13602" max="13602" width="17.85546875" style="360" bestFit="1" customWidth="1"/>
    <col min="13603" max="13603" width="24.7109375" style="360" customWidth="1"/>
    <col min="13604" max="13604" width="36.42578125" style="360" customWidth="1"/>
    <col min="13605" max="13605" width="46.7109375" style="360" customWidth="1"/>
    <col min="13606" max="13606" width="43.7109375" style="360" customWidth="1"/>
    <col min="13607" max="13607" width="25.42578125" style="360" customWidth="1"/>
    <col min="13608" max="13608" width="12.42578125" style="360" customWidth="1"/>
    <col min="13609" max="13609" width="16.42578125" style="360" customWidth="1"/>
    <col min="13610" max="13610" width="13.42578125" style="360" customWidth="1"/>
    <col min="13611" max="13611" width="8.5703125" style="360" customWidth="1"/>
    <col min="13612" max="13615" width="11.42578125" style="360" customWidth="1"/>
    <col min="13616" max="13616" width="12.7109375" style="360" customWidth="1"/>
    <col min="13617" max="13617" width="11.85546875" style="360" customWidth="1"/>
    <col min="13618" max="13618" width="7.85546875" style="360" customWidth="1"/>
    <col min="13619" max="13619" width="7.5703125" style="360" customWidth="1"/>
    <col min="13620" max="13620" width="8.85546875" style="360" customWidth="1"/>
    <col min="13621" max="13621" width="8.140625" style="360" customWidth="1"/>
    <col min="13622" max="13622" width="7.85546875" style="360" customWidth="1"/>
    <col min="13623" max="13623" width="8.5703125" style="360" customWidth="1"/>
    <col min="13624" max="13624" width="8.28515625" style="360" customWidth="1"/>
    <col min="13625" max="13625" width="11.42578125" style="360" customWidth="1"/>
    <col min="13626" max="13626" width="18" style="360" customWidth="1"/>
    <col min="13627" max="13627" width="21.42578125" style="360" customWidth="1"/>
    <col min="13628" max="13628" width="27.85546875" style="360" customWidth="1"/>
    <col min="13629" max="13844" width="11.42578125" style="360"/>
    <col min="13845" max="13845" width="13.5703125" style="360" customWidth="1"/>
    <col min="13846" max="13846" width="19" style="360" customWidth="1"/>
    <col min="13847" max="13847" width="13.5703125" style="360" customWidth="1"/>
    <col min="13848" max="13848" width="19.7109375" style="360" customWidth="1"/>
    <col min="13849" max="13849" width="13.5703125" style="360" customWidth="1"/>
    <col min="13850" max="13851" width="14.7109375" style="360" customWidth="1"/>
    <col min="13852" max="13852" width="36.140625" style="360" customWidth="1"/>
    <col min="13853" max="13853" width="29.42578125" style="360" customWidth="1"/>
    <col min="13854" max="13854" width="16" style="360" customWidth="1"/>
    <col min="13855" max="13855" width="38.28515625" style="360" customWidth="1"/>
    <col min="13856" max="13856" width="12" style="360" customWidth="1"/>
    <col min="13857" max="13857" width="38.140625" style="360" customWidth="1"/>
    <col min="13858" max="13858" width="17.85546875" style="360" bestFit="1" customWidth="1"/>
    <col min="13859" max="13859" width="24.7109375" style="360" customWidth="1"/>
    <col min="13860" max="13860" width="36.42578125" style="360" customWidth="1"/>
    <col min="13861" max="13861" width="46.7109375" style="360" customWidth="1"/>
    <col min="13862" max="13862" width="43.7109375" style="360" customWidth="1"/>
    <col min="13863" max="13863" width="25.42578125" style="360" customWidth="1"/>
    <col min="13864" max="13864" width="12.42578125" style="360" customWidth="1"/>
    <col min="13865" max="13865" width="16.42578125" style="360" customWidth="1"/>
    <col min="13866" max="13866" width="13.42578125" style="360" customWidth="1"/>
    <col min="13867" max="13867" width="8.5703125" style="360" customWidth="1"/>
    <col min="13868" max="13871" width="11.42578125" style="360" customWidth="1"/>
    <col min="13872" max="13872" width="12.7109375" style="360" customWidth="1"/>
    <col min="13873" max="13873" width="11.85546875" style="360" customWidth="1"/>
    <col min="13874" max="13874" width="7.85546875" style="360" customWidth="1"/>
    <col min="13875" max="13875" width="7.5703125" style="360" customWidth="1"/>
    <col min="13876" max="13876" width="8.85546875" style="360" customWidth="1"/>
    <col min="13877" max="13877" width="8.140625" style="360" customWidth="1"/>
    <col min="13878" max="13878" width="7.85546875" style="360" customWidth="1"/>
    <col min="13879" max="13879" width="8.5703125" style="360" customWidth="1"/>
    <col min="13880" max="13880" width="8.28515625" style="360" customWidth="1"/>
    <col min="13881" max="13881" width="11.42578125" style="360" customWidth="1"/>
    <col min="13882" max="13882" width="18" style="360" customWidth="1"/>
    <col min="13883" max="13883" width="21.42578125" style="360" customWidth="1"/>
    <col min="13884" max="13884" width="27.85546875" style="360" customWidth="1"/>
    <col min="13885" max="14100" width="11.42578125" style="360"/>
    <col min="14101" max="14101" width="13.5703125" style="360" customWidth="1"/>
    <col min="14102" max="14102" width="19" style="360" customWidth="1"/>
    <col min="14103" max="14103" width="13.5703125" style="360" customWidth="1"/>
    <col min="14104" max="14104" width="19.7109375" style="360" customWidth="1"/>
    <col min="14105" max="14105" width="13.5703125" style="360" customWidth="1"/>
    <col min="14106" max="14107" width="14.7109375" style="360" customWidth="1"/>
    <col min="14108" max="14108" width="36.140625" style="360" customWidth="1"/>
    <col min="14109" max="14109" width="29.42578125" style="360" customWidth="1"/>
    <col min="14110" max="14110" width="16" style="360" customWidth="1"/>
    <col min="14111" max="14111" width="38.28515625" style="360" customWidth="1"/>
    <col min="14112" max="14112" width="12" style="360" customWidth="1"/>
    <col min="14113" max="14113" width="38.140625" style="360" customWidth="1"/>
    <col min="14114" max="14114" width="17.85546875" style="360" bestFit="1" customWidth="1"/>
    <col min="14115" max="14115" width="24.7109375" style="360" customWidth="1"/>
    <col min="14116" max="14116" width="36.42578125" style="360" customWidth="1"/>
    <col min="14117" max="14117" width="46.7109375" style="360" customWidth="1"/>
    <col min="14118" max="14118" width="43.7109375" style="360" customWidth="1"/>
    <col min="14119" max="14119" width="25.42578125" style="360" customWidth="1"/>
    <col min="14120" max="14120" width="12.42578125" style="360" customWidth="1"/>
    <col min="14121" max="14121" width="16.42578125" style="360" customWidth="1"/>
    <col min="14122" max="14122" width="13.42578125" style="360" customWidth="1"/>
    <col min="14123" max="14123" width="8.5703125" style="360" customWidth="1"/>
    <col min="14124" max="14127" width="11.42578125" style="360" customWidth="1"/>
    <col min="14128" max="14128" width="12.7109375" style="360" customWidth="1"/>
    <col min="14129" max="14129" width="11.85546875" style="360" customWidth="1"/>
    <col min="14130" max="14130" width="7.85546875" style="360" customWidth="1"/>
    <col min="14131" max="14131" width="7.5703125" style="360" customWidth="1"/>
    <col min="14132" max="14132" width="8.85546875" style="360" customWidth="1"/>
    <col min="14133" max="14133" width="8.140625" style="360" customWidth="1"/>
    <col min="14134" max="14134" width="7.85546875" style="360" customWidth="1"/>
    <col min="14135" max="14135" width="8.5703125" style="360" customWidth="1"/>
    <col min="14136" max="14136" width="8.28515625" style="360" customWidth="1"/>
    <col min="14137" max="14137" width="11.42578125" style="360" customWidth="1"/>
    <col min="14138" max="14138" width="18" style="360" customWidth="1"/>
    <col min="14139" max="14139" width="21.42578125" style="360" customWidth="1"/>
    <col min="14140" max="14140" width="27.85546875" style="360" customWidth="1"/>
    <col min="14141" max="14356" width="11.42578125" style="360"/>
    <col min="14357" max="14357" width="13.5703125" style="360" customWidth="1"/>
    <col min="14358" max="14358" width="19" style="360" customWidth="1"/>
    <col min="14359" max="14359" width="13.5703125" style="360" customWidth="1"/>
    <col min="14360" max="14360" width="19.7109375" style="360" customWidth="1"/>
    <col min="14361" max="14361" width="13.5703125" style="360" customWidth="1"/>
    <col min="14362" max="14363" width="14.7109375" style="360" customWidth="1"/>
    <col min="14364" max="14364" width="36.140625" style="360" customWidth="1"/>
    <col min="14365" max="14365" width="29.42578125" style="360" customWidth="1"/>
    <col min="14366" max="14366" width="16" style="360" customWidth="1"/>
    <col min="14367" max="14367" width="38.28515625" style="360" customWidth="1"/>
    <col min="14368" max="14368" width="12" style="360" customWidth="1"/>
    <col min="14369" max="14369" width="38.140625" style="360" customWidth="1"/>
    <col min="14370" max="14370" width="17.85546875" style="360" bestFit="1" customWidth="1"/>
    <col min="14371" max="14371" width="24.7109375" style="360" customWidth="1"/>
    <col min="14372" max="14372" width="36.42578125" style="360" customWidth="1"/>
    <col min="14373" max="14373" width="46.7109375" style="360" customWidth="1"/>
    <col min="14374" max="14374" width="43.7109375" style="360" customWidth="1"/>
    <col min="14375" max="14375" width="25.42578125" style="360" customWidth="1"/>
    <col min="14376" max="14376" width="12.42578125" style="360" customWidth="1"/>
    <col min="14377" max="14377" width="16.42578125" style="360" customWidth="1"/>
    <col min="14378" max="14378" width="13.42578125" style="360" customWidth="1"/>
    <col min="14379" max="14379" width="8.5703125" style="360" customWidth="1"/>
    <col min="14380" max="14383" width="11.42578125" style="360" customWidth="1"/>
    <col min="14384" max="14384" width="12.7109375" style="360" customWidth="1"/>
    <col min="14385" max="14385" width="11.85546875" style="360" customWidth="1"/>
    <col min="14386" max="14386" width="7.85546875" style="360" customWidth="1"/>
    <col min="14387" max="14387" width="7.5703125" style="360" customWidth="1"/>
    <col min="14388" max="14388" width="8.85546875" style="360" customWidth="1"/>
    <col min="14389" max="14389" width="8.140625" style="360" customWidth="1"/>
    <col min="14390" max="14390" width="7.85546875" style="360" customWidth="1"/>
    <col min="14391" max="14391" width="8.5703125" style="360" customWidth="1"/>
    <col min="14392" max="14392" width="8.28515625" style="360" customWidth="1"/>
    <col min="14393" max="14393" width="11.42578125" style="360" customWidth="1"/>
    <col min="14394" max="14394" width="18" style="360" customWidth="1"/>
    <col min="14395" max="14395" width="21.42578125" style="360" customWidth="1"/>
    <col min="14396" max="14396" width="27.85546875" style="360" customWidth="1"/>
    <col min="14397" max="14612" width="11.42578125" style="360"/>
    <col min="14613" max="14613" width="13.5703125" style="360" customWidth="1"/>
    <col min="14614" max="14614" width="19" style="360" customWidth="1"/>
    <col min="14615" max="14615" width="13.5703125" style="360" customWidth="1"/>
    <col min="14616" max="14616" width="19.7109375" style="360" customWidth="1"/>
    <col min="14617" max="14617" width="13.5703125" style="360" customWidth="1"/>
    <col min="14618" max="14619" width="14.7109375" style="360" customWidth="1"/>
    <col min="14620" max="14620" width="36.140625" style="360" customWidth="1"/>
    <col min="14621" max="14621" width="29.42578125" style="360" customWidth="1"/>
    <col min="14622" max="14622" width="16" style="360" customWidth="1"/>
    <col min="14623" max="14623" width="38.28515625" style="360" customWidth="1"/>
    <col min="14624" max="14624" width="12" style="360" customWidth="1"/>
    <col min="14625" max="14625" width="38.140625" style="360" customWidth="1"/>
    <col min="14626" max="14626" width="17.85546875" style="360" bestFit="1" customWidth="1"/>
    <col min="14627" max="14627" width="24.7109375" style="360" customWidth="1"/>
    <col min="14628" max="14628" width="36.42578125" style="360" customWidth="1"/>
    <col min="14629" max="14629" width="46.7109375" style="360" customWidth="1"/>
    <col min="14630" max="14630" width="43.7109375" style="360" customWidth="1"/>
    <col min="14631" max="14631" width="25.42578125" style="360" customWidth="1"/>
    <col min="14632" max="14632" width="12.42578125" style="360" customWidth="1"/>
    <col min="14633" max="14633" width="16.42578125" style="360" customWidth="1"/>
    <col min="14634" max="14634" width="13.42578125" style="360" customWidth="1"/>
    <col min="14635" max="14635" width="8.5703125" style="360" customWidth="1"/>
    <col min="14636" max="14639" width="11.42578125" style="360" customWidth="1"/>
    <col min="14640" max="14640" width="12.7109375" style="360" customWidth="1"/>
    <col min="14641" max="14641" width="11.85546875" style="360" customWidth="1"/>
    <col min="14642" max="14642" width="7.85546875" style="360" customWidth="1"/>
    <col min="14643" max="14643" width="7.5703125" style="360" customWidth="1"/>
    <col min="14644" max="14644" width="8.85546875" style="360" customWidth="1"/>
    <col min="14645" max="14645" width="8.140625" style="360" customWidth="1"/>
    <col min="14646" max="14646" width="7.85546875" style="360" customWidth="1"/>
    <col min="14647" max="14647" width="8.5703125" style="360" customWidth="1"/>
    <col min="14648" max="14648" width="8.28515625" style="360" customWidth="1"/>
    <col min="14649" max="14649" width="11.42578125" style="360" customWidth="1"/>
    <col min="14650" max="14650" width="18" style="360" customWidth="1"/>
    <col min="14651" max="14651" width="21.42578125" style="360" customWidth="1"/>
    <col min="14652" max="14652" width="27.85546875" style="360" customWidth="1"/>
    <col min="14653" max="14868" width="11.42578125" style="360"/>
    <col min="14869" max="14869" width="13.5703125" style="360" customWidth="1"/>
    <col min="14870" max="14870" width="19" style="360" customWidth="1"/>
    <col min="14871" max="14871" width="13.5703125" style="360" customWidth="1"/>
    <col min="14872" max="14872" width="19.7109375" style="360" customWidth="1"/>
    <col min="14873" max="14873" width="13.5703125" style="360" customWidth="1"/>
    <col min="14874" max="14875" width="14.7109375" style="360" customWidth="1"/>
    <col min="14876" max="14876" width="36.140625" style="360" customWidth="1"/>
    <col min="14877" max="14877" width="29.42578125" style="360" customWidth="1"/>
    <col min="14878" max="14878" width="16" style="360" customWidth="1"/>
    <col min="14879" max="14879" width="38.28515625" style="360" customWidth="1"/>
    <col min="14880" max="14880" width="12" style="360" customWidth="1"/>
    <col min="14881" max="14881" width="38.140625" style="360" customWidth="1"/>
    <col min="14882" max="14882" width="17.85546875" style="360" bestFit="1" customWidth="1"/>
    <col min="14883" max="14883" width="24.7109375" style="360" customWidth="1"/>
    <col min="14884" max="14884" width="36.42578125" style="360" customWidth="1"/>
    <col min="14885" max="14885" width="46.7109375" style="360" customWidth="1"/>
    <col min="14886" max="14886" width="43.7109375" style="360" customWidth="1"/>
    <col min="14887" max="14887" width="25.42578125" style="360" customWidth="1"/>
    <col min="14888" max="14888" width="12.42578125" style="360" customWidth="1"/>
    <col min="14889" max="14889" width="16.42578125" style="360" customWidth="1"/>
    <col min="14890" max="14890" width="13.42578125" style="360" customWidth="1"/>
    <col min="14891" max="14891" width="8.5703125" style="360" customWidth="1"/>
    <col min="14892" max="14895" width="11.42578125" style="360" customWidth="1"/>
    <col min="14896" max="14896" width="12.7109375" style="360" customWidth="1"/>
    <col min="14897" max="14897" width="11.85546875" style="360" customWidth="1"/>
    <col min="14898" max="14898" width="7.85546875" style="360" customWidth="1"/>
    <col min="14899" max="14899" width="7.5703125" style="360" customWidth="1"/>
    <col min="14900" max="14900" width="8.85546875" style="360" customWidth="1"/>
    <col min="14901" max="14901" width="8.140625" style="360" customWidth="1"/>
    <col min="14902" max="14902" width="7.85546875" style="360" customWidth="1"/>
    <col min="14903" max="14903" width="8.5703125" style="360" customWidth="1"/>
    <col min="14904" max="14904" width="8.28515625" style="360" customWidth="1"/>
    <col min="14905" max="14905" width="11.42578125" style="360" customWidth="1"/>
    <col min="14906" max="14906" width="18" style="360" customWidth="1"/>
    <col min="14907" max="14907" width="21.42578125" style="360" customWidth="1"/>
    <col min="14908" max="14908" width="27.85546875" style="360" customWidth="1"/>
    <col min="14909" max="15124" width="11.42578125" style="360"/>
    <col min="15125" max="15125" width="13.5703125" style="360" customWidth="1"/>
    <col min="15126" max="15126" width="19" style="360" customWidth="1"/>
    <col min="15127" max="15127" width="13.5703125" style="360" customWidth="1"/>
    <col min="15128" max="15128" width="19.7109375" style="360" customWidth="1"/>
    <col min="15129" max="15129" width="13.5703125" style="360" customWidth="1"/>
    <col min="15130" max="15131" width="14.7109375" style="360" customWidth="1"/>
    <col min="15132" max="15132" width="36.140625" style="360" customWidth="1"/>
    <col min="15133" max="15133" width="29.42578125" style="360" customWidth="1"/>
    <col min="15134" max="15134" width="16" style="360" customWidth="1"/>
    <col min="15135" max="15135" width="38.28515625" style="360" customWidth="1"/>
    <col min="15136" max="15136" width="12" style="360" customWidth="1"/>
    <col min="15137" max="15137" width="38.140625" style="360" customWidth="1"/>
    <col min="15138" max="15138" width="17.85546875" style="360" bestFit="1" customWidth="1"/>
    <col min="15139" max="15139" width="24.7109375" style="360" customWidth="1"/>
    <col min="15140" max="15140" width="36.42578125" style="360" customWidth="1"/>
    <col min="15141" max="15141" width="46.7109375" style="360" customWidth="1"/>
    <col min="15142" max="15142" width="43.7109375" style="360" customWidth="1"/>
    <col min="15143" max="15143" width="25.42578125" style="360" customWidth="1"/>
    <col min="15144" max="15144" width="12.42578125" style="360" customWidth="1"/>
    <col min="15145" max="15145" width="16.42578125" style="360" customWidth="1"/>
    <col min="15146" max="15146" width="13.42578125" style="360" customWidth="1"/>
    <col min="15147" max="15147" width="8.5703125" style="360" customWidth="1"/>
    <col min="15148" max="15151" width="11.42578125" style="360" customWidth="1"/>
    <col min="15152" max="15152" width="12.7109375" style="360" customWidth="1"/>
    <col min="15153" max="15153" width="11.85546875" style="360" customWidth="1"/>
    <col min="15154" max="15154" width="7.85546875" style="360" customWidth="1"/>
    <col min="15155" max="15155" width="7.5703125" style="360" customWidth="1"/>
    <col min="15156" max="15156" width="8.85546875" style="360" customWidth="1"/>
    <col min="15157" max="15157" width="8.140625" style="360" customWidth="1"/>
    <col min="15158" max="15158" width="7.85546875" style="360" customWidth="1"/>
    <col min="15159" max="15159" width="8.5703125" style="360" customWidth="1"/>
    <col min="15160" max="15160" width="8.28515625" style="360" customWidth="1"/>
    <col min="15161" max="15161" width="11.42578125" style="360" customWidth="1"/>
    <col min="15162" max="15162" width="18" style="360" customWidth="1"/>
    <col min="15163" max="15163" width="21.42578125" style="360" customWidth="1"/>
    <col min="15164" max="15164" width="27.85546875" style="360" customWidth="1"/>
    <col min="15165" max="15380" width="11.42578125" style="360"/>
    <col min="15381" max="15381" width="13.5703125" style="360" customWidth="1"/>
    <col min="15382" max="15382" width="19" style="360" customWidth="1"/>
    <col min="15383" max="15383" width="13.5703125" style="360" customWidth="1"/>
    <col min="15384" max="15384" width="19.7109375" style="360" customWidth="1"/>
    <col min="15385" max="15385" width="13.5703125" style="360" customWidth="1"/>
    <col min="15386" max="15387" width="14.7109375" style="360" customWidth="1"/>
    <col min="15388" max="15388" width="36.140625" style="360" customWidth="1"/>
    <col min="15389" max="15389" width="29.42578125" style="360" customWidth="1"/>
    <col min="15390" max="15390" width="16" style="360" customWidth="1"/>
    <col min="15391" max="15391" width="38.28515625" style="360" customWidth="1"/>
    <col min="15392" max="15392" width="12" style="360" customWidth="1"/>
    <col min="15393" max="15393" width="38.140625" style="360" customWidth="1"/>
    <col min="15394" max="15394" width="17.85546875" style="360" bestFit="1" customWidth="1"/>
    <col min="15395" max="15395" width="24.7109375" style="360" customWidth="1"/>
    <col min="15396" max="15396" width="36.42578125" style="360" customWidth="1"/>
    <col min="15397" max="15397" width="46.7109375" style="360" customWidth="1"/>
    <col min="15398" max="15398" width="43.7109375" style="360" customWidth="1"/>
    <col min="15399" max="15399" width="25.42578125" style="360" customWidth="1"/>
    <col min="15400" max="15400" width="12.42578125" style="360" customWidth="1"/>
    <col min="15401" max="15401" width="16.42578125" style="360" customWidth="1"/>
    <col min="15402" max="15402" width="13.42578125" style="360" customWidth="1"/>
    <col min="15403" max="15403" width="8.5703125" style="360" customWidth="1"/>
    <col min="15404" max="15407" width="11.42578125" style="360" customWidth="1"/>
    <col min="15408" max="15408" width="12.7109375" style="360" customWidth="1"/>
    <col min="15409" max="15409" width="11.85546875" style="360" customWidth="1"/>
    <col min="15410" max="15410" width="7.85546875" style="360" customWidth="1"/>
    <col min="15411" max="15411" width="7.5703125" style="360" customWidth="1"/>
    <col min="15412" max="15412" width="8.85546875" style="360" customWidth="1"/>
    <col min="15413" max="15413" width="8.140625" style="360" customWidth="1"/>
    <col min="15414" max="15414" width="7.85546875" style="360" customWidth="1"/>
    <col min="15415" max="15415" width="8.5703125" style="360" customWidth="1"/>
    <col min="15416" max="15416" width="8.28515625" style="360" customWidth="1"/>
    <col min="15417" max="15417" width="11.42578125" style="360" customWidth="1"/>
    <col min="15418" max="15418" width="18" style="360" customWidth="1"/>
    <col min="15419" max="15419" width="21.42578125" style="360" customWidth="1"/>
    <col min="15420" max="15420" width="27.85546875" style="360" customWidth="1"/>
    <col min="15421" max="15636" width="11.42578125" style="360"/>
    <col min="15637" max="15637" width="13.5703125" style="360" customWidth="1"/>
    <col min="15638" max="15638" width="19" style="360" customWidth="1"/>
    <col min="15639" max="15639" width="13.5703125" style="360" customWidth="1"/>
    <col min="15640" max="15640" width="19.7109375" style="360" customWidth="1"/>
    <col min="15641" max="15641" width="13.5703125" style="360" customWidth="1"/>
    <col min="15642" max="15643" width="14.7109375" style="360" customWidth="1"/>
    <col min="15644" max="15644" width="36.140625" style="360" customWidth="1"/>
    <col min="15645" max="15645" width="29.42578125" style="360" customWidth="1"/>
    <col min="15646" max="15646" width="16" style="360" customWidth="1"/>
    <col min="15647" max="15647" width="38.28515625" style="360" customWidth="1"/>
    <col min="15648" max="15648" width="12" style="360" customWidth="1"/>
    <col min="15649" max="15649" width="38.140625" style="360" customWidth="1"/>
    <col min="15650" max="15650" width="17.85546875" style="360" bestFit="1" customWidth="1"/>
    <col min="15651" max="15651" width="24.7109375" style="360" customWidth="1"/>
    <col min="15652" max="15652" width="36.42578125" style="360" customWidth="1"/>
    <col min="15653" max="15653" width="46.7109375" style="360" customWidth="1"/>
    <col min="15654" max="15654" width="43.7109375" style="360" customWidth="1"/>
    <col min="15655" max="15655" width="25.42578125" style="360" customWidth="1"/>
    <col min="15656" max="15656" width="12.42578125" style="360" customWidth="1"/>
    <col min="15657" max="15657" width="16.42578125" style="360" customWidth="1"/>
    <col min="15658" max="15658" width="13.42578125" style="360" customWidth="1"/>
    <col min="15659" max="15659" width="8.5703125" style="360" customWidth="1"/>
    <col min="15660" max="15663" width="11.42578125" style="360" customWidth="1"/>
    <col min="15664" max="15664" width="12.7109375" style="360" customWidth="1"/>
    <col min="15665" max="15665" width="11.85546875" style="360" customWidth="1"/>
    <col min="15666" max="15666" width="7.85546875" style="360" customWidth="1"/>
    <col min="15667" max="15667" width="7.5703125" style="360" customWidth="1"/>
    <col min="15668" max="15668" width="8.85546875" style="360" customWidth="1"/>
    <col min="15669" max="15669" width="8.140625" style="360" customWidth="1"/>
    <col min="15670" max="15670" width="7.85546875" style="360" customWidth="1"/>
    <col min="15671" max="15671" width="8.5703125" style="360" customWidth="1"/>
    <col min="15672" max="15672" width="8.28515625" style="360" customWidth="1"/>
    <col min="15673" max="15673" width="11.42578125" style="360" customWidth="1"/>
    <col min="15674" max="15674" width="18" style="360" customWidth="1"/>
    <col min="15675" max="15675" width="21.42578125" style="360" customWidth="1"/>
    <col min="15676" max="15676" width="27.85546875" style="360" customWidth="1"/>
    <col min="15677" max="15892" width="11.42578125" style="360"/>
    <col min="15893" max="15893" width="13.5703125" style="360" customWidth="1"/>
    <col min="15894" max="15894" width="19" style="360" customWidth="1"/>
    <col min="15895" max="15895" width="13.5703125" style="360" customWidth="1"/>
    <col min="15896" max="15896" width="19.7109375" style="360" customWidth="1"/>
    <col min="15897" max="15897" width="13.5703125" style="360" customWidth="1"/>
    <col min="15898" max="15899" width="14.7109375" style="360" customWidth="1"/>
    <col min="15900" max="15900" width="36.140625" style="360" customWidth="1"/>
    <col min="15901" max="15901" width="29.42578125" style="360" customWidth="1"/>
    <col min="15902" max="15902" width="16" style="360" customWidth="1"/>
    <col min="15903" max="15903" width="38.28515625" style="360" customWidth="1"/>
    <col min="15904" max="15904" width="12" style="360" customWidth="1"/>
    <col min="15905" max="15905" width="38.140625" style="360" customWidth="1"/>
    <col min="15906" max="15906" width="17.85546875" style="360" bestFit="1" customWidth="1"/>
    <col min="15907" max="15907" width="24.7109375" style="360" customWidth="1"/>
    <col min="15908" max="15908" width="36.42578125" style="360" customWidth="1"/>
    <col min="15909" max="15909" width="46.7109375" style="360" customWidth="1"/>
    <col min="15910" max="15910" width="43.7109375" style="360" customWidth="1"/>
    <col min="15911" max="15911" width="25.42578125" style="360" customWidth="1"/>
    <col min="15912" max="15912" width="12.42578125" style="360" customWidth="1"/>
    <col min="15913" max="15913" width="16.42578125" style="360" customWidth="1"/>
    <col min="15914" max="15914" width="13.42578125" style="360" customWidth="1"/>
    <col min="15915" max="15915" width="8.5703125" style="360" customWidth="1"/>
    <col min="15916" max="15919" width="11.42578125" style="360" customWidth="1"/>
    <col min="15920" max="15920" width="12.7109375" style="360" customWidth="1"/>
    <col min="15921" max="15921" width="11.85546875" style="360" customWidth="1"/>
    <col min="15922" max="15922" width="7.85546875" style="360" customWidth="1"/>
    <col min="15923" max="15923" width="7.5703125" style="360" customWidth="1"/>
    <col min="15924" max="15924" width="8.85546875" style="360" customWidth="1"/>
    <col min="15925" max="15925" width="8.140625" style="360" customWidth="1"/>
    <col min="15926" max="15926" width="7.85546875" style="360" customWidth="1"/>
    <col min="15927" max="15927" width="8.5703125" style="360" customWidth="1"/>
    <col min="15928" max="15928" width="8.28515625" style="360" customWidth="1"/>
    <col min="15929" max="15929" width="11.42578125" style="360" customWidth="1"/>
    <col min="15930" max="15930" width="18" style="360" customWidth="1"/>
    <col min="15931" max="15931" width="21.42578125" style="360" customWidth="1"/>
    <col min="15932" max="15932" width="27.85546875" style="360" customWidth="1"/>
    <col min="15933" max="16148" width="11.42578125" style="360"/>
    <col min="16149" max="16149" width="13.5703125" style="360" customWidth="1"/>
    <col min="16150" max="16150" width="19" style="360" customWidth="1"/>
    <col min="16151" max="16151" width="13.5703125" style="360" customWidth="1"/>
    <col min="16152" max="16152" width="19.7109375" style="360" customWidth="1"/>
    <col min="16153" max="16153" width="13.5703125" style="360" customWidth="1"/>
    <col min="16154" max="16155" width="14.7109375" style="360" customWidth="1"/>
    <col min="16156" max="16156" width="36.140625" style="360" customWidth="1"/>
    <col min="16157" max="16157" width="29.42578125" style="360" customWidth="1"/>
    <col min="16158" max="16158" width="16" style="360" customWidth="1"/>
    <col min="16159" max="16159" width="38.28515625" style="360" customWidth="1"/>
    <col min="16160" max="16160" width="12" style="360" customWidth="1"/>
    <col min="16161" max="16161" width="38.140625" style="360" customWidth="1"/>
    <col min="16162" max="16162" width="17.85546875" style="360" bestFit="1" customWidth="1"/>
    <col min="16163" max="16163" width="24.7109375" style="360" customWidth="1"/>
    <col min="16164" max="16164" width="36.42578125" style="360" customWidth="1"/>
    <col min="16165" max="16165" width="46.7109375" style="360" customWidth="1"/>
    <col min="16166" max="16166" width="43.7109375" style="360" customWidth="1"/>
    <col min="16167" max="16167" width="25.42578125" style="360" customWidth="1"/>
    <col min="16168" max="16168" width="12.42578125" style="360" customWidth="1"/>
    <col min="16169" max="16169" width="16.42578125" style="360" customWidth="1"/>
    <col min="16170" max="16170" width="13.42578125" style="360" customWidth="1"/>
    <col min="16171" max="16171" width="8.5703125" style="360" customWidth="1"/>
    <col min="16172" max="16175" width="11.42578125" style="360" customWidth="1"/>
    <col min="16176" max="16176" width="12.7109375" style="360" customWidth="1"/>
    <col min="16177" max="16177" width="11.85546875" style="360" customWidth="1"/>
    <col min="16178" max="16178" width="7.85546875" style="360" customWidth="1"/>
    <col min="16179" max="16179" width="7.5703125" style="360" customWidth="1"/>
    <col min="16180" max="16180" width="8.85546875" style="360" customWidth="1"/>
    <col min="16181" max="16181" width="8.140625" style="360" customWidth="1"/>
    <col min="16182" max="16182" width="7.85546875" style="360" customWidth="1"/>
    <col min="16183" max="16183" width="8.5703125" style="360" customWidth="1"/>
    <col min="16184" max="16184" width="8.28515625" style="360" customWidth="1"/>
    <col min="16185" max="16185" width="11.42578125" style="360" customWidth="1"/>
    <col min="16186" max="16186" width="18" style="360" customWidth="1"/>
    <col min="16187" max="16187" width="21.42578125" style="360" customWidth="1"/>
    <col min="16188" max="16188" width="27.85546875" style="360" customWidth="1"/>
    <col min="16189" max="16384" width="11.42578125" style="360"/>
  </cols>
  <sheetData>
    <row r="1" spans="1:276" ht="18" customHeight="1" x14ac:dyDescent="0.25">
      <c r="A1" s="4739" t="s">
        <v>2093</v>
      </c>
      <c r="B1" s="4740"/>
      <c r="C1" s="4740"/>
      <c r="D1" s="4740"/>
      <c r="E1" s="4740"/>
      <c r="F1" s="4740"/>
      <c r="G1" s="4740"/>
      <c r="H1" s="4740"/>
      <c r="I1" s="4740"/>
      <c r="J1" s="4740"/>
      <c r="K1" s="4740"/>
      <c r="L1" s="4740"/>
      <c r="M1" s="4740"/>
      <c r="N1" s="4740"/>
      <c r="O1" s="4740"/>
      <c r="P1" s="4740"/>
      <c r="Q1" s="4740"/>
      <c r="R1" s="4740"/>
      <c r="S1" s="4740"/>
      <c r="T1" s="4740"/>
      <c r="U1" s="4740"/>
      <c r="V1" s="4740"/>
      <c r="W1" s="4740"/>
      <c r="X1" s="4740"/>
      <c r="Y1" s="4740"/>
      <c r="Z1" s="4740"/>
      <c r="AA1" s="4740"/>
      <c r="AB1" s="4740"/>
      <c r="AC1" s="4740"/>
      <c r="AD1" s="4740"/>
      <c r="AE1" s="4740"/>
      <c r="AF1" s="4740"/>
      <c r="AG1" s="4740"/>
      <c r="AH1" s="4740"/>
      <c r="AI1" s="4740"/>
      <c r="AJ1" s="4740"/>
      <c r="AK1" s="4740"/>
      <c r="AL1" s="4740"/>
      <c r="AM1" s="4740"/>
      <c r="AN1" s="4740"/>
      <c r="AO1" s="4740"/>
      <c r="AP1" s="4740"/>
      <c r="AQ1" s="4740"/>
      <c r="AR1" s="4740"/>
      <c r="AS1" s="4740"/>
      <c r="AT1" s="4740"/>
      <c r="AU1" s="4740"/>
      <c r="AV1" s="4740"/>
      <c r="AW1" s="4740"/>
      <c r="AX1" s="4740"/>
      <c r="AY1" s="4740"/>
      <c r="AZ1" s="4740"/>
      <c r="BA1" s="4740"/>
      <c r="BB1" s="4740"/>
      <c r="BC1" s="4740"/>
      <c r="BD1" s="4740"/>
      <c r="BE1" s="4740"/>
      <c r="BF1" s="4740"/>
      <c r="BG1" s="4740"/>
      <c r="BH1" s="4740"/>
      <c r="BI1" s="4740"/>
      <c r="BJ1" s="4740"/>
      <c r="BK1" s="4740"/>
      <c r="BL1" s="2313"/>
      <c r="BN1" s="132" t="s">
        <v>0</v>
      </c>
      <c r="BO1" s="609" t="s">
        <v>1</v>
      </c>
    </row>
    <row r="2" spans="1:276" ht="18" customHeight="1" x14ac:dyDescent="0.25">
      <c r="A2" s="4740"/>
      <c r="B2" s="4740"/>
      <c r="C2" s="4740"/>
      <c r="D2" s="4740"/>
      <c r="E2" s="4740"/>
      <c r="F2" s="4740"/>
      <c r="G2" s="4740"/>
      <c r="H2" s="4740"/>
      <c r="I2" s="4740"/>
      <c r="J2" s="4740"/>
      <c r="K2" s="4740"/>
      <c r="L2" s="4740"/>
      <c r="M2" s="4740"/>
      <c r="N2" s="4740"/>
      <c r="O2" s="4740"/>
      <c r="P2" s="4740"/>
      <c r="Q2" s="4740"/>
      <c r="R2" s="4740"/>
      <c r="S2" s="4740"/>
      <c r="T2" s="4740"/>
      <c r="U2" s="4740"/>
      <c r="V2" s="4740"/>
      <c r="W2" s="4740"/>
      <c r="X2" s="4740"/>
      <c r="Y2" s="4740"/>
      <c r="Z2" s="4740"/>
      <c r="AA2" s="4740"/>
      <c r="AB2" s="4740"/>
      <c r="AC2" s="4740"/>
      <c r="AD2" s="4740"/>
      <c r="AE2" s="4740"/>
      <c r="AF2" s="4740"/>
      <c r="AG2" s="4740"/>
      <c r="AH2" s="4740"/>
      <c r="AI2" s="4740"/>
      <c r="AJ2" s="4740"/>
      <c r="AK2" s="4740"/>
      <c r="AL2" s="4740"/>
      <c r="AM2" s="4740"/>
      <c r="AN2" s="4740"/>
      <c r="AO2" s="4740"/>
      <c r="AP2" s="4740"/>
      <c r="AQ2" s="4740"/>
      <c r="AR2" s="4740"/>
      <c r="AS2" s="4740"/>
      <c r="AT2" s="4740"/>
      <c r="AU2" s="4740"/>
      <c r="AV2" s="4740"/>
      <c r="AW2" s="4740"/>
      <c r="AX2" s="4740"/>
      <c r="AY2" s="4740"/>
      <c r="AZ2" s="4740"/>
      <c r="BA2" s="4740"/>
      <c r="BB2" s="4740"/>
      <c r="BC2" s="4740"/>
      <c r="BD2" s="4740"/>
      <c r="BE2" s="4740"/>
      <c r="BF2" s="4740"/>
      <c r="BG2" s="4740"/>
      <c r="BH2" s="4740"/>
      <c r="BI2" s="4740"/>
      <c r="BJ2" s="4740"/>
      <c r="BK2" s="4740"/>
      <c r="BL2" s="2313"/>
      <c r="BN2" s="133" t="s">
        <v>2</v>
      </c>
      <c r="BO2" s="6">
        <v>6</v>
      </c>
    </row>
    <row r="3" spans="1:276" ht="18" customHeight="1" x14ac:dyDescent="0.25">
      <c r="A3" s="4740"/>
      <c r="B3" s="4740"/>
      <c r="C3" s="4740"/>
      <c r="D3" s="4740"/>
      <c r="E3" s="4740"/>
      <c r="F3" s="4740"/>
      <c r="G3" s="4740"/>
      <c r="H3" s="4740"/>
      <c r="I3" s="4740"/>
      <c r="J3" s="4740"/>
      <c r="K3" s="4740"/>
      <c r="L3" s="4740"/>
      <c r="M3" s="4740"/>
      <c r="N3" s="4740"/>
      <c r="O3" s="4740"/>
      <c r="P3" s="4740"/>
      <c r="Q3" s="4740"/>
      <c r="R3" s="4740"/>
      <c r="S3" s="4740"/>
      <c r="T3" s="4740"/>
      <c r="U3" s="4740"/>
      <c r="V3" s="4740"/>
      <c r="W3" s="4740"/>
      <c r="X3" s="4740"/>
      <c r="Y3" s="4740"/>
      <c r="Z3" s="4740"/>
      <c r="AA3" s="4740"/>
      <c r="AB3" s="4740"/>
      <c r="AC3" s="4740"/>
      <c r="AD3" s="4740"/>
      <c r="AE3" s="4740"/>
      <c r="AF3" s="4740"/>
      <c r="AG3" s="4740"/>
      <c r="AH3" s="4740"/>
      <c r="AI3" s="4740"/>
      <c r="AJ3" s="4740"/>
      <c r="AK3" s="4740"/>
      <c r="AL3" s="4740"/>
      <c r="AM3" s="4740"/>
      <c r="AN3" s="4740"/>
      <c r="AO3" s="4740"/>
      <c r="AP3" s="4740"/>
      <c r="AQ3" s="4740"/>
      <c r="AR3" s="4740"/>
      <c r="AS3" s="4740"/>
      <c r="AT3" s="4740"/>
      <c r="AU3" s="4740"/>
      <c r="AV3" s="4740"/>
      <c r="AW3" s="4740"/>
      <c r="AX3" s="4740"/>
      <c r="AY3" s="4740"/>
      <c r="AZ3" s="4740"/>
      <c r="BA3" s="4740"/>
      <c r="BB3" s="4740"/>
      <c r="BC3" s="4740"/>
      <c r="BD3" s="4740"/>
      <c r="BE3" s="4740"/>
      <c r="BF3" s="4740"/>
      <c r="BG3" s="4740"/>
      <c r="BH3" s="4740"/>
      <c r="BI3" s="4740"/>
      <c r="BJ3" s="4740"/>
      <c r="BK3" s="4740"/>
      <c r="BL3" s="2313"/>
      <c r="BN3" s="132" t="s">
        <v>3</v>
      </c>
      <c r="BO3" s="7" t="s">
        <v>4</v>
      </c>
    </row>
    <row r="4" spans="1:276" ht="18" customHeight="1" x14ac:dyDescent="0.2">
      <c r="A4" s="4741"/>
      <c r="B4" s="4741"/>
      <c r="C4" s="4741"/>
      <c r="D4" s="4741"/>
      <c r="E4" s="4741"/>
      <c r="F4" s="4741"/>
      <c r="G4" s="4741"/>
      <c r="H4" s="4741"/>
      <c r="I4" s="4741"/>
      <c r="J4" s="4741"/>
      <c r="K4" s="4741"/>
      <c r="L4" s="4741"/>
      <c r="M4" s="4741"/>
      <c r="N4" s="4741"/>
      <c r="O4" s="4741"/>
      <c r="P4" s="4741"/>
      <c r="Q4" s="4741"/>
      <c r="R4" s="4741"/>
      <c r="S4" s="4741"/>
      <c r="T4" s="4741"/>
      <c r="U4" s="4741"/>
      <c r="V4" s="4741"/>
      <c r="W4" s="4741"/>
      <c r="X4" s="4741"/>
      <c r="Y4" s="4741"/>
      <c r="Z4" s="4741"/>
      <c r="AA4" s="4741"/>
      <c r="AB4" s="4741"/>
      <c r="AC4" s="4741"/>
      <c r="AD4" s="4741"/>
      <c r="AE4" s="4741"/>
      <c r="AF4" s="4741"/>
      <c r="AG4" s="4741"/>
      <c r="AH4" s="4741"/>
      <c r="AI4" s="4741"/>
      <c r="AJ4" s="4741"/>
      <c r="AK4" s="4741"/>
      <c r="AL4" s="4741"/>
      <c r="AM4" s="4741"/>
      <c r="AN4" s="4741"/>
      <c r="AO4" s="4741"/>
      <c r="AP4" s="4741"/>
      <c r="AQ4" s="4741"/>
      <c r="AR4" s="4741"/>
      <c r="AS4" s="4741"/>
      <c r="AT4" s="4741"/>
      <c r="AU4" s="4741"/>
      <c r="AV4" s="4741"/>
      <c r="AW4" s="4741"/>
      <c r="AX4" s="4741"/>
      <c r="AY4" s="4741"/>
      <c r="AZ4" s="4741"/>
      <c r="BA4" s="4741"/>
      <c r="BB4" s="4741"/>
      <c r="BC4" s="4741"/>
      <c r="BD4" s="4741"/>
      <c r="BE4" s="4741"/>
      <c r="BF4" s="4741"/>
      <c r="BG4" s="4741"/>
      <c r="BH4" s="4741"/>
      <c r="BI4" s="4741"/>
      <c r="BJ4" s="4741"/>
      <c r="BK4" s="4741"/>
      <c r="BL4" s="2314"/>
      <c r="BN4" s="132" t="s">
        <v>5</v>
      </c>
      <c r="BO4" s="9" t="s">
        <v>6</v>
      </c>
      <c r="BP4" s="2315"/>
      <c r="BQ4" s="2315"/>
      <c r="BR4" s="2315"/>
      <c r="BS4" s="2315"/>
      <c r="BT4" s="2315"/>
      <c r="BU4" s="2315"/>
      <c r="BV4" s="2315"/>
      <c r="BW4" s="2315"/>
      <c r="BX4" s="2315"/>
      <c r="BY4" s="2315"/>
      <c r="BZ4" s="2315"/>
      <c r="CA4" s="2315"/>
      <c r="CB4" s="2315"/>
      <c r="CC4" s="2315"/>
      <c r="CD4" s="2315"/>
      <c r="CE4" s="2315"/>
      <c r="CF4" s="2315"/>
      <c r="CG4" s="2315"/>
      <c r="CH4" s="2315"/>
      <c r="CI4" s="2315"/>
      <c r="CJ4" s="2315"/>
      <c r="CK4" s="2315"/>
      <c r="CL4" s="2315"/>
      <c r="CM4" s="2315"/>
      <c r="CN4" s="2315"/>
      <c r="CO4" s="2315"/>
      <c r="CP4" s="2315"/>
      <c r="CQ4" s="2315"/>
      <c r="CR4" s="2315"/>
      <c r="CS4" s="2315"/>
      <c r="CT4" s="2315"/>
      <c r="CU4" s="2315"/>
      <c r="CV4" s="2315"/>
      <c r="CW4" s="2315"/>
      <c r="CX4" s="2315"/>
      <c r="CY4" s="2315"/>
      <c r="CZ4" s="2315"/>
      <c r="DA4" s="2315"/>
      <c r="DB4" s="2315"/>
      <c r="DC4" s="2315"/>
      <c r="DD4" s="2315"/>
      <c r="DE4" s="2315"/>
      <c r="DF4" s="2315"/>
      <c r="DG4" s="2315"/>
      <c r="DH4" s="2315"/>
      <c r="DI4" s="2315"/>
      <c r="DJ4" s="2315"/>
      <c r="DK4" s="2315"/>
      <c r="DL4" s="2315"/>
      <c r="DM4" s="2315"/>
      <c r="DN4" s="2315"/>
      <c r="DO4" s="2315"/>
      <c r="DP4" s="2315"/>
      <c r="DQ4" s="2315"/>
      <c r="DR4" s="2315"/>
      <c r="DS4" s="2315"/>
      <c r="DT4" s="2315"/>
      <c r="DU4" s="2315"/>
      <c r="DV4" s="2315"/>
      <c r="DW4" s="2315"/>
      <c r="DX4" s="2315"/>
      <c r="DY4" s="2315"/>
      <c r="DZ4" s="2315"/>
      <c r="EA4" s="2315"/>
      <c r="EB4" s="2315"/>
      <c r="EC4" s="2315"/>
      <c r="ED4" s="2315"/>
      <c r="EE4" s="2315"/>
      <c r="EF4" s="2315"/>
      <c r="EG4" s="2315"/>
      <c r="EH4" s="2315"/>
      <c r="EI4" s="2315"/>
      <c r="EJ4" s="2315"/>
      <c r="EK4" s="2315"/>
      <c r="EL4" s="2315"/>
      <c r="EM4" s="2315"/>
      <c r="EN4" s="2315"/>
      <c r="EO4" s="2315"/>
      <c r="EP4" s="2315"/>
      <c r="EQ4" s="2315"/>
      <c r="ER4" s="2315"/>
      <c r="ES4" s="2315"/>
      <c r="ET4" s="2315"/>
      <c r="EU4" s="2315"/>
      <c r="EV4" s="2315"/>
      <c r="EW4" s="2315"/>
      <c r="EX4" s="2315"/>
      <c r="EY4" s="2315"/>
      <c r="EZ4" s="2315"/>
      <c r="FA4" s="2315"/>
      <c r="FB4" s="2315"/>
      <c r="FC4" s="2315"/>
      <c r="FD4" s="2315"/>
      <c r="FE4" s="2315"/>
      <c r="FF4" s="2315"/>
      <c r="FG4" s="2315"/>
      <c r="FH4" s="2315"/>
      <c r="FI4" s="2315"/>
      <c r="FJ4" s="2315"/>
      <c r="FK4" s="2315"/>
      <c r="FL4" s="2315"/>
      <c r="FM4" s="2315"/>
      <c r="FN4" s="2315"/>
      <c r="FO4" s="2315"/>
      <c r="FP4" s="2315"/>
      <c r="FQ4" s="2315"/>
      <c r="FR4" s="2315"/>
      <c r="FS4" s="2315"/>
      <c r="FT4" s="2315"/>
      <c r="FU4" s="2315"/>
      <c r="FV4" s="2315"/>
      <c r="FW4" s="2315"/>
      <c r="FX4" s="2315"/>
      <c r="FY4" s="2315"/>
      <c r="FZ4" s="2315"/>
      <c r="GA4" s="2315"/>
      <c r="GB4" s="2315"/>
      <c r="GC4" s="2315"/>
      <c r="GD4" s="2315"/>
      <c r="GE4" s="2315"/>
      <c r="GF4" s="2315"/>
      <c r="GG4" s="2315"/>
      <c r="GH4" s="2315"/>
      <c r="GI4" s="2315"/>
      <c r="GJ4" s="2315"/>
      <c r="GK4" s="2315"/>
      <c r="GL4" s="2315"/>
      <c r="GM4" s="2315"/>
      <c r="GN4" s="2315"/>
      <c r="GO4" s="2315"/>
      <c r="GP4" s="2315"/>
      <c r="GQ4" s="2315"/>
      <c r="GR4" s="2315"/>
      <c r="GS4" s="2315"/>
      <c r="GT4" s="2315"/>
      <c r="GU4" s="2315"/>
      <c r="GV4" s="2315"/>
      <c r="GW4" s="2315"/>
      <c r="GX4" s="2315"/>
      <c r="GY4" s="2315"/>
      <c r="GZ4" s="2315"/>
      <c r="HA4" s="2315"/>
      <c r="HB4" s="2315"/>
      <c r="HC4" s="2315"/>
      <c r="HD4" s="2315"/>
      <c r="HE4" s="2315"/>
      <c r="HF4" s="2315"/>
      <c r="HG4" s="2315"/>
      <c r="HH4" s="2315"/>
      <c r="HI4" s="2315"/>
      <c r="HJ4" s="2315"/>
      <c r="HK4" s="2315"/>
      <c r="HL4" s="2315"/>
      <c r="HM4" s="2315"/>
      <c r="HN4" s="2315"/>
      <c r="HO4" s="2315"/>
      <c r="HP4" s="2315"/>
      <c r="HQ4" s="2315"/>
      <c r="HR4" s="2315"/>
      <c r="HS4" s="2315"/>
      <c r="HT4" s="2315"/>
      <c r="HU4" s="2315"/>
      <c r="HV4" s="2315"/>
      <c r="HW4" s="2315"/>
      <c r="HX4" s="2315"/>
      <c r="HY4" s="2315"/>
      <c r="HZ4" s="2315"/>
      <c r="IA4" s="2315"/>
      <c r="IB4" s="2315"/>
      <c r="IC4" s="2315"/>
      <c r="ID4" s="2315"/>
      <c r="IE4" s="2315"/>
      <c r="IF4" s="2315"/>
      <c r="IG4" s="2315"/>
      <c r="IH4" s="2315"/>
      <c r="II4" s="2315"/>
      <c r="IJ4" s="2315"/>
      <c r="IK4" s="2315"/>
      <c r="IL4" s="2315"/>
      <c r="IM4" s="2315"/>
      <c r="IN4" s="2315"/>
      <c r="IO4" s="2315"/>
      <c r="IP4" s="2315"/>
      <c r="IQ4" s="2315"/>
      <c r="IR4" s="2315"/>
      <c r="IS4" s="2315"/>
      <c r="IT4" s="2315"/>
      <c r="IU4" s="2315"/>
      <c r="IV4" s="2315"/>
      <c r="IW4" s="2315"/>
      <c r="IX4" s="2315"/>
      <c r="IY4" s="2315"/>
      <c r="IZ4" s="2315"/>
      <c r="JA4" s="2315"/>
      <c r="JB4" s="2315"/>
      <c r="JC4" s="2315"/>
      <c r="JD4" s="2315"/>
      <c r="JE4" s="2315"/>
      <c r="JF4" s="2315"/>
      <c r="JG4" s="2315"/>
      <c r="JH4" s="2315"/>
      <c r="JI4" s="2315"/>
      <c r="JJ4" s="2315"/>
      <c r="JK4" s="2315"/>
      <c r="JL4" s="2315"/>
      <c r="JM4" s="2315"/>
      <c r="JN4" s="2315"/>
      <c r="JO4" s="2315"/>
      <c r="JP4" s="2315"/>
    </row>
    <row r="5" spans="1:276" ht="23.25" customHeight="1" x14ac:dyDescent="0.2">
      <c r="A5" s="4742" t="s">
        <v>7</v>
      </c>
      <c r="B5" s="4742"/>
      <c r="C5" s="4742"/>
      <c r="D5" s="4742"/>
      <c r="E5" s="4742"/>
      <c r="F5" s="4742"/>
      <c r="G5" s="4742"/>
      <c r="H5" s="4742"/>
      <c r="I5" s="4742"/>
      <c r="J5" s="4742"/>
      <c r="K5" s="2312"/>
      <c r="L5" s="2312"/>
      <c r="M5" s="2312"/>
      <c r="N5" s="4743" t="s">
        <v>8</v>
      </c>
      <c r="O5" s="4743"/>
      <c r="P5" s="4743"/>
      <c r="Q5" s="4743"/>
      <c r="R5" s="4743"/>
      <c r="S5" s="4743"/>
      <c r="T5" s="4743"/>
      <c r="U5" s="4743"/>
      <c r="V5" s="4743"/>
      <c r="W5" s="4743"/>
      <c r="X5" s="4743"/>
      <c r="Y5" s="4743"/>
      <c r="Z5" s="4743"/>
      <c r="AA5" s="4743"/>
      <c r="AB5" s="4743"/>
      <c r="AC5" s="4743"/>
      <c r="AD5" s="4743"/>
      <c r="AE5" s="4743"/>
      <c r="AF5" s="4743"/>
      <c r="AG5" s="4743"/>
      <c r="AH5" s="4743"/>
      <c r="AI5" s="4743"/>
      <c r="AJ5" s="4743"/>
      <c r="AK5" s="4743"/>
      <c r="AL5" s="4743"/>
      <c r="AM5" s="4743"/>
      <c r="AN5" s="4743"/>
      <c r="AO5" s="4743"/>
      <c r="AP5" s="4743"/>
      <c r="AQ5" s="4743"/>
      <c r="AR5" s="4743"/>
      <c r="AS5" s="4743"/>
      <c r="AT5" s="4743"/>
      <c r="AU5" s="4743"/>
      <c r="AV5" s="4743"/>
      <c r="AW5" s="4743"/>
      <c r="AX5" s="4743"/>
      <c r="AY5" s="4743"/>
      <c r="AZ5" s="4743"/>
      <c r="BA5" s="4743"/>
      <c r="BB5" s="4743"/>
      <c r="BC5" s="4743"/>
      <c r="BD5" s="4743"/>
      <c r="BE5" s="4743"/>
      <c r="BF5" s="4743"/>
      <c r="BG5" s="4743"/>
      <c r="BH5" s="4743"/>
      <c r="BI5" s="4743"/>
      <c r="BJ5" s="4743"/>
      <c r="BK5" s="4743"/>
      <c r="BL5" s="4743"/>
      <c r="BM5" s="4743"/>
      <c r="BN5" s="4743"/>
      <c r="BO5" s="4743"/>
    </row>
    <row r="6" spans="1:276" ht="23.25" customHeight="1" thickBot="1" x14ac:dyDescent="0.25">
      <c r="A6" s="4741"/>
      <c r="B6" s="4741"/>
      <c r="C6" s="4741"/>
      <c r="D6" s="4741"/>
      <c r="E6" s="4741"/>
      <c r="F6" s="4741"/>
      <c r="G6" s="4741"/>
      <c r="H6" s="4741"/>
      <c r="I6" s="4741"/>
      <c r="J6" s="4741"/>
      <c r="K6" s="2314"/>
      <c r="L6" s="2314"/>
      <c r="M6" s="2314"/>
      <c r="N6" s="4744"/>
      <c r="O6" s="4745"/>
      <c r="P6" s="4745"/>
      <c r="Q6" s="4745"/>
      <c r="R6" s="4745"/>
      <c r="S6" s="4745"/>
      <c r="T6" s="4745"/>
      <c r="U6" s="4745"/>
      <c r="V6" s="4745"/>
      <c r="W6" s="4745"/>
      <c r="X6" s="4746"/>
      <c r="Y6" s="4747" t="s">
        <v>107</v>
      </c>
      <c r="Z6" s="4748"/>
      <c r="AA6" s="4748"/>
      <c r="AB6" s="4748"/>
      <c r="AC6" s="4748"/>
      <c r="AD6" s="4748"/>
      <c r="AE6" s="4748"/>
      <c r="AF6" s="4748"/>
      <c r="AG6" s="4748"/>
      <c r="AH6" s="4748"/>
      <c r="AI6" s="4748"/>
      <c r="AJ6" s="4748"/>
      <c r="AK6" s="4748"/>
      <c r="AL6" s="4748"/>
      <c r="AM6" s="4748"/>
      <c r="AN6" s="4748"/>
      <c r="AO6" s="4748"/>
      <c r="AP6" s="4748"/>
      <c r="AQ6" s="4748"/>
      <c r="AR6" s="4748"/>
      <c r="AS6" s="4748"/>
      <c r="AT6" s="4748"/>
      <c r="AU6" s="4748"/>
      <c r="AV6" s="4748"/>
      <c r="AW6" s="4748"/>
      <c r="AX6" s="4748"/>
      <c r="AY6" s="4748"/>
      <c r="AZ6" s="4748"/>
      <c r="BA6" s="4748"/>
      <c r="BB6" s="4748"/>
      <c r="BC6" s="4748"/>
      <c r="BD6" s="2311"/>
      <c r="BE6" s="2311"/>
      <c r="BF6" s="2316"/>
      <c r="BG6" s="2316"/>
      <c r="BH6" s="2311"/>
      <c r="BI6" s="2311"/>
      <c r="BJ6" s="2311"/>
      <c r="BK6" s="4744"/>
      <c r="BL6" s="4745"/>
      <c r="BM6" s="4745"/>
      <c r="BN6" s="4745"/>
      <c r="BO6" s="4746"/>
    </row>
    <row r="7" spans="1:276" ht="14.25" customHeight="1" x14ac:dyDescent="0.2">
      <c r="A7" s="4752" t="s">
        <v>0</v>
      </c>
      <c r="B7" s="4749" t="s">
        <v>9</v>
      </c>
      <c r="C7" s="4749" t="s">
        <v>0</v>
      </c>
      <c r="D7" s="4749" t="s">
        <v>10</v>
      </c>
      <c r="E7" s="4749" t="s">
        <v>0</v>
      </c>
      <c r="F7" s="4749" t="s">
        <v>11</v>
      </c>
      <c r="G7" s="4749" t="s">
        <v>0</v>
      </c>
      <c r="H7" s="4749" t="s">
        <v>12</v>
      </c>
      <c r="I7" s="4749" t="s">
        <v>13</v>
      </c>
      <c r="J7" s="3447" t="s">
        <v>14</v>
      </c>
      <c r="K7" s="3448"/>
      <c r="L7" s="4749" t="s">
        <v>15</v>
      </c>
      <c r="M7" s="4749" t="s">
        <v>16</v>
      </c>
      <c r="N7" s="4749" t="s">
        <v>8</v>
      </c>
      <c r="O7" s="4749" t="s">
        <v>17</v>
      </c>
      <c r="P7" s="4811" t="s">
        <v>18</v>
      </c>
      <c r="Q7" s="4814" t="s">
        <v>19</v>
      </c>
      <c r="R7" s="4814" t="s">
        <v>20</v>
      </c>
      <c r="S7" s="4749" t="s">
        <v>21</v>
      </c>
      <c r="T7" s="4765" t="s">
        <v>18</v>
      </c>
      <c r="U7" s="4766"/>
      <c r="V7" s="4767"/>
      <c r="W7" s="4749" t="s">
        <v>0</v>
      </c>
      <c r="X7" s="4749" t="s">
        <v>22</v>
      </c>
      <c r="Y7" s="4771" t="s">
        <v>23</v>
      </c>
      <c r="Z7" s="4772"/>
      <c r="AA7" s="4772"/>
      <c r="AB7" s="4773"/>
      <c r="AC7" s="4771" t="s">
        <v>24</v>
      </c>
      <c r="AD7" s="4772"/>
      <c r="AE7" s="4772"/>
      <c r="AF7" s="4772"/>
      <c r="AG7" s="4772"/>
      <c r="AH7" s="4772"/>
      <c r="AI7" s="4772"/>
      <c r="AJ7" s="4773"/>
      <c r="AK7" s="4771" t="s">
        <v>25</v>
      </c>
      <c r="AL7" s="4772"/>
      <c r="AM7" s="4772"/>
      <c r="AN7" s="4772"/>
      <c r="AO7" s="4772"/>
      <c r="AP7" s="4772"/>
      <c r="AQ7" s="4772"/>
      <c r="AR7" s="4772"/>
      <c r="AS7" s="4772"/>
      <c r="AT7" s="4772"/>
      <c r="AU7" s="4772"/>
      <c r="AV7" s="4773"/>
      <c r="AW7" s="4771" t="s">
        <v>26</v>
      </c>
      <c r="AX7" s="4772"/>
      <c r="AY7" s="4772"/>
      <c r="AZ7" s="4772"/>
      <c r="BA7" s="4772"/>
      <c r="BB7" s="4773"/>
      <c r="BC7" s="4805" t="s">
        <v>27</v>
      </c>
      <c r="BD7" s="4806"/>
      <c r="BE7" s="3017" t="s">
        <v>28</v>
      </c>
      <c r="BF7" s="3018"/>
      <c r="BG7" s="3018"/>
      <c r="BH7" s="3018"/>
      <c r="BI7" s="3018"/>
      <c r="BJ7" s="3019"/>
      <c r="BK7" s="4755" t="s">
        <v>29</v>
      </c>
      <c r="BL7" s="4756"/>
      <c r="BM7" s="4755" t="s">
        <v>30</v>
      </c>
      <c r="BN7" s="4756"/>
      <c r="BO7" s="4761" t="s">
        <v>31</v>
      </c>
    </row>
    <row r="8" spans="1:276" ht="21.75" customHeight="1" x14ac:dyDescent="0.2">
      <c r="A8" s="4753"/>
      <c r="B8" s="4750"/>
      <c r="C8" s="4750"/>
      <c r="D8" s="4750"/>
      <c r="E8" s="4750"/>
      <c r="F8" s="4750"/>
      <c r="G8" s="4750"/>
      <c r="H8" s="4750"/>
      <c r="I8" s="4750"/>
      <c r="J8" s="3449"/>
      <c r="K8" s="3450"/>
      <c r="L8" s="4750"/>
      <c r="M8" s="4750"/>
      <c r="N8" s="4750"/>
      <c r="O8" s="4750"/>
      <c r="P8" s="4812"/>
      <c r="Q8" s="4815"/>
      <c r="R8" s="4815"/>
      <c r="S8" s="4750"/>
      <c r="T8" s="4768"/>
      <c r="U8" s="4769"/>
      <c r="V8" s="4770"/>
      <c r="W8" s="4750"/>
      <c r="X8" s="4750"/>
      <c r="Y8" s="4774"/>
      <c r="Z8" s="4775"/>
      <c r="AA8" s="4775"/>
      <c r="AB8" s="4776"/>
      <c r="AC8" s="4774"/>
      <c r="AD8" s="4775"/>
      <c r="AE8" s="4775"/>
      <c r="AF8" s="4775"/>
      <c r="AG8" s="4775"/>
      <c r="AH8" s="4775"/>
      <c r="AI8" s="4775"/>
      <c r="AJ8" s="4776"/>
      <c r="AK8" s="4774"/>
      <c r="AL8" s="4775"/>
      <c r="AM8" s="4775"/>
      <c r="AN8" s="4775"/>
      <c r="AO8" s="4775"/>
      <c r="AP8" s="4775"/>
      <c r="AQ8" s="4775"/>
      <c r="AR8" s="4775"/>
      <c r="AS8" s="4775"/>
      <c r="AT8" s="4775"/>
      <c r="AU8" s="4775"/>
      <c r="AV8" s="4776"/>
      <c r="AW8" s="4774"/>
      <c r="AX8" s="4775"/>
      <c r="AY8" s="4775"/>
      <c r="AZ8" s="4775"/>
      <c r="BA8" s="4775"/>
      <c r="BB8" s="4776"/>
      <c r="BC8" s="4807"/>
      <c r="BD8" s="4808"/>
      <c r="BE8" s="3049" t="s">
        <v>112</v>
      </c>
      <c r="BF8" s="4764" t="s">
        <v>53</v>
      </c>
      <c r="BG8" s="4764" t="s">
        <v>54</v>
      </c>
      <c r="BH8" s="4493" t="s">
        <v>55</v>
      </c>
      <c r="BI8" s="3049" t="s">
        <v>56</v>
      </c>
      <c r="BJ8" s="3050" t="s">
        <v>57</v>
      </c>
      <c r="BK8" s="4757"/>
      <c r="BL8" s="4758"/>
      <c r="BM8" s="4757"/>
      <c r="BN8" s="4758"/>
      <c r="BO8" s="4762"/>
    </row>
    <row r="9" spans="1:276" ht="102.75" customHeight="1" x14ac:dyDescent="0.2">
      <c r="A9" s="4754"/>
      <c r="B9" s="4751"/>
      <c r="C9" s="4751"/>
      <c r="D9" s="4751"/>
      <c r="E9" s="4751"/>
      <c r="F9" s="4751"/>
      <c r="G9" s="4751"/>
      <c r="H9" s="4751"/>
      <c r="I9" s="4751"/>
      <c r="J9" s="2308" t="s">
        <v>32</v>
      </c>
      <c r="K9" s="2308" t="s">
        <v>33</v>
      </c>
      <c r="L9" s="4751"/>
      <c r="M9" s="4751"/>
      <c r="N9" s="4751"/>
      <c r="O9" s="4751"/>
      <c r="P9" s="4813"/>
      <c r="Q9" s="4816"/>
      <c r="R9" s="4816"/>
      <c r="S9" s="4751"/>
      <c r="T9" s="2308" t="s">
        <v>34</v>
      </c>
      <c r="U9" s="18" t="s">
        <v>35</v>
      </c>
      <c r="V9" s="2310" t="s">
        <v>36</v>
      </c>
      <c r="W9" s="4751"/>
      <c r="X9" s="4751"/>
      <c r="Y9" s="4801" t="s">
        <v>37</v>
      </c>
      <c r="Z9" s="4802"/>
      <c r="AA9" s="4803" t="s">
        <v>38</v>
      </c>
      <c r="AB9" s="4804"/>
      <c r="AC9" s="4801" t="s">
        <v>39</v>
      </c>
      <c r="AD9" s="4802"/>
      <c r="AE9" s="4801" t="s">
        <v>40</v>
      </c>
      <c r="AF9" s="4802"/>
      <c r="AG9" s="4801" t="s">
        <v>110</v>
      </c>
      <c r="AH9" s="4802"/>
      <c r="AI9" s="4801" t="s">
        <v>42</v>
      </c>
      <c r="AJ9" s="4802"/>
      <c r="AK9" s="4777" t="s">
        <v>43</v>
      </c>
      <c r="AL9" s="4778"/>
      <c r="AM9" s="4777" t="s">
        <v>44</v>
      </c>
      <c r="AN9" s="4778"/>
      <c r="AO9" s="4777" t="s">
        <v>45</v>
      </c>
      <c r="AP9" s="4778"/>
      <c r="AQ9" s="4777" t="s">
        <v>46</v>
      </c>
      <c r="AR9" s="4778"/>
      <c r="AS9" s="4777" t="s">
        <v>47</v>
      </c>
      <c r="AT9" s="4778"/>
      <c r="AU9" s="4777" t="s">
        <v>48</v>
      </c>
      <c r="AV9" s="4778"/>
      <c r="AW9" s="4777" t="s">
        <v>49</v>
      </c>
      <c r="AX9" s="4778"/>
      <c r="AY9" s="4777" t="s">
        <v>50</v>
      </c>
      <c r="AZ9" s="4778"/>
      <c r="BA9" s="4777" t="s">
        <v>51</v>
      </c>
      <c r="BB9" s="4778"/>
      <c r="BC9" s="4809"/>
      <c r="BD9" s="4810"/>
      <c r="BE9" s="3049"/>
      <c r="BF9" s="4764"/>
      <c r="BG9" s="4764"/>
      <c r="BH9" s="4493"/>
      <c r="BI9" s="3049"/>
      <c r="BJ9" s="3051"/>
      <c r="BK9" s="4759"/>
      <c r="BL9" s="4760"/>
      <c r="BM9" s="4759"/>
      <c r="BN9" s="4760"/>
      <c r="BO9" s="4763"/>
    </row>
    <row r="10" spans="1:276" ht="15" x14ac:dyDescent="0.2">
      <c r="A10" s="2317">
        <v>3</v>
      </c>
      <c r="B10" s="2318" t="s">
        <v>836</v>
      </c>
      <c r="C10" s="2319"/>
      <c r="D10" s="2319"/>
      <c r="E10" s="2319"/>
      <c r="F10" s="2319"/>
      <c r="G10" s="2319"/>
      <c r="H10" s="2320"/>
      <c r="I10" s="2320"/>
      <c r="J10" s="2319"/>
      <c r="K10" s="2319"/>
      <c r="L10" s="2319"/>
      <c r="M10" s="2319"/>
      <c r="N10" s="2320"/>
      <c r="O10" s="2319"/>
      <c r="P10" s="2858"/>
      <c r="Q10" s="2320"/>
      <c r="R10" s="2320"/>
      <c r="S10" s="2320"/>
      <c r="T10" s="2319"/>
      <c r="U10" s="2319"/>
      <c r="V10" s="2321"/>
      <c r="W10" s="2321"/>
      <c r="X10" s="2320"/>
      <c r="Y10" s="2322" t="s">
        <v>32</v>
      </c>
      <c r="Z10" s="2322" t="s">
        <v>33</v>
      </c>
      <c r="AA10" s="2322" t="s">
        <v>32</v>
      </c>
      <c r="AB10" s="2322" t="s">
        <v>33</v>
      </c>
      <c r="AC10" s="2322" t="s">
        <v>32</v>
      </c>
      <c r="AD10" s="2322" t="s">
        <v>33</v>
      </c>
      <c r="AE10" s="2322" t="s">
        <v>32</v>
      </c>
      <c r="AF10" s="2322" t="s">
        <v>33</v>
      </c>
      <c r="AG10" s="2322" t="s">
        <v>32</v>
      </c>
      <c r="AH10" s="2322" t="s">
        <v>33</v>
      </c>
      <c r="AI10" s="2322" t="s">
        <v>32</v>
      </c>
      <c r="AJ10" s="2322" t="s">
        <v>33</v>
      </c>
      <c r="AK10" s="2322" t="s">
        <v>32</v>
      </c>
      <c r="AL10" s="2322" t="s">
        <v>33</v>
      </c>
      <c r="AM10" s="2322" t="s">
        <v>32</v>
      </c>
      <c r="AN10" s="2322" t="s">
        <v>33</v>
      </c>
      <c r="AO10" s="2322" t="s">
        <v>32</v>
      </c>
      <c r="AP10" s="2322" t="s">
        <v>33</v>
      </c>
      <c r="AQ10" s="2322" t="s">
        <v>32</v>
      </c>
      <c r="AR10" s="2322" t="s">
        <v>33</v>
      </c>
      <c r="AS10" s="2322" t="s">
        <v>32</v>
      </c>
      <c r="AT10" s="2322" t="s">
        <v>33</v>
      </c>
      <c r="AU10" s="2322" t="s">
        <v>32</v>
      </c>
      <c r="AV10" s="2322" t="s">
        <v>33</v>
      </c>
      <c r="AW10" s="2322" t="s">
        <v>32</v>
      </c>
      <c r="AX10" s="2322" t="s">
        <v>33</v>
      </c>
      <c r="AY10" s="2322" t="s">
        <v>32</v>
      </c>
      <c r="AZ10" s="2322" t="s">
        <v>33</v>
      </c>
      <c r="BA10" s="2322" t="s">
        <v>32</v>
      </c>
      <c r="BB10" s="2322" t="s">
        <v>33</v>
      </c>
      <c r="BC10" s="2322" t="s">
        <v>32</v>
      </c>
      <c r="BD10" s="2322" t="s">
        <v>33</v>
      </c>
      <c r="BE10" s="2323"/>
      <c r="BF10" s="2324"/>
      <c r="BG10" s="2324"/>
      <c r="BH10" s="2323"/>
      <c r="BI10" s="2323"/>
      <c r="BJ10" s="2323"/>
      <c r="BK10" s="148" t="s">
        <v>32</v>
      </c>
      <c r="BL10" s="148" t="s">
        <v>33</v>
      </c>
      <c r="BM10" s="148" t="s">
        <v>32</v>
      </c>
      <c r="BN10" s="148" t="s">
        <v>33</v>
      </c>
      <c r="BO10" s="148"/>
    </row>
    <row r="11" spans="1:276" ht="15" x14ac:dyDescent="0.2">
      <c r="A11" s="2325"/>
      <c r="B11" s="2326"/>
      <c r="C11" s="2327">
        <v>16</v>
      </c>
      <c r="D11" s="2328" t="s">
        <v>1563</v>
      </c>
      <c r="E11" s="2329"/>
      <c r="F11" s="2329"/>
      <c r="G11" s="2329"/>
      <c r="H11" s="2330"/>
      <c r="I11" s="2330"/>
      <c r="J11" s="2329"/>
      <c r="K11" s="2329"/>
      <c r="L11" s="2329"/>
      <c r="M11" s="2329"/>
      <c r="N11" s="2330"/>
      <c r="O11" s="2329"/>
      <c r="P11" s="2859"/>
      <c r="Q11" s="2330"/>
      <c r="R11" s="2330"/>
      <c r="S11" s="2330"/>
      <c r="T11" s="2329"/>
      <c r="U11" s="2329"/>
      <c r="V11" s="2331"/>
      <c r="W11" s="2331"/>
      <c r="X11" s="2330"/>
      <c r="Y11" s="2332"/>
      <c r="Z11" s="2332"/>
      <c r="AA11" s="2332"/>
      <c r="AB11" s="2332"/>
      <c r="AC11" s="2332"/>
      <c r="AD11" s="2332"/>
      <c r="AE11" s="2332"/>
      <c r="AF11" s="2332"/>
      <c r="AG11" s="2332"/>
      <c r="AH11" s="2332"/>
      <c r="AI11" s="2332"/>
      <c r="AJ11" s="2332"/>
      <c r="AK11" s="2332"/>
      <c r="AL11" s="2332"/>
      <c r="AM11" s="2332"/>
      <c r="AN11" s="2332"/>
      <c r="AO11" s="2332"/>
      <c r="AP11" s="2332"/>
      <c r="AQ11" s="2332"/>
      <c r="AR11" s="2332"/>
      <c r="AS11" s="2332"/>
      <c r="AT11" s="2332"/>
      <c r="AU11" s="2332"/>
      <c r="AV11" s="2332"/>
      <c r="AW11" s="2332"/>
      <c r="AX11" s="2332"/>
      <c r="AY11" s="2332"/>
      <c r="AZ11" s="2332"/>
      <c r="BA11" s="2332"/>
      <c r="BB11" s="2332"/>
      <c r="BC11" s="2332"/>
      <c r="BD11" s="2332"/>
      <c r="BE11" s="2329"/>
      <c r="BF11" s="2333"/>
      <c r="BG11" s="2333"/>
      <c r="BH11" s="2329"/>
      <c r="BI11" s="2329"/>
      <c r="BJ11" s="2329"/>
      <c r="BK11" s="2329"/>
      <c r="BL11" s="2329"/>
      <c r="BM11" s="2329"/>
      <c r="BN11" s="2329"/>
      <c r="BO11" s="2334"/>
    </row>
    <row r="12" spans="1:276" ht="15" x14ac:dyDescent="0.2">
      <c r="A12" s="2325"/>
      <c r="B12" s="2326"/>
      <c r="C12" s="2335"/>
      <c r="D12" s="2326"/>
      <c r="E12" s="2336">
        <v>56</v>
      </c>
      <c r="F12" s="2337" t="s">
        <v>2094</v>
      </c>
      <c r="G12" s="2338"/>
      <c r="H12" s="1111"/>
      <c r="I12" s="1111"/>
      <c r="J12" s="2338"/>
      <c r="K12" s="2338"/>
      <c r="L12" s="2338"/>
      <c r="M12" s="2338"/>
      <c r="N12" s="1111"/>
      <c r="O12" s="2338"/>
      <c r="P12" s="2369"/>
      <c r="Q12" s="1111"/>
      <c r="R12" s="1111"/>
      <c r="S12" s="1111"/>
      <c r="T12" s="2338"/>
      <c r="U12" s="2338"/>
      <c r="V12" s="1110"/>
      <c r="W12" s="1110"/>
      <c r="X12" s="1111"/>
      <c r="Y12" s="2339"/>
      <c r="Z12" s="2339"/>
      <c r="AA12" s="2339"/>
      <c r="AB12" s="2339"/>
      <c r="AC12" s="2339"/>
      <c r="AD12" s="2339"/>
      <c r="AE12" s="2339"/>
      <c r="AF12" s="2339"/>
      <c r="AG12" s="2339"/>
      <c r="AH12" s="2339"/>
      <c r="AI12" s="2339"/>
      <c r="AJ12" s="2339"/>
      <c r="AK12" s="2339"/>
      <c r="AL12" s="2339"/>
      <c r="AM12" s="2339"/>
      <c r="AN12" s="2339"/>
      <c r="AO12" s="2339"/>
      <c r="AP12" s="2339"/>
      <c r="AQ12" s="2339"/>
      <c r="AR12" s="2339"/>
      <c r="AS12" s="2339"/>
      <c r="AT12" s="2339"/>
      <c r="AU12" s="2339"/>
      <c r="AV12" s="2339"/>
      <c r="AW12" s="2339"/>
      <c r="AX12" s="2339"/>
      <c r="AY12" s="2339"/>
      <c r="AZ12" s="2339"/>
      <c r="BA12" s="2339"/>
      <c r="BB12" s="2339"/>
      <c r="BC12" s="2339"/>
      <c r="BD12" s="2339"/>
      <c r="BE12" s="2338"/>
      <c r="BF12" s="2340"/>
      <c r="BG12" s="2340"/>
      <c r="BH12" s="2338"/>
      <c r="BI12" s="2338"/>
      <c r="BJ12" s="2338"/>
      <c r="BK12" s="2338"/>
      <c r="BL12" s="2338"/>
      <c r="BM12" s="2338"/>
      <c r="BN12" s="2338"/>
      <c r="BO12" s="1219"/>
    </row>
    <row r="13" spans="1:276" ht="48.75" customHeight="1" x14ac:dyDescent="0.2">
      <c r="A13" s="2325"/>
      <c r="B13" s="2326"/>
      <c r="C13" s="2335"/>
      <c r="D13" s="2326"/>
      <c r="E13" s="4779"/>
      <c r="F13" s="4780"/>
      <c r="G13" s="4785">
        <v>180</v>
      </c>
      <c r="H13" s="4788" t="s">
        <v>2095</v>
      </c>
      <c r="I13" s="4791" t="s">
        <v>2096</v>
      </c>
      <c r="J13" s="4794">
        <v>1</v>
      </c>
      <c r="K13" s="4797">
        <v>0.8</v>
      </c>
      <c r="L13" s="4798" t="s">
        <v>2097</v>
      </c>
      <c r="M13" s="4817" t="s">
        <v>2098</v>
      </c>
      <c r="N13" s="4789" t="s">
        <v>2099</v>
      </c>
      <c r="O13" s="4820">
        <f>SUM(T13:T16)/P13</f>
        <v>0.65509862607338021</v>
      </c>
      <c r="P13" s="4823">
        <f>SUM(T13:T20)</f>
        <v>64050000</v>
      </c>
      <c r="Q13" s="4788" t="s">
        <v>2100</v>
      </c>
      <c r="R13" s="4825" t="s">
        <v>2101</v>
      </c>
      <c r="S13" s="2341" t="s">
        <v>2102</v>
      </c>
      <c r="T13" s="2342">
        <v>22823800</v>
      </c>
      <c r="U13" s="2342">
        <v>21686275</v>
      </c>
      <c r="V13" s="2342">
        <v>6405000</v>
      </c>
      <c r="W13" s="2343" t="s">
        <v>2103</v>
      </c>
      <c r="X13" s="2343" t="s">
        <v>251</v>
      </c>
      <c r="Y13" s="4831">
        <v>1813</v>
      </c>
      <c r="Z13" s="4831">
        <v>550</v>
      </c>
      <c r="AA13" s="4831">
        <v>1887</v>
      </c>
      <c r="AB13" s="4831">
        <v>385</v>
      </c>
      <c r="AC13" s="4828">
        <v>2000</v>
      </c>
      <c r="AD13" s="4828">
        <f>167+51</f>
        <v>218</v>
      </c>
      <c r="AE13" s="4828">
        <v>700</v>
      </c>
      <c r="AF13" s="4828"/>
      <c r="AG13" s="4828">
        <v>1000</v>
      </c>
      <c r="AH13" s="4828">
        <f>635+82</f>
        <v>717</v>
      </c>
      <c r="AI13" s="4828"/>
      <c r="AJ13" s="2344"/>
      <c r="AK13" s="4828"/>
      <c r="AL13" s="2344"/>
      <c r="AM13" s="4828"/>
      <c r="AN13" s="2344"/>
      <c r="AO13" s="4828"/>
      <c r="AP13" s="2344"/>
      <c r="AQ13" s="4828"/>
      <c r="AR13" s="2344"/>
      <c r="AS13" s="4828"/>
      <c r="AT13" s="2344"/>
      <c r="AU13" s="4828"/>
      <c r="AV13" s="2344"/>
      <c r="AW13" s="4828"/>
      <c r="AX13" s="2344"/>
      <c r="AY13" s="4828"/>
      <c r="AZ13" s="2344"/>
      <c r="BA13" s="4828"/>
      <c r="BB13" s="2344"/>
      <c r="BC13" s="4828">
        <f>+AC13+AE13+AG13</f>
        <v>3700</v>
      </c>
      <c r="BD13" s="4828">
        <f>+Z13+AB13</f>
        <v>935</v>
      </c>
      <c r="BE13" s="4828">
        <v>5</v>
      </c>
      <c r="BF13" s="4834">
        <f>SUM(U13:U20)</f>
        <v>62912475</v>
      </c>
      <c r="BG13" s="4834">
        <f>SUM(V13:V20)</f>
        <v>29394000</v>
      </c>
      <c r="BH13" s="4850">
        <f>+BG13/BF13</f>
        <v>0.46722053138109731</v>
      </c>
      <c r="BI13" s="4828" t="s">
        <v>668</v>
      </c>
      <c r="BJ13" s="4794" t="s">
        <v>2104</v>
      </c>
      <c r="BK13" s="4843">
        <v>43467</v>
      </c>
      <c r="BL13" s="4843">
        <v>43467</v>
      </c>
      <c r="BM13" s="4843">
        <v>43809</v>
      </c>
      <c r="BN13" s="4845">
        <v>43809</v>
      </c>
      <c r="BO13" s="4825" t="s">
        <v>2105</v>
      </c>
    </row>
    <row r="14" spans="1:276" ht="51.75" customHeight="1" x14ac:dyDescent="0.2">
      <c r="A14" s="2325"/>
      <c r="B14" s="2326"/>
      <c r="C14" s="2335"/>
      <c r="D14" s="2326"/>
      <c r="E14" s="4781"/>
      <c r="F14" s="4782"/>
      <c r="G14" s="4786"/>
      <c r="H14" s="4789"/>
      <c r="I14" s="4792"/>
      <c r="J14" s="4795"/>
      <c r="K14" s="4797"/>
      <c r="L14" s="4799"/>
      <c r="M14" s="4818"/>
      <c r="N14" s="4789"/>
      <c r="O14" s="4821"/>
      <c r="P14" s="4823"/>
      <c r="Q14" s="4789"/>
      <c r="R14" s="4826"/>
      <c r="S14" s="2345" t="s">
        <v>2106</v>
      </c>
      <c r="T14" s="2342">
        <v>3500000</v>
      </c>
      <c r="U14" s="2342">
        <v>3500000</v>
      </c>
      <c r="V14" s="2342">
        <v>2804545.4545454546</v>
      </c>
      <c r="W14" s="2343" t="s">
        <v>2103</v>
      </c>
      <c r="X14" s="2343" t="s">
        <v>251</v>
      </c>
      <c r="Y14" s="4832"/>
      <c r="Z14" s="4832"/>
      <c r="AA14" s="4832"/>
      <c r="AB14" s="4832"/>
      <c r="AC14" s="4829"/>
      <c r="AD14" s="4829"/>
      <c r="AE14" s="4829"/>
      <c r="AF14" s="4829"/>
      <c r="AG14" s="4829"/>
      <c r="AH14" s="4829"/>
      <c r="AI14" s="4829"/>
      <c r="AJ14" s="2346"/>
      <c r="AK14" s="4829"/>
      <c r="AL14" s="2346"/>
      <c r="AM14" s="4829"/>
      <c r="AN14" s="2346"/>
      <c r="AO14" s="4829"/>
      <c r="AP14" s="2346"/>
      <c r="AQ14" s="4829"/>
      <c r="AR14" s="2346"/>
      <c r="AS14" s="4829"/>
      <c r="AT14" s="2346"/>
      <c r="AU14" s="4829"/>
      <c r="AV14" s="2346"/>
      <c r="AW14" s="4829"/>
      <c r="AX14" s="2346"/>
      <c r="AY14" s="4829"/>
      <c r="AZ14" s="2346"/>
      <c r="BA14" s="4829"/>
      <c r="BB14" s="2346"/>
      <c r="BC14" s="4829"/>
      <c r="BD14" s="4829"/>
      <c r="BE14" s="4829"/>
      <c r="BF14" s="4835"/>
      <c r="BG14" s="4835"/>
      <c r="BH14" s="4851"/>
      <c r="BI14" s="4829"/>
      <c r="BJ14" s="4795"/>
      <c r="BK14" s="4843"/>
      <c r="BL14" s="4843"/>
      <c r="BM14" s="4843"/>
      <c r="BN14" s="4846"/>
      <c r="BO14" s="4826"/>
    </row>
    <row r="15" spans="1:276" ht="63.75" customHeight="1" x14ac:dyDescent="0.2">
      <c r="A15" s="2325"/>
      <c r="B15" s="2326"/>
      <c r="C15" s="2335"/>
      <c r="D15" s="2326"/>
      <c r="E15" s="4781"/>
      <c r="F15" s="4782"/>
      <c r="G15" s="4786"/>
      <c r="H15" s="4789"/>
      <c r="I15" s="4792"/>
      <c r="J15" s="4795"/>
      <c r="K15" s="4797"/>
      <c r="L15" s="4799"/>
      <c r="M15" s="4818"/>
      <c r="N15" s="4789"/>
      <c r="O15" s="4821"/>
      <c r="P15" s="4823"/>
      <c r="Q15" s="4789"/>
      <c r="R15" s="4826"/>
      <c r="S15" s="2347" t="s">
        <v>2107</v>
      </c>
      <c r="T15" s="2342">
        <v>4280000</v>
      </c>
      <c r="U15" s="2342">
        <v>4280000</v>
      </c>
      <c r="V15" s="2342">
        <v>2518181.8181818184</v>
      </c>
      <c r="W15" s="2343" t="s">
        <v>2103</v>
      </c>
      <c r="X15" s="2343" t="s">
        <v>251</v>
      </c>
      <c r="Y15" s="4832"/>
      <c r="Z15" s="4832"/>
      <c r="AA15" s="4832"/>
      <c r="AB15" s="4832"/>
      <c r="AC15" s="4829"/>
      <c r="AD15" s="4829"/>
      <c r="AE15" s="4829"/>
      <c r="AF15" s="4829"/>
      <c r="AG15" s="4829"/>
      <c r="AH15" s="4829"/>
      <c r="AI15" s="4829"/>
      <c r="AJ15" s="2346"/>
      <c r="AK15" s="4829"/>
      <c r="AL15" s="2346"/>
      <c r="AM15" s="4829"/>
      <c r="AN15" s="2346"/>
      <c r="AO15" s="4829"/>
      <c r="AP15" s="2346"/>
      <c r="AQ15" s="4829"/>
      <c r="AR15" s="2346"/>
      <c r="AS15" s="4829"/>
      <c r="AT15" s="2346"/>
      <c r="AU15" s="4829"/>
      <c r="AV15" s="2346"/>
      <c r="AW15" s="4829"/>
      <c r="AX15" s="2346"/>
      <c r="AY15" s="4829"/>
      <c r="AZ15" s="2346"/>
      <c r="BA15" s="4829"/>
      <c r="BB15" s="2346"/>
      <c r="BC15" s="4829"/>
      <c r="BD15" s="4829"/>
      <c r="BE15" s="4829"/>
      <c r="BF15" s="4835"/>
      <c r="BG15" s="4835"/>
      <c r="BH15" s="4851"/>
      <c r="BI15" s="4829"/>
      <c r="BJ15" s="4795"/>
      <c r="BK15" s="4843"/>
      <c r="BL15" s="4843"/>
      <c r="BM15" s="4843"/>
      <c r="BN15" s="4846"/>
      <c r="BO15" s="4826"/>
    </row>
    <row r="16" spans="1:276" ht="66" customHeight="1" x14ac:dyDescent="0.2">
      <c r="A16" s="2325"/>
      <c r="B16" s="2326"/>
      <c r="C16" s="2335"/>
      <c r="D16" s="2326"/>
      <c r="E16" s="4781"/>
      <c r="F16" s="4782"/>
      <c r="G16" s="4787"/>
      <c r="H16" s="4790"/>
      <c r="I16" s="4793"/>
      <c r="J16" s="4796"/>
      <c r="K16" s="4797"/>
      <c r="L16" s="4799"/>
      <c r="M16" s="4818"/>
      <c r="N16" s="4789"/>
      <c r="O16" s="4822"/>
      <c r="P16" s="4823"/>
      <c r="Q16" s="4789"/>
      <c r="R16" s="4827"/>
      <c r="S16" s="2347" t="s">
        <v>2108</v>
      </c>
      <c r="T16" s="2342">
        <v>11355267</v>
      </c>
      <c r="U16" s="2342">
        <v>11355267</v>
      </c>
      <c r="V16" s="2342">
        <v>3121651.5909090908</v>
      </c>
      <c r="W16" s="2343" t="s">
        <v>2103</v>
      </c>
      <c r="X16" s="2343" t="s">
        <v>251</v>
      </c>
      <c r="Y16" s="4832"/>
      <c r="Z16" s="4832"/>
      <c r="AA16" s="4832"/>
      <c r="AB16" s="4832"/>
      <c r="AC16" s="4829"/>
      <c r="AD16" s="4829"/>
      <c r="AE16" s="4829"/>
      <c r="AF16" s="4829"/>
      <c r="AG16" s="4829"/>
      <c r="AH16" s="4829"/>
      <c r="AI16" s="4829"/>
      <c r="AJ16" s="2346"/>
      <c r="AK16" s="4829"/>
      <c r="AL16" s="2346"/>
      <c r="AM16" s="4829"/>
      <c r="AN16" s="2346"/>
      <c r="AO16" s="4829"/>
      <c r="AP16" s="2346"/>
      <c r="AQ16" s="4829"/>
      <c r="AR16" s="2346"/>
      <c r="AS16" s="4829"/>
      <c r="AT16" s="2346"/>
      <c r="AU16" s="4829"/>
      <c r="AV16" s="2346"/>
      <c r="AW16" s="4829"/>
      <c r="AX16" s="2346"/>
      <c r="AY16" s="4829"/>
      <c r="AZ16" s="2346"/>
      <c r="BA16" s="4829"/>
      <c r="BB16" s="2346"/>
      <c r="BC16" s="4829"/>
      <c r="BD16" s="4829"/>
      <c r="BE16" s="4829"/>
      <c r="BF16" s="4835"/>
      <c r="BG16" s="4835"/>
      <c r="BH16" s="4851"/>
      <c r="BI16" s="4829"/>
      <c r="BJ16" s="4795"/>
      <c r="BK16" s="4843"/>
      <c r="BL16" s="4843"/>
      <c r="BM16" s="4843"/>
      <c r="BN16" s="4846"/>
      <c r="BO16" s="4826"/>
    </row>
    <row r="17" spans="1:67" ht="66" customHeight="1" x14ac:dyDescent="0.2">
      <c r="A17" s="2325"/>
      <c r="B17" s="2326"/>
      <c r="C17" s="2335"/>
      <c r="D17" s="2326"/>
      <c r="E17" s="4781"/>
      <c r="F17" s="4782"/>
      <c r="G17" s="4785">
        <v>181</v>
      </c>
      <c r="H17" s="4788" t="s">
        <v>2109</v>
      </c>
      <c r="I17" s="4791" t="s">
        <v>2110</v>
      </c>
      <c r="J17" s="4794">
        <v>6</v>
      </c>
      <c r="K17" s="4847">
        <v>6</v>
      </c>
      <c r="L17" s="4799"/>
      <c r="M17" s="4818"/>
      <c r="N17" s="4789"/>
      <c r="O17" s="4820">
        <f>SUM(T17:T20)/P13</f>
        <v>0.34490137392661985</v>
      </c>
      <c r="P17" s="4823"/>
      <c r="Q17" s="4789"/>
      <c r="R17" s="4825" t="s">
        <v>2111</v>
      </c>
      <c r="S17" s="2341" t="s">
        <v>2112</v>
      </c>
      <c r="T17" s="2342">
        <v>4876933</v>
      </c>
      <c r="U17" s="2342">
        <v>4876933</v>
      </c>
      <c r="V17" s="2342">
        <v>3931121.1363636362</v>
      </c>
      <c r="W17" s="2343" t="s">
        <v>2103</v>
      </c>
      <c r="X17" s="2343" t="s">
        <v>251</v>
      </c>
      <c r="Y17" s="4832"/>
      <c r="Z17" s="4832"/>
      <c r="AA17" s="4832"/>
      <c r="AB17" s="4832"/>
      <c r="AC17" s="4829"/>
      <c r="AD17" s="4829"/>
      <c r="AE17" s="4829"/>
      <c r="AF17" s="4829"/>
      <c r="AG17" s="4829"/>
      <c r="AH17" s="4829"/>
      <c r="AI17" s="4829"/>
      <c r="AJ17" s="2346"/>
      <c r="AK17" s="4829"/>
      <c r="AL17" s="2346"/>
      <c r="AM17" s="4829"/>
      <c r="AN17" s="2346"/>
      <c r="AO17" s="4829"/>
      <c r="AP17" s="2346"/>
      <c r="AQ17" s="4829"/>
      <c r="AR17" s="2346"/>
      <c r="AS17" s="4829"/>
      <c r="AT17" s="2346"/>
      <c r="AU17" s="4829"/>
      <c r="AV17" s="2346"/>
      <c r="AW17" s="4829"/>
      <c r="AX17" s="2346"/>
      <c r="AY17" s="4829"/>
      <c r="AZ17" s="2346"/>
      <c r="BA17" s="4829"/>
      <c r="BB17" s="2346"/>
      <c r="BC17" s="4829"/>
      <c r="BD17" s="4829"/>
      <c r="BE17" s="4829"/>
      <c r="BF17" s="4835"/>
      <c r="BG17" s="4835"/>
      <c r="BH17" s="4851"/>
      <c r="BI17" s="4829"/>
      <c r="BJ17" s="4795"/>
      <c r="BK17" s="4843"/>
      <c r="BL17" s="4843"/>
      <c r="BM17" s="4843"/>
      <c r="BN17" s="4846"/>
      <c r="BO17" s="4826"/>
    </row>
    <row r="18" spans="1:67" ht="72" customHeight="1" x14ac:dyDescent="0.2">
      <c r="A18" s="2325"/>
      <c r="B18" s="2326"/>
      <c r="C18" s="2335"/>
      <c r="D18" s="2326"/>
      <c r="E18" s="4781"/>
      <c r="F18" s="4782"/>
      <c r="G18" s="4786"/>
      <c r="H18" s="4789"/>
      <c r="I18" s="4792"/>
      <c r="J18" s="4795"/>
      <c r="K18" s="4848"/>
      <c r="L18" s="4799"/>
      <c r="M18" s="4818"/>
      <c r="N18" s="4789"/>
      <c r="O18" s="4821"/>
      <c r="P18" s="4823"/>
      <c r="Q18" s="4789"/>
      <c r="R18" s="4826"/>
      <c r="S18" s="2341" t="s">
        <v>2113</v>
      </c>
      <c r="T18" s="2342">
        <v>6500000</v>
      </c>
      <c r="U18" s="2342">
        <v>6500000</v>
      </c>
      <c r="V18" s="2342">
        <v>4590909.0909090908</v>
      </c>
      <c r="W18" s="2343" t="s">
        <v>2103</v>
      </c>
      <c r="X18" s="2343" t="s">
        <v>251</v>
      </c>
      <c r="Y18" s="4832"/>
      <c r="Z18" s="4832"/>
      <c r="AA18" s="4832"/>
      <c r="AB18" s="4832"/>
      <c r="AC18" s="4829"/>
      <c r="AD18" s="4829"/>
      <c r="AE18" s="4829"/>
      <c r="AF18" s="4829"/>
      <c r="AG18" s="4829"/>
      <c r="AH18" s="4829"/>
      <c r="AI18" s="4829"/>
      <c r="AJ18" s="2346"/>
      <c r="AK18" s="4829"/>
      <c r="AL18" s="2346"/>
      <c r="AM18" s="4829"/>
      <c r="AN18" s="2346"/>
      <c r="AO18" s="4829"/>
      <c r="AP18" s="2346"/>
      <c r="AQ18" s="4829"/>
      <c r="AR18" s="2346"/>
      <c r="AS18" s="4829"/>
      <c r="AT18" s="2346"/>
      <c r="AU18" s="4829"/>
      <c r="AV18" s="2346"/>
      <c r="AW18" s="4829"/>
      <c r="AX18" s="2346"/>
      <c r="AY18" s="4829"/>
      <c r="AZ18" s="2346"/>
      <c r="BA18" s="4829"/>
      <c r="BB18" s="2346"/>
      <c r="BC18" s="4829"/>
      <c r="BD18" s="4829"/>
      <c r="BE18" s="4829"/>
      <c r="BF18" s="4835"/>
      <c r="BG18" s="4835"/>
      <c r="BH18" s="4851"/>
      <c r="BI18" s="4829"/>
      <c r="BJ18" s="4795"/>
      <c r="BK18" s="4843"/>
      <c r="BL18" s="4843"/>
      <c r="BM18" s="4843"/>
      <c r="BN18" s="4846"/>
      <c r="BO18" s="4826"/>
    </row>
    <row r="19" spans="1:67" ht="66" customHeight="1" x14ac:dyDescent="0.2">
      <c r="A19" s="2325"/>
      <c r="B19" s="2326"/>
      <c r="C19" s="2335"/>
      <c r="D19" s="2326"/>
      <c r="E19" s="4781"/>
      <c r="F19" s="4782"/>
      <c r="G19" s="4786"/>
      <c r="H19" s="4789"/>
      <c r="I19" s="4792"/>
      <c r="J19" s="4795"/>
      <c r="K19" s="4848"/>
      <c r="L19" s="4799"/>
      <c r="M19" s="4818"/>
      <c r="N19" s="4789"/>
      <c r="O19" s="4821"/>
      <c r="P19" s="4823"/>
      <c r="Q19" s="4789"/>
      <c r="R19" s="4826"/>
      <c r="S19" s="2341" t="s">
        <v>2114</v>
      </c>
      <c r="T19" s="2342">
        <v>6250000</v>
      </c>
      <c r="U19" s="2342">
        <v>6250000</v>
      </c>
      <c r="V19" s="2342">
        <v>2625000</v>
      </c>
      <c r="W19" s="2343" t="s">
        <v>2103</v>
      </c>
      <c r="X19" s="2343" t="s">
        <v>251</v>
      </c>
      <c r="Y19" s="4832"/>
      <c r="Z19" s="4832"/>
      <c r="AA19" s="4832"/>
      <c r="AB19" s="4832"/>
      <c r="AC19" s="4829"/>
      <c r="AD19" s="4829"/>
      <c r="AE19" s="4829"/>
      <c r="AF19" s="4829"/>
      <c r="AG19" s="4829"/>
      <c r="AH19" s="4829"/>
      <c r="AI19" s="4829"/>
      <c r="AJ19" s="2346"/>
      <c r="AK19" s="4829"/>
      <c r="AL19" s="2346"/>
      <c r="AM19" s="4829"/>
      <c r="AN19" s="2346"/>
      <c r="AO19" s="4829"/>
      <c r="AP19" s="2346"/>
      <c r="AQ19" s="4829"/>
      <c r="AR19" s="2346"/>
      <c r="AS19" s="4829"/>
      <c r="AT19" s="2346"/>
      <c r="AU19" s="4829"/>
      <c r="AV19" s="2346"/>
      <c r="AW19" s="4829"/>
      <c r="AX19" s="2346"/>
      <c r="AY19" s="4829"/>
      <c r="AZ19" s="2346"/>
      <c r="BA19" s="4829"/>
      <c r="BB19" s="2346"/>
      <c r="BC19" s="4829"/>
      <c r="BD19" s="4829"/>
      <c r="BE19" s="4829"/>
      <c r="BF19" s="4835"/>
      <c r="BG19" s="4835"/>
      <c r="BH19" s="4851"/>
      <c r="BI19" s="4829"/>
      <c r="BJ19" s="4795"/>
      <c r="BK19" s="4843"/>
      <c r="BL19" s="4843"/>
      <c r="BM19" s="4843"/>
      <c r="BN19" s="4846"/>
      <c r="BO19" s="4826"/>
    </row>
    <row r="20" spans="1:67" ht="57.75" customHeight="1" x14ac:dyDescent="0.2">
      <c r="A20" s="2325"/>
      <c r="B20" s="2326"/>
      <c r="C20" s="2348"/>
      <c r="D20" s="2349"/>
      <c r="E20" s="4783"/>
      <c r="F20" s="4784"/>
      <c r="G20" s="4787"/>
      <c r="H20" s="4790"/>
      <c r="I20" s="4793"/>
      <c r="J20" s="4796"/>
      <c r="K20" s="4849"/>
      <c r="L20" s="4800"/>
      <c r="M20" s="4819"/>
      <c r="N20" s="4790"/>
      <c r="O20" s="4822"/>
      <c r="P20" s="4824"/>
      <c r="Q20" s="4790"/>
      <c r="R20" s="4827"/>
      <c r="S20" s="2345" t="s">
        <v>2115</v>
      </c>
      <c r="T20" s="2350">
        <v>4464000</v>
      </c>
      <c r="U20" s="2342">
        <v>4464000</v>
      </c>
      <c r="V20" s="2342">
        <v>3397590.9090909092</v>
      </c>
      <c r="W20" s="2343" t="s">
        <v>2103</v>
      </c>
      <c r="X20" s="2343" t="s">
        <v>251</v>
      </c>
      <c r="Y20" s="4833"/>
      <c r="Z20" s="4833"/>
      <c r="AA20" s="4833"/>
      <c r="AB20" s="4833"/>
      <c r="AC20" s="4830"/>
      <c r="AD20" s="4830"/>
      <c r="AE20" s="4830"/>
      <c r="AF20" s="4830"/>
      <c r="AG20" s="4830"/>
      <c r="AH20" s="4830"/>
      <c r="AI20" s="4830"/>
      <c r="AJ20" s="2351"/>
      <c r="AK20" s="4830"/>
      <c r="AL20" s="2351"/>
      <c r="AM20" s="4830"/>
      <c r="AN20" s="2351"/>
      <c r="AO20" s="4830"/>
      <c r="AP20" s="2351"/>
      <c r="AQ20" s="4830"/>
      <c r="AR20" s="2351"/>
      <c r="AS20" s="4830"/>
      <c r="AT20" s="2351"/>
      <c r="AU20" s="4830"/>
      <c r="AV20" s="2351"/>
      <c r="AW20" s="4830"/>
      <c r="AX20" s="2351"/>
      <c r="AY20" s="4830"/>
      <c r="AZ20" s="2351"/>
      <c r="BA20" s="4830"/>
      <c r="BB20" s="2351"/>
      <c r="BC20" s="4830"/>
      <c r="BD20" s="4830"/>
      <c r="BE20" s="4830"/>
      <c r="BF20" s="4823"/>
      <c r="BG20" s="4823"/>
      <c r="BH20" s="4852"/>
      <c r="BI20" s="4830"/>
      <c r="BJ20" s="4796"/>
      <c r="BK20" s="4844"/>
      <c r="BL20" s="4844"/>
      <c r="BM20" s="4844"/>
      <c r="BN20" s="4843"/>
      <c r="BO20" s="4827"/>
    </row>
    <row r="21" spans="1:67" ht="15" x14ac:dyDescent="0.2">
      <c r="A21" s="2325"/>
      <c r="B21" s="2326"/>
      <c r="C21" s="2327">
        <v>17</v>
      </c>
      <c r="D21" s="2352" t="s">
        <v>2116</v>
      </c>
      <c r="E21" s="2353"/>
      <c r="F21" s="2353"/>
      <c r="G21" s="2353"/>
      <c r="H21" s="2354"/>
      <c r="I21" s="2354"/>
      <c r="J21" s="2353"/>
      <c r="K21" s="2355"/>
      <c r="L21" s="2353"/>
      <c r="M21" s="2353"/>
      <c r="N21" s="1443"/>
      <c r="O21" s="2353"/>
      <c r="P21" s="2356"/>
      <c r="Q21" s="2354"/>
      <c r="R21" s="2354"/>
      <c r="S21" s="2354"/>
      <c r="T21" s="2356"/>
      <c r="U21" s="2356"/>
      <c r="V21" s="2357"/>
      <c r="W21" s="1444"/>
      <c r="X21" s="1443"/>
      <c r="Y21" s="1443"/>
      <c r="Z21" s="1443"/>
      <c r="AA21" s="1443"/>
      <c r="AB21" s="1443"/>
      <c r="AC21" s="1443"/>
      <c r="AD21" s="1443"/>
      <c r="AE21" s="1443"/>
      <c r="AF21" s="1443"/>
      <c r="AG21" s="1443"/>
      <c r="AH21" s="1443"/>
      <c r="AI21" s="1443"/>
      <c r="AJ21" s="1443"/>
      <c r="AK21" s="1443"/>
      <c r="AL21" s="1443"/>
      <c r="AM21" s="1443"/>
      <c r="AN21" s="1443"/>
      <c r="AO21" s="1443"/>
      <c r="AP21" s="1443"/>
      <c r="AQ21" s="1443"/>
      <c r="AR21" s="1443"/>
      <c r="AS21" s="1443"/>
      <c r="AT21" s="1443"/>
      <c r="AU21" s="1443"/>
      <c r="AV21" s="1443"/>
      <c r="AW21" s="1443"/>
      <c r="AX21" s="1443"/>
      <c r="AY21" s="1443"/>
      <c r="AZ21" s="1443"/>
      <c r="BA21" s="1443"/>
      <c r="BB21" s="1443"/>
      <c r="BC21" s="1443"/>
      <c r="BD21" s="1443"/>
      <c r="BE21" s="2353"/>
      <c r="BF21" s="2356"/>
      <c r="BG21" s="2356"/>
      <c r="BH21" s="2353"/>
      <c r="BI21" s="2353"/>
      <c r="BJ21" s="2353"/>
      <c r="BK21" s="2353"/>
      <c r="BL21" s="2353"/>
      <c r="BM21" s="2353"/>
      <c r="BN21" s="2353"/>
      <c r="BO21" s="2358"/>
    </row>
    <row r="22" spans="1:67" ht="15" x14ac:dyDescent="0.2">
      <c r="A22" s="2325"/>
      <c r="B22" s="2326"/>
      <c r="C22" s="2359"/>
      <c r="D22" s="2360"/>
      <c r="E22" s="2336">
        <v>58</v>
      </c>
      <c r="F22" s="2337" t="s">
        <v>2117</v>
      </c>
      <c r="G22" s="2338"/>
      <c r="H22" s="2361"/>
      <c r="I22" s="2361"/>
      <c r="J22" s="2338"/>
      <c r="K22" s="2362"/>
      <c r="L22" s="2338"/>
      <c r="M22" s="2338"/>
      <c r="N22" s="1111"/>
      <c r="O22" s="2338"/>
      <c r="P22" s="2369"/>
      <c r="Q22" s="2361"/>
      <c r="R22" s="2361"/>
      <c r="S22" s="2363"/>
      <c r="T22" s="2364"/>
      <c r="U22" s="2364"/>
      <c r="V22" s="2365"/>
      <c r="W22" s="2366"/>
      <c r="X22" s="2367"/>
      <c r="Y22" s="2368"/>
      <c r="Z22" s="2368"/>
      <c r="AA22" s="2368"/>
      <c r="AB22" s="2368"/>
      <c r="AC22" s="2368"/>
      <c r="AD22" s="2368"/>
      <c r="AE22" s="2368"/>
      <c r="AF22" s="2368"/>
      <c r="AG22" s="2368"/>
      <c r="AH22" s="2368"/>
      <c r="AI22" s="2368"/>
      <c r="AJ22" s="2368"/>
      <c r="AK22" s="2368"/>
      <c r="AL22" s="2368"/>
      <c r="AM22" s="2368"/>
      <c r="AN22" s="2368"/>
      <c r="AO22" s="2368"/>
      <c r="AP22" s="2368"/>
      <c r="AQ22" s="2368"/>
      <c r="AR22" s="2368"/>
      <c r="AS22" s="2368"/>
      <c r="AT22" s="2368"/>
      <c r="AU22" s="2368"/>
      <c r="AV22" s="2368"/>
      <c r="AW22" s="2368"/>
      <c r="AX22" s="2368"/>
      <c r="AY22" s="2368"/>
      <c r="AZ22" s="2368"/>
      <c r="BA22" s="2368"/>
      <c r="BB22" s="2368"/>
      <c r="BC22" s="2368"/>
      <c r="BD22" s="2367"/>
      <c r="BE22" s="2338"/>
      <c r="BF22" s="2369"/>
      <c r="BG22" s="2369"/>
      <c r="BH22" s="2338"/>
      <c r="BI22" s="2338"/>
      <c r="BJ22" s="2338"/>
      <c r="BK22" s="2338"/>
      <c r="BL22" s="2338"/>
      <c r="BM22" s="2338"/>
      <c r="BN22" s="2338"/>
      <c r="BO22" s="1219"/>
    </row>
    <row r="23" spans="1:67" ht="51.75" customHeight="1" x14ac:dyDescent="0.2">
      <c r="A23" s="2325"/>
      <c r="B23" s="2326"/>
      <c r="C23" s="2359"/>
      <c r="D23" s="2360"/>
      <c r="E23" s="2370"/>
      <c r="F23" s="2371"/>
      <c r="G23" s="4836">
        <v>183</v>
      </c>
      <c r="H23" s="4837" t="s">
        <v>2118</v>
      </c>
      <c r="I23" s="4837" t="s">
        <v>2119</v>
      </c>
      <c r="J23" s="4838">
        <v>1</v>
      </c>
      <c r="K23" s="4840">
        <v>0.75</v>
      </c>
      <c r="L23" s="4798" t="s">
        <v>2120</v>
      </c>
      <c r="M23" s="4818" t="s">
        <v>2121</v>
      </c>
      <c r="N23" s="4789" t="s">
        <v>2122</v>
      </c>
      <c r="O23" s="4821">
        <f>SUM(T23:T29)/P23</f>
        <v>1</v>
      </c>
      <c r="P23" s="4823">
        <f>SUM(T23:T29)</f>
        <v>178850000</v>
      </c>
      <c r="Q23" s="4789" t="s">
        <v>2123</v>
      </c>
      <c r="R23" s="4857" t="s">
        <v>2124</v>
      </c>
      <c r="S23" s="2341" t="s">
        <v>2125</v>
      </c>
      <c r="T23" s="2350">
        <v>18590000</v>
      </c>
      <c r="U23" s="2350">
        <v>18590000</v>
      </c>
      <c r="V23" s="2350">
        <v>18590000</v>
      </c>
      <c r="W23" s="2372">
        <v>20</v>
      </c>
      <c r="X23" s="2372" t="s">
        <v>124</v>
      </c>
      <c r="Y23" s="4853">
        <v>3625</v>
      </c>
      <c r="Z23" s="4854">
        <v>185</v>
      </c>
      <c r="AA23" s="4855">
        <v>3875</v>
      </c>
      <c r="AB23" s="4854">
        <v>68</v>
      </c>
      <c r="AC23" s="4855">
        <v>2000</v>
      </c>
      <c r="AD23" s="4854"/>
      <c r="AE23" s="4855">
        <v>4000</v>
      </c>
      <c r="AF23" s="4854"/>
      <c r="AG23" s="4855">
        <v>1000</v>
      </c>
      <c r="AH23" s="4854">
        <f>193+60</f>
        <v>253</v>
      </c>
      <c r="AI23" s="4855">
        <v>500</v>
      </c>
      <c r="AJ23" s="4855"/>
      <c r="AK23" s="4855"/>
      <c r="AL23" s="4855"/>
      <c r="AM23" s="4855"/>
      <c r="AN23" s="4855"/>
      <c r="AO23" s="4855"/>
      <c r="AP23" s="4855"/>
      <c r="AQ23" s="4855"/>
      <c r="AR23" s="4855"/>
      <c r="AS23" s="4855"/>
      <c r="AT23" s="4855"/>
      <c r="AU23" s="4855"/>
      <c r="AV23" s="4855"/>
      <c r="AW23" s="4855"/>
      <c r="AX23" s="4855"/>
      <c r="AY23" s="4855"/>
      <c r="AZ23" s="4855"/>
      <c r="BA23" s="4855"/>
      <c r="BB23" s="4855"/>
      <c r="BC23" s="4855">
        <f>+AC23+AE23+AG23+AI23</f>
        <v>7500</v>
      </c>
      <c r="BD23" s="4855">
        <f>+AH23</f>
        <v>253</v>
      </c>
      <c r="BE23" s="4854">
        <v>15</v>
      </c>
      <c r="BF23" s="4868">
        <f>SUM(U23:U29)</f>
        <v>145344700</v>
      </c>
      <c r="BG23" s="4868">
        <f>SUM(V23:V29)</f>
        <v>100443500</v>
      </c>
      <c r="BH23" s="4871">
        <f>+BG23/BF23</f>
        <v>0.69107095064353907</v>
      </c>
      <c r="BI23" s="4854" t="s">
        <v>668</v>
      </c>
      <c r="BJ23" s="4854" t="s">
        <v>2104</v>
      </c>
      <c r="BK23" s="4845">
        <v>43467</v>
      </c>
      <c r="BL23" s="4845">
        <v>43467</v>
      </c>
      <c r="BM23" s="4843">
        <v>43809</v>
      </c>
      <c r="BN23" s="4845">
        <v>43809</v>
      </c>
      <c r="BO23" s="4826" t="s">
        <v>2105</v>
      </c>
    </row>
    <row r="24" spans="1:67" ht="86.25" customHeight="1" x14ac:dyDescent="0.2">
      <c r="A24" s="2325"/>
      <c r="B24" s="2326"/>
      <c r="C24" s="2359"/>
      <c r="D24" s="2360"/>
      <c r="E24" s="2359"/>
      <c r="F24" s="2360"/>
      <c r="G24" s="4836"/>
      <c r="H24" s="4837"/>
      <c r="I24" s="4837"/>
      <c r="J24" s="4838"/>
      <c r="K24" s="4841"/>
      <c r="L24" s="4799"/>
      <c r="M24" s="4818"/>
      <c r="N24" s="4789"/>
      <c r="O24" s="4821"/>
      <c r="P24" s="4823"/>
      <c r="Q24" s="4789"/>
      <c r="R24" s="4858"/>
      <c r="S24" s="2341" t="s">
        <v>2126</v>
      </c>
      <c r="T24" s="2350">
        <f>40770000+14981000</f>
        <v>55751000</v>
      </c>
      <c r="U24" s="2350">
        <v>38899515</v>
      </c>
      <c r="V24" s="2350">
        <v>29564500</v>
      </c>
      <c r="W24" s="2372">
        <v>20</v>
      </c>
      <c r="X24" s="2372" t="s">
        <v>124</v>
      </c>
      <c r="Y24" s="4853"/>
      <c r="Z24" s="4855"/>
      <c r="AA24" s="4855"/>
      <c r="AB24" s="4855"/>
      <c r="AC24" s="4855"/>
      <c r="AD24" s="4855"/>
      <c r="AE24" s="4855"/>
      <c r="AF24" s="4855"/>
      <c r="AG24" s="4855"/>
      <c r="AH24" s="4855"/>
      <c r="AI24" s="4855"/>
      <c r="AJ24" s="4855"/>
      <c r="AK24" s="4855"/>
      <c r="AL24" s="4855"/>
      <c r="AM24" s="4855"/>
      <c r="AN24" s="4855"/>
      <c r="AO24" s="4855"/>
      <c r="AP24" s="4855"/>
      <c r="AQ24" s="4855"/>
      <c r="AR24" s="4855"/>
      <c r="AS24" s="4855"/>
      <c r="AT24" s="4855"/>
      <c r="AU24" s="4855"/>
      <c r="AV24" s="4855"/>
      <c r="AW24" s="4855"/>
      <c r="AX24" s="4855"/>
      <c r="AY24" s="4855"/>
      <c r="AZ24" s="4855"/>
      <c r="BA24" s="4855"/>
      <c r="BB24" s="4855"/>
      <c r="BC24" s="4855"/>
      <c r="BD24" s="4855"/>
      <c r="BE24" s="4855"/>
      <c r="BF24" s="4869"/>
      <c r="BG24" s="4869"/>
      <c r="BH24" s="4872"/>
      <c r="BI24" s="4855"/>
      <c r="BJ24" s="4855"/>
      <c r="BK24" s="4846"/>
      <c r="BL24" s="4846"/>
      <c r="BM24" s="4843"/>
      <c r="BN24" s="4846"/>
      <c r="BO24" s="4826"/>
    </row>
    <row r="25" spans="1:67" ht="55.5" customHeight="1" x14ac:dyDescent="0.2">
      <c r="A25" s="2325"/>
      <c r="B25" s="2326"/>
      <c r="C25" s="2359"/>
      <c r="D25" s="2360"/>
      <c r="E25" s="2359"/>
      <c r="F25" s="2360"/>
      <c r="G25" s="4836"/>
      <c r="H25" s="4837"/>
      <c r="I25" s="4837"/>
      <c r="J25" s="4838"/>
      <c r="K25" s="4841"/>
      <c r="L25" s="4799"/>
      <c r="M25" s="4818"/>
      <c r="N25" s="4789"/>
      <c r="O25" s="4821"/>
      <c r="P25" s="4823"/>
      <c r="Q25" s="4789"/>
      <c r="R25" s="4858"/>
      <c r="S25" s="2341" t="s">
        <v>2127</v>
      </c>
      <c r="T25" s="2350">
        <f>37180000-7180000</f>
        <v>30000000</v>
      </c>
      <c r="U25" s="2350">
        <v>30000000</v>
      </c>
      <c r="V25" s="2350">
        <v>23181818.18181818</v>
      </c>
      <c r="W25" s="2372">
        <v>20</v>
      </c>
      <c r="X25" s="2372" t="s">
        <v>124</v>
      </c>
      <c r="Y25" s="4853"/>
      <c r="Z25" s="4855"/>
      <c r="AA25" s="4855"/>
      <c r="AB25" s="4855"/>
      <c r="AC25" s="4855"/>
      <c r="AD25" s="4855"/>
      <c r="AE25" s="4855"/>
      <c r="AF25" s="4855"/>
      <c r="AG25" s="4855"/>
      <c r="AH25" s="4855"/>
      <c r="AI25" s="4855"/>
      <c r="AJ25" s="4855"/>
      <c r="AK25" s="4855"/>
      <c r="AL25" s="4855"/>
      <c r="AM25" s="4855"/>
      <c r="AN25" s="4855"/>
      <c r="AO25" s="4855"/>
      <c r="AP25" s="4855"/>
      <c r="AQ25" s="4855"/>
      <c r="AR25" s="4855"/>
      <c r="AS25" s="4855"/>
      <c r="AT25" s="4855"/>
      <c r="AU25" s="4855"/>
      <c r="AV25" s="4855"/>
      <c r="AW25" s="4855"/>
      <c r="AX25" s="4855"/>
      <c r="AY25" s="4855"/>
      <c r="AZ25" s="4855"/>
      <c r="BA25" s="4855"/>
      <c r="BB25" s="4855"/>
      <c r="BC25" s="4855"/>
      <c r="BD25" s="4855"/>
      <c r="BE25" s="4855"/>
      <c r="BF25" s="4869"/>
      <c r="BG25" s="4869"/>
      <c r="BH25" s="4872"/>
      <c r="BI25" s="4855"/>
      <c r="BJ25" s="4855"/>
      <c r="BK25" s="4846"/>
      <c r="BL25" s="4846"/>
      <c r="BM25" s="4843"/>
      <c r="BN25" s="4846"/>
      <c r="BO25" s="4826"/>
    </row>
    <row r="26" spans="1:67" ht="51.75" customHeight="1" x14ac:dyDescent="0.2">
      <c r="A26" s="2325"/>
      <c r="B26" s="2326"/>
      <c r="C26" s="2359"/>
      <c r="D26" s="2360"/>
      <c r="E26" s="2359"/>
      <c r="F26" s="2360"/>
      <c r="G26" s="4836"/>
      <c r="H26" s="4837"/>
      <c r="I26" s="4837"/>
      <c r="J26" s="4838"/>
      <c r="K26" s="4841"/>
      <c r="L26" s="4799"/>
      <c r="M26" s="4818"/>
      <c r="N26" s="4789"/>
      <c r="O26" s="4821"/>
      <c r="P26" s="4823"/>
      <c r="Q26" s="4789"/>
      <c r="R26" s="4858"/>
      <c r="S26" s="2341" t="s">
        <v>2128</v>
      </c>
      <c r="T26" s="2350">
        <f>37180000-7801000</f>
        <v>29379000</v>
      </c>
      <c r="U26" s="2350">
        <v>29379000</v>
      </c>
      <c r="V26" s="2350">
        <v>19586000</v>
      </c>
      <c r="W26" s="2372">
        <v>20</v>
      </c>
      <c r="X26" s="2372" t="s">
        <v>124</v>
      </c>
      <c r="Y26" s="4853"/>
      <c r="Z26" s="4855"/>
      <c r="AA26" s="4855"/>
      <c r="AB26" s="4855"/>
      <c r="AC26" s="4855"/>
      <c r="AD26" s="4855"/>
      <c r="AE26" s="4855"/>
      <c r="AF26" s="4855"/>
      <c r="AG26" s="4855"/>
      <c r="AH26" s="4855"/>
      <c r="AI26" s="4855"/>
      <c r="AJ26" s="4855"/>
      <c r="AK26" s="4855"/>
      <c r="AL26" s="4855"/>
      <c r="AM26" s="4855"/>
      <c r="AN26" s="4855"/>
      <c r="AO26" s="4855"/>
      <c r="AP26" s="4855"/>
      <c r="AQ26" s="4855"/>
      <c r="AR26" s="4855"/>
      <c r="AS26" s="4855"/>
      <c r="AT26" s="4855"/>
      <c r="AU26" s="4855"/>
      <c r="AV26" s="4855"/>
      <c r="AW26" s="4855"/>
      <c r="AX26" s="4855"/>
      <c r="AY26" s="4855"/>
      <c r="AZ26" s="4855"/>
      <c r="BA26" s="4855"/>
      <c r="BB26" s="4855"/>
      <c r="BC26" s="4855"/>
      <c r="BD26" s="4855"/>
      <c r="BE26" s="4855"/>
      <c r="BF26" s="4869"/>
      <c r="BG26" s="4869"/>
      <c r="BH26" s="4872"/>
      <c r="BI26" s="4855"/>
      <c r="BJ26" s="4855"/>
      <c r="BK26" s="4846"/>
      <c r="BL26" s="4846"/>
      <c r="BM26" s="4843"/>
      <c r="BN26" s="4846"/>
      <c r="BO26" s="4826"/>
    </row>
    <row r="27" spans="1:67" ht="45.75" customHeight="1" x14ac:dyDescent="0.2">
      <c r="A27" s="2325"/>
      <c r="B27" s="2326"/>
      <c r="C27" s="2359"/>
      <c r="D27" s="2360"/>
      <c r="E27" s="2359"/>
      <c r="F27" s="2360"/>
      <c r="G27" s="4836"/>
      <c r="H27" s="4837"/>
      <c r="I27" s="4837"/>
      <c r="J27" s="4838"/>
      <c r="K27" s="4841"/>
      <c r="L27" s="4799"/>
      <c r="M27" s="4818"/>
      <c r="N27" s="4789"/>
      <c r="O27" s="4821"/>
      <c r="P27" s="4823"/>
      <c r="Q27" s="4789"/>
      <c r="R27" s="4858"/>
      <c r="S27" s="2341" t="s">
        <v>2129</v>
      </c>
      <c r="T27" s="2350">
        <v>31130000</v>
      </c>
      <c r="U27" s="2350">
        <v>14476185</v>
      </c>
      <c r="V27" s="2350">
        <v>6935181.8181818184</v>
      </c>
      <c r="W27" s="2372">
        <v>20</v>
      </c>
      <c r="X27" s="2372" t="s">
        <v>124</v>
      </c>
      <c r="Y27" s="4853"/>
      <c r="Z27" s="4855"/>
      <c r="AA27" s="4855"/>
      <c r="AB27" s="4855"/>
      <c r="AC27" s="4855"/>
      <c r="AD27" s="4855"/>
      <c r="AE27" s="4855"/>
      <c r="AF27" s="4855"/>
      <c r="AG27" s="4855"/>
      <c r="AH27" s="4855"/>
      <c r="AI27" s="4855"/>
      <c r="AJ27" s="4855"/>
      <c r="AK27" s="4855"/>
      <c r="AL27" s="4855"/>
      <c r="AM27" s="4855"/>
      <c r="AN27" s="4855"/>
      <c r="AO27" s="4855"/>
      <c r="AP27" s="4855"/>
      <c r="AQ27" s="4855"/>
      <c r="AR27" s="4855"/>
      <c r="AS27" s="4855"/>
      <c r="AT27" s="4855"/>
      <c r="AU27" s="4855"/>
      <c r="AV27" s="4855"/>
      <c r="AW27" s="4855"/>
      <c r="AX27" s="4855"/>
      <c r="AY27" s="4855"/>
      <c r="AZ27" s="4855"/>
      <c r="BA27" s="4855"/>
      <c r="BB27" s="4855"/>
      <c r="BC27" s="4855"/>
      <c r="BD27" s="4855"/>
      <c r="BE27" s="4855"/>
      <c r="BF27" s="4869"/>
      <c r="BG27" s="4869"/>
      <c r="BH27" s="4872"/>
      <c r="BI27" s="4855"/>
      <c r="BJ27" s="4855"/>
      <c r="BK27" s="4846"/>
      <c r="BL27" s="4846"/>
      <c r="BM27" s="4843"/>
      <c r="BN27" s="4846"/>
      <c r="BO27" s="4826"/>
    </row>
    <row r="28" spans="1:67" ht="33.75" customHeight="1" x14ac:dyDescent="0.2">
      <c r="A28" s="2325"/>
      <c r="B28" s="2326"/>
      <c r="C28" s="2359"/>
      <c r="D28" s="2360"/>
      <c r="E28" s="2359"/>
      <c r="F28" s="2360"/>
      <c r="G28" s="4836"/>
      <c r="H28" s="4837"/>
      <c r="I28" s="4837"/>
      <c r="J28" s="4838"/>
      <c r="K28" s="4841"/>
      <c r="L28" s="4799"/>
      <c r="M28" s="4818"/>
      <c r="N28" s="4789"/>
      <c r="O28" s="4821"/>
      <c r="P28" s="4823"/>
      <c r="Q28" s="4789"/>
      <c r="R28" s="4825" t="s">
        <v>2130</v>
      </c>
      <c r="S28" s="2345" t="s">
        <v>2131</v>
      </c>
      <c r="T28" s="2350">
        <v>6000000</v>
      </c>
      <c r="U28" s="2350">
        <v>6000000</v>
      </c>
      <c r="V28" s="2350">
        <v>0</v>
      </c>
      <c r="W28" s="2372">
        <v>20</v>
      </c>
      <c r="X28" s="2372" t="s">
        <v>124</v>
      </c>
      <c r="Y28" s="4853"/>
      <c r="Z28" s="4855"/>
      <c r="AA28" s="4855"/>
      <c r="AB28" s="4855"/>
      <c r="AC28" s="4855"/>
      <c r="AD28" s="4855"/>
      <c r="AE28" s="4855"/>
      <c r="AF28" s="4855"/>
      <c r="AG28" s="4855"/>
      <c r="AH28" s="4855"/>
      <c r="AI28" s="4855"/>
      <c r="AJ28" s="4855"/>
      <c r="AK28" s="4855"/>
      <c r="AL28" s="4855"/>
      <c r="AM28" s="4855"/>
      <c r="AN28" s="4855"/>
      <c r="AO28" s="4855"/>
      <c r="AP28" s="4855"/>
      <c r="AQ28" s="4855"/>
      <c r="AR28" s="4855"/>
      <c r="AS28" s="4855"/>
      <c r="AT28" s="4855"/>
      <c r="AU28" s="4855"/>
      <c r="AV28" s="4855"/>
      <c r="AW28" s="4855"/>
      <c r="AX28" s="4855"/>
      <c r="AY28" s="4855"/>
      <c r="AZ28" s="4855"/>
      <c r="BA28" s="4855"/>
      <c r="BB28" s="4855"/>
      <c r="BC28" s="4855"/>
      <c r="BD28" s="4855"/>
      <c r="BE28" s="4855"/>
      <c r="BF28" s="4869"/>
      <c r="BG28" s="4869"/>
      <c r="BH28" s="4872"/>
      <c r="BI28" s="4855"/>
      <c r="BJ28" s="4855"/>
      <c r="BK28" s="4846"/>
      <c r="BL28" s="4846"/>
      <c r="BM28" s="4843"/>
      <c r="BN28" s="4846"/>
      <c r="BO28" s="4826"/>
    </row>
    <row r="29" spans="1:67" ht="31.5" customHeight="1" x14ac:dyDescent="0.2">
      <c r="A29" s="2325"/>
      <c r="B29" s="2326"/>
      <c r="C29" s="2359"/>
      <c r="D29" s="2360"/>
      <c r="E29" s="2359"/>
      <c r="F29" s="2360"/>
      <c r="G29" s="4836"/>
      <c r="H29" s="4837"/>
      <c r="I29" s="4837"/>
      <c r="J29" s="4839"/>
      <c r="K29" s="4842"/>
      <c r="L29" s="4799"/>
      <c r="M29" s="4818"/>
      <c r="N29" s="4789"/>
      <c r="O29" s="4821"/>
      <c r="P29" s="4834"/>
      <c r="Q29" s="4789"/>
      <c r="R29" s="4826"/>
      <c r="S29" s="2345" t="s">
        <v>2132</v>
      </c>
      <c r="T29" s="2350">
        <v>8000000</v>
      </c>
      <c r="U29" s="2350">
        <v>8000000</v>
      </c>
      <c r="V29" s="2350">
        <v>2586000</v>
      </c>
      <c r="W29" s="2372">
        <v>20</v>
      </c>
      <c r="X29" s="2372" t="s">
        <v>124</v>
      </c>
      <c r="Y29" s="4853"/>
      <c r="Z29" s="4856"/>
      <c r="AA29" s="4855"/>
      <c r="AB29" s="4856"/>
      <c r="AC29" s="4855"/>
      <c r="AD29" s="4856"/>
      <c r="AE29" s="4855"/>
      <c r="AF29" s="4856"/>
      <c r="AG29" s="4855"/>
      <c r="AH29" s="4856"/>
      <c r="AI29" s="4855"/>
      <c r="AJ29" s="4855"/>
      <c r="AK29" s="4855"/>
      <c r="AL29" s="4855"/>
      <c r="AM29" s="4855"/>
      <c r="AN29" s="4855"/>
      <c r="AO29" s="4855"/>
      <c r="AP29" s="4855"/>
      <c r="AQ29" s="4855"/>
      <c r="AR29" s="4855"/>
      <c r="AS29" s="4855"/>
      <c r="AT29" s="4855"/>
      <c r="AU29" s="4855"/>
      <c r="AV29" s="4855"/>
      <c r="AW29" s="4855"/>
      <c r="AX29" s="4855"/>
      <c r="AY29" s="4855"/>
      <c r="AZ29" s="4855"/>
      <c r="BA29" s="4855"/>
      <c r="BB29" s="4855"/>
      <c r="BC29" s="4855"/>
      <c r="BD29" s="4855"/>
      <c r="BE29" s="4856"/>
      <c r="BF29" s="4870"/>
      <c r="BG29" s="4870"/>
      <c r="BH29" s="4873"/>
      <c r="BI29" s="4856"/>
      <c r="BJ29" s="4856"/>
      <c r="BK29" s="4846"/>
      <c r="BL29" s="4843"/>
      <c r="BM29" s="4845"/>
      <c r="BN29" s="4843"/>
      <c r="BO29" s="4826"/>
    </row>
    <row r="30" spans="1:67" ht="28.5" customHeight="1" x14ac:dyDescent="0.2">
      <c r="A30" s="2325"/>
      <c r="B30" s="2326"/>
      <c r="C30" s="2359"/>
      <c r="D30" s="2360"/>
      <c r="E30" s="2336">
        <v>59</v>
      </c>
      <c r="F30" s="2337" t="s">
        <v>2133</v>
      </c>
      <c r="G30" s="2373"/>
      <c r="H30" s="2361"/>
      <c r="I30" s="2361"/>
      <c r="J30" s="2338"/>
      <c r="K30" s="2362"/>
      <c r="L30" s="2338"/>
      <c r="M30" s="2338"/>
      <c r="N30" s="1111"/>
      <c r="O30" s="2338"/>
      <c r="P30" s="2369"/>
      <c r="Q30" s="2361"/>
      <c r="R30" s="2363"/>
      <c r="S30" s="2361" t="s">
        <v>896</v>
      </c>
      <c r="T30" s="2374"/>
      <c r="U30" s="2375"/>
      <c r="V30" s="2376"/>
      <c r="W30" s="2377"/>
      <c r="X30" s="2378"/>
      <c r="Y30" s="2379"/>
      <c r="Z30" s="2379"/>
      <c r="AA30" s="2379"/>
      <c r="AB30" s="2379"/>
      <c r="AC30" s="2379"/>
      <c r="AD30" s="2379"/>
      <c r="AE30" s="2379"/>
      <c r="AF30" s="2379"/>
      <c r="AG30" s="2379"/>
      <c r="AH30" s="2379"/>
      <c r="AI30" s="2379"/>
      <c r="AJ30" s="2379"/>
      <c r="AK30" s="2379"/>
      <c r="AL30" s="2379"/>
      <c r="AM30" s="2379"/>
      <c r="AN30" s="2379"/>
      <c r="AO30" s="2379"/>
      <c r="AP30" s="2379"/>
      <c r="AQ30" s="2379"/>
      <c r="AR30" s="2379"/>
      <c r="AS30" s="2379"/>
      <c r="AT30" s="2379"/>
      <c r="AU30" s="2379"/>
      <c r="AV30" s="2379"/>
      <c r="AW30" s="2379"/>
      <c r="AX30" s="2379"/>
      <c r="AY30" s="2379"/>
      <c r="AZ30" s="2379"/>
      <c r="BA30" s="2379"/>
      <c r="BB30" s="2379"/>
      <c r="BC30" s="2379"/>
      <c r="BD30" s="2378"/>
      <c r="BE30" s="2338"/>
      <c r="BF30" s="2369"/>
      <c r="BG30" s="2369"/>
      <c r="BH30" s="2338"/>
      <c r="BI30" s="2338"/>
      <c r="BJ30" s="2338"/>
      <c r="BK30" s="2338"/>
      <c r="BL30" s="2338"/>
      <c r="BM30" s="2338"/>
      <c r="BN30" s="2338"/>
      <c r="BO30" s="1219"/>
    </row>
    <row r="31" spans="1:67" ht="52.5" customHeight="1" x14ac:dyDescent="0.2">
      <c r="A31" s="2325"/>
      <c r="B31" s="2326"/>
      <c r="C31" s="2359"/>
      <c r="D31" s="2360"/>
      <c r="E31" s="2359"/>
      <c r="F31" s="2380"/>
      <c r="G31" s="3729">
        <v>184</v>
      </c>
      <c r="H31" s="4859" t="s">
        <v>2134</v>
      </c>
      <c r="I31" s="4791" t="s">
        <v>2135</v>
      </c>
      <c r="J31" s="4828">
        <v>1</v>
      </c>
      <c r="K31" s="4861">
        <v>0.8</v>
      </c>
      <c r="L31" s="4864" t="s">
        <v>2136</v>
      </c>
      <c r="M31" s="4817" t="s">
        <v>2137</v>
      </c>
      <c r="N31" s="4865" t="s">
        <v>2138</v>
      </c>
      <c r="O31" s="4820">
        <f>SUM(T31:T37)/P31</f>
        <v>0.84878821717366193</v>
      </c>
      <c r="P31" s="4824">
        <f>SUM(T31:T43)</f>
        <v>519400000</v>
      </c>
      <c r="Q31" s="4879" t="s">
        <v>2139</v>
      </c>
      <c r="R31" s="3069" t="s">
        <v>2140</v>
      </c>
      <c r="S31" s="2341" t="s">
        <v>2141</v>
      </c>
      <c r="T31" s="2381">
        <f>12600000-6100000</f>
        <v>6500000</v>
      </c>
      <c r="U31" s="2350">
        <v>6500000</v>
      </c>
      <c r="V31" s="2350">
        <v>5587428.4434615867</v>
      </c>
      <c r="W31" s="2372">
        <v>20</v>
      </c>
      <c r="X31" s="2382" t="s">
        <v>251</v>
      </c>
      <c r="Y31" s="4881">
        <v>8575</v>
      </c>
      <c r="Z31" s="4882">
        <v>3650</v>
      </c>
      <c r="AA31" s="4881">
        <v>8925</v>
      </c>
      <c r="AB31" s="4882">
        <v>2517</v>
      </c>
      <c r="AC31" s="4874">
        <v>12000</v>
      </c>
      <c r="AD31" s="4828">
        <f>200+1749+150+95+210+1765</f>
        <v>4169</v>
      </c>
      <c r="AE31" s="4875">
        <v>4000</v>
      </c>
      <c r="AF31" s="4876">
        <f>838+230</f>
        <v>1068</v>
      </c>
      <c r="AG31" s="4875">
        <v>1500</v>
      </c>
      <c r="AH31" s="4876">
        <f>243+184+160+160+33+150</f>
        <v>930</v>
      </c>
      <c r="AI31" s="4876"/>
      <c r="AJ31" s="4876"/>
      <c r="AK31" s="4876"/>
      <c r="AL31" s="4876"/>
      <c r="AM31" s="4876"/>
      <c r="AN31" s="4876"/>
      <c r="AO31" s="4876"/>
      <c r="AP31" s="4876"/>
      <c r="AQ31" s="4876"/>
      <c r="AR31" s="4876"/>
      <c r="AS31" s="4876"/>
      <c r="AT31" s="4876"/>
      <c r="AU31" s="4876"/>
      <c r="AV31" s="4876"/>
      <c r="AW31" s="4876"/>
      <c r="AX31" s="4876"/>
      <c r="AY31" s="4876"/>
      <c r="AZ31" s="4876"/>
      <c r="BA31" s="4876"/>
      <c r="BB31" s="4876"/>
      <c r="BC31" s="4876">
        <f>+AC31+AE31+AG31</f>
        <v>17500</v>
      </c>
      <c r="BD31" s="4876">
        <f>+Z31+AB31</f>
        <v>6167</v>
      </c>
      <c r="BE31" s="4854">
        <v>15</v>
      </c>
      <c r="BF31" s="4868">
        <f>SUM(U31:U43)</f>
        <v>163114050</v>
      </c>
      <c r="BG31" s="4868">
        <f>SUM(V31:V43)</f>
        <v>77738999.999999985</v>
      </c>
      <c r="BH31" s="4871">
        <f>+BG31/BF31</f>
        <v>0.47659291152417577</v>
      </c>
      <c r="BI31" s="4854" t="s">
        <v>668</v>
      </c>
      <c r="BJ31" s="4890" t="s">
        <v>2104</v>
      </c>
      <c r="BK31" s="4844">
        <v>43467</v>
      </c>
      <c r="BL31" s="4845">
        <v>43467</v>
      </c>
      <c r="BM31" s="4844">
        <v>43809</v>
      </c>
      <c r="BN31" s="4845">
        <v>43809</v>
      </c>
      <c r="BO31" s="3069" t="s">
        <v>2105</v>
      </c>
    </row>
    <row r="32" spans="1:67" ht="54.75" customHeight="1" x14ac:dyDescent="0.2">
      <c r="A32" s="2325"/>
      <c r="B32" s="2326"/>
      <c r="C32" s="2359"/>
      <c r="D32" s="2360"/>
      <c r="E32" s="2359"/>
      <c r="F32" s="2380"/>
      <c r="G32" s="3729"/>
      <c r="H32" s="4860"/>
      <c r="I32" s="4792"/>
      <c r="J32" s="4829"/>
      <c r="K32" s="4862"/>
      <c r="L32" s="4864"/>
      <c r="M32" s="4818"/>
      <c r="N32" s="4866"/>
      <c r="O32" s="4821"/>
      <c r="P32" s="4824"/>
      <c r="Q32" s="4879"/>
      <c r="R32" s="3069"/>
      <c r="S32" s="2347" t="s">
        <v>2142</v>
      </c>
      <c r="T32" s="2383">
        <f>12100000-5600000</f>
        <v>6500000</v>
      </c>
      <c r="U32" s="2350">
        <v>6500000</v>
      </c>
      <c r="V32" s="2350">
        <v>5587428.4434615867</v>
      </c>
      <c r="W32" s="2372">
        <v>20</v>
      </c>
      <c r="X32" s="2382" t="s">
        <v>251</v>
      </c>
      <c r="Y32" s="4881"/>
      <c r="Z32" s="4883"/>
      <c r="AA32" s="4881"/>
      <c r="AB32" s="4883"/>
      <c r="AC32" s="4874"/>
      <c r="AD32" s="4829"/>
      <c r="AE32" s="4875"/>
      <c r="AF32" s="4877"/>
      <c r="AG32" s="4875"/>
      <c r="AH32" s="4877"/>
      <c r="AI32" s="4877"/>
      <c r="AJ32" s="4877"/>
      <c r="AK32" s="4877"/>
      <c r="AL32" s="4877"/>
      <c r="AM32" s="4877"/>
      <c r="AN32" s="4877"/>
      <c r="AO32" s="4877"/>
      <c r="AP32" s="4877"/>
      <c r="AQ32" s="4877"/>
      <c r="AR32" s="4877"/>
      <c r="AS32" s="4877"/>
      <c r="AT32" s="4877"/>
      <c r="AU32" s="4877"/>
      <c r="AV32" s="4877"/>
      <c r="AW32" s="4877"/>
      <c r="AX32" s="4877"/>
      <c r="AY32" s="4877"/>
      <c r="AZ32" s="4877"/>
      <c r="BA32" s="4877"/>
      <c r="BB32" s="4877"/>
      <c r="BC32" s="4877"/>
      <c r="BD32" s="4877"/>
      <c r="BE32" s="4855"/>
      <c r="BF32" s="4869"/>
      <c r="BG32" s="4869"/>
      <c r="BH32" s="4872"/>
      <c r="BI32" s="4855"/>
      <c r="BJ32" s="4891"/>
      <c r="BK32" s="4844"/>
      <c r="BL32" s="4846"/>
      <c r="BM32" s="4844"/>
      <c r="BN32" s="4846"/>
      <c r="BO32" s="3069"/>
    </row>
    <row r="33" spans="1:67" ht="60.75" customHeight="1" x14ac:dyDescent="0.2">
      <c r="A33" s="2325"/>
      <c r="B33" s="2326"/>
      <c r="C33" s="2359"/>
      <c r="D33" s="2360"/>
      <c r="E33" s="2359"/>
      <c r="F33" s="2380"/>
      <c r="G33" s="3729"/>
      <c r="H33" s="4860"/>
      <c r="I33" s="4792"/>
      <c r="J33" s="4829"/>
      <c r="K33" s="4862"/>
      <c r="L33" s="4864"/>
      <c r="M33" s="4818"/>
      <c r="N33" s="4866"/>
      <c r="O33" s="4821"/>
      <c r="P33" s="4824"/>
      <c r="Q33" s="4879"/>
      <c r="R33" s="3069"/>
      <c r="S33" s="2347" t="s">
        <v>2143</v>
      </c>
      <c r="T33" s="2384">
        <v>38630600</v>
      </c>
      <c r="U33" s="2350">
        <v>38630600</v>
      </c>
      <c r="V33" s="2350">
        <v>21731518.792187978</v>
      </c>
      <c r="W33" s="2372">
        <v>20</v>
      </c>
      <c r="X33" s="2382" t="s">
        <v>251</v>
      </c>
      <c r="Y33" s="4881"/>
      <c r="Z33" s="4883"/>
      <c r="AA33" s="4881"/>
      <c r="AB33" s="4883"/>
      <c r="AC33" s="4874"/>
      <c r="AD33" s="4829"/>
      <c r="AE33" s="4875"/>
      <c r="AF33" s="4877"/>
      <c r="AG33" s="4875"/>
      <c r="AH33" s="4877"/>
      <c r="AI33" s="4877"/>
      <c r="AJ33" s="4877"/>
      <c r="AK33" s="4877"/>
      <c r="AL33" s="4877"/>
      <c r="AM33" s="4877"/>
      <c r="AN33" s="4877"/>
      <c r="AO33" s="4877"/>
      <c r="AP33" s="4877"/>
      <c r="AQ33" s="4877"/>
      <c r="AR33" s="4877"/>
      <c r="AS33" s="4877"/>
      <c r="AT33" s="4877"/>
      <c r="AU33" s="4877"/>
      <c r="AV33" s="4877"/>
      <c r="AW33" s="4877"/>
      <c r="AX33" s="4877"/>
      <c r="AY33" s="4877"/>
      <c r="AZ33" s="4877"/>
      <c r="BA33" s="4877"/>
      <c r="BB33" s="4877"/>
      <c r="BC33" s="4877"/>
      <c r="BD33" s="4877"/>
      <c r="BE33" s="4855"/>
      <c r="BF33" s="4869"/>
      <c r="BG33" s="4869"/>
      <c r="BH33" s="4872"/>
      <c r="BI33" s="4855"/>
      <c r="BJ33" s="4891"/>
      <c r="BK33" s="4844"/>
      <c r="BL33" s="4846"/>
      <c r="BM33" s="4844"/>
      <c r="BN33" s="4846"/>
      <c r="BO33" s="3069"/>
    </row>
    <row r="34" spans="1:67" ht="69" customHeight="1" x14ac:dyDescent="0.2">
      <c r="A34" s="2325"/>
      <c r="B34" s="2326"/>
      <c r="C34" s="2359"/>
      <c r="D34" s="2360"/>
      <c r="E34" s="2359"/>
      <c r="F34" s="2380"/>
      <c r="G34" s="3729"/>
      <c r="H34" s="4860"/>
      <c r="I34" s="4792"/>
      <c r="J34" s="4829"/>
      <c r="K34" s="4862"/>
      <c r="L34" s="4864"/>
      <c r="M34" s="4818"/>
      <c r="N34" s="4866"/>
      <c r="O34" s="4821"/>
      <c r="P34" s="4824"/>
      <c r="Q34" s="4879"/>
      <c r="R34" s="3069"/>
      <c r="S34" s="2347" t="s">
        <v>2144</v>
      </c>
      <c r="T34" s="2384">
        <v>29400000</v>
      </c>
      <c r="U34" s="2350">
        <v>29400000</v>
      </c>
      <c r="V34" s="2350">
        <v>23047727.272727273</v>
      </c>
      <c r="W34" s="2372">
        <v>20</v>
      </c>
      <c r="X34" s="2382" t="s">
        <v>251</v>
      </c>
      <c r="Y34" s="4881"/>
      <c r="Z34" s="4883"/>
      <c r="AA34" s="4881"/>
      <c r="AB34" s="4883"/>
      <c r="AC34" s="4874"/>
      <c r="AD34" s="4829"/>
      <c r="AE34" s="4875"/>
      <c r="AF34" s="4877"/>
      <c r="AG34" s="4875"/>
      <c r="AH34" s="4877"/>
      <c r="AI34" s="4877"/>
      <c r="AJ34" s="4877"/>
      <c r="AK34" s="4877"/>
      <c r="AL34" s="4877"/>
      <c r="AM34" s="4877"/>
      <c r="AN34" s="4877"/>
      <c r="AO34" s="4877"/>
      <c r="AP34" s="4877"/>
      <c r="AQ34" s="4877"/>
      <c r="AR34" s="4877"/>
      <c r="AS34" s="4877"/>
      <c r="AT34" s="4877"/>
      <c r="AU34" s="4877"/>
      <c r="AV34" s="4877"/>
      <c r="AW34" s="4877"/>
      <c r="AX34" s="4877"/>
      <c r="AY34" s="4877"/>
      <c r="AZ34" s="4877"/>
      <c r="BA34" s="4877"/>
      <c r="BB34" s="4877"/>
      <c r="BC34" s="4877"/>
      <c r="BD34" s="4877"/>
      <c r="BE34" s="4855"/>
      <c r="BF34" s="4869"/>
      <c r="BG34" s="4869"/>
      <c r="BH34" s="4872"/>
      <c r="BI34" s="4855"/>
      <c r="BJ34" s="4891"/>
      <c r="BK34" s="4844"/>
      <c r="BL34" s="4846"/>
      <c r="BM34" s="4844"/>
      <c r="BN34" s="4846"/>
      <c r="BO34" s="3069"/>
    </row>
    <row r="35" spans="1:67" ht="89.25" customHeight="1" x14ac:dyDescent="0.2">
      <c r="A35" s="2325"/>
      <c r="B35" s="2326"/>
      <c r="C35" s="2359"/>
      <c r="D35" s="2360"/>
      <c r="E35" s="2359"/>
      <c r="F35" s="2380"/>
      <c r="G35" s="3729"/>
      <c r="H35" s="4860"/>
      <c r="I35" s="4792"/>
      <c r="J35" s="4829"/>
      <c r="K35" s="4862"/>
      <c r="L35" s="4864"/>
      <c r="M35" s="4818"/>
      <c r="N35" s="4866"/>
      <c r="O35" s="4821"/>
      <c r="P35" s="4824"/>
      <c r="Q35" s="4879"/>
      <c r="R35" s="3069"/>
      <c r="S35" s="2347" t="s">
        <v>2145</v>
      </c>
      <c r="T35" s="2384">
        <f>11300000-9470000</f>
        <v>1830000</v>
      </c>
      <c r="U35" s="2350">
        <v>1830000</v>
      </c>
      <c r="V35" s="2350">
        <v>1830000</v>
      </c>
      <c r="W35" s="2372">
        <v>20</v>
      </c>
      <c r="X35" s="2382" t="s">
        <v>251</v>
      </c>
      <c r="Y35" s="4881"/>
      <c r="Z35" s="4883"/>
      <c r="AA35" s="4881"/>
      <c r="AB35" s="4883"/>
      <c r="AC35" s="4874"/>
      <c r="AD35" s="4829"/>
      <c r="AE35" s="4875"/>
      <c r="AF35" s="4877"/>
      <c r="AG35" s="4875"/>
      <c r="AH35" s="4877"/>
      <c r="AI35" s="4877"/>
      <c r="AJ35" s="4877"/>
      <c r="AK35" s="4877"/>
      <c r="AL35" s="4877"/>
      <c r="AM35" s="4877"/>
      <c r="AN35" s="4877"/>
      <c r="AO35" s="4877"/>
      <c r="AP35" s="4877"/>
      <c r="AQ35" s="4877"/>
      <c r="AR35" s="4877"/>
      <c r="AS35" s="4877"/>
      <c r="AT35" s="4877"/>
      <c r="AU35" s="4877"/>
      <c r="AV35" s="4877"/>
      <c r="AW35" s="4877"/>
      <c r="AX35" s="4877"/>
      <c r="AY35" s="4877"/>
      <c r="AZ35" s="4877"/>
      <c r="BA35" s="4877"/>
      <c r="BB35" s="4877"/>
      <c r="BC35" s="4877"/>
      <c r="BD35" s="4877"/>
      <c r="BE35" s="4855"/>
      <c r="BF35" s="4869"/>
      <c r="BG35" s="4869"/>
      <c r="BH35" s="4872"/>
      <c r="BI35" s="4855"/>
      <c r="BJ35" s="4891"/>
      <c r="BK35" s="4844"/>
      <c r="BL35" s="4846"/>
      <c r="BM35" s="4844"/>
      <c r="BN35" s="4846"/>
      <c r="BO35" s="3069"/>
    </row>
    <row r="36" spans="1:67" ht="65.25" customHeight="1" x14ac:dyDescent="0.2">
      <c r="A36" s="2325"/>
      <c r="B36" s="2326"/>
      <c r="C36" s="2359"/>
      <c r="D36" s="2360"/>
      <c r="E36" s="2359"/>
      <c r="F36" s="2380"/>
      <c r="G36" s="3729"/>
      <c r="H36" s="4860"/>
      <c r="I36" s="4792"/>
      <c r="J36" s="4829"/>
      <c r="K36" s="4862"/>
      <c r="L36" s="4864"/>
      <c r="M36" s="4818"/>
      <c r="N36" s="4866"/>
      <c r="O36" s="4821"/>
      <c r="P36" s="4824"/>
      <c r="Q36" s="4879"/>
      <c r="R36" s="3069"/>
      <c r="S36" s="2341" t="s">
        <v>2146</v>
      </c>
      <c r="T36" s="2384">
        <f>0+350000000</f>
        <v>350000000</v>
      </c>
      <c r="U36" s="2350">
        <v>0</v>
      </c>
      <c r="V36" s="2350">
        <v>0</v>
      </c>
      <c r="W36" s="2372">
        <v>20</v>
      </c>
      <c r="X36" s="2382" t="s">
        <v>251</v>
      </c>
      <c r="Y36" s="4881"/>
      <c r="Z36" s="4883"/>
      <c r="AA36" s="4881"/>
      <c r="AB36" s="4883"/>
      <c r="AC36" s="4874"/>
      <c r="AD36" s="4829"/>
      <c r="AE36" s="4875"/>
      <c r="AF36" s="4877"/>
      <c r="AG36" s="4875"/>
      <c r="AH36" s="4877"/>
      <c r="AI36" s="4877"/>
      <c r="AJ36" s="4877"/>
      <c r="AK36" s="4877"/>
      <c r="AL36" s="4877"/>
      <c r="AM36" s="4877"/>
      <c r="AN36" s="4877"/>
      <c r="AO36" s="4877"/>
      <c r="AP36" s="4877"/>
      <c r="AQ36" s="4877"/>
      <c r="AR36" s="4877"/>
      <c r="AS36" s="4877"/>
      <c r="AT36" s="4877"/>
      <c r="AU36" s="4877"/>
      <c r="AV36" s="4877"/>
      <c r="AW36" s="4877"/>
      <c r="AX36" s="4877"/>
      <c r="AY36" s="4877"/>
      <c r="AZ36" s="4877"/>
      <c r="BA36" s="4877"/>
      <c r="BB36" s="4877"/>
      <c r="BC36" s="4877"/>
      <c r="BD36" s="4877"/>
      <c r="BE36" s="4855"/>
      <c r="BF36" s="4869"/>
      <c r="BG36" s="4869"/>
      <c r="BH36" s="4872"/>
      <c r="BI36" s="4855"/>
      <c r="BJ36" s="4891"/>
      <c r="BK36" s="4844"/>
      <c r="BL36" s="4846"/>
      <c r="BM36" s="4844"/>
      <c r="BN36" s="4846"/>
      <c r="BO36" s="3069"/>
    </row>
    <row r="37" spans="1:67" ht="27.75" customHeight="1" x14ac:dyDescent="0.2">
      <c r="A37" s="2325"/>
      <c r="B37" s="2326"/>
      <c r="C37" s="2359"/>
      <c r="D37" s="2360"/>
      <c r="E37" s="2359"/>
      <c r="F37" s="2380"/>
      <c r="G37" s="3729"/>
      <c r="H37" s="4860"/>
      <c r="I37" s="4792"/>
      <c r="J37" s="4829"/>
      <c r="K37" s="4863"/>
      <c r="L37" s="4864"/>
      <c r="M37" s="4818"/>
      <c r="N37" s="4866"/>
      <c r="O37" s="4821"/>
      <c r="P37" s="4824"/>
      <c r="Q37" s="4879"/>
      <c r="R37" s="3069"/>
      <c r="S37" s="2341" t="s">
        <v>2147</v>
      </c>
      <c r="T37" s="2384">
        <f>4000000+11000000-7000000</f>
        <v>8000000</v>
      </c>
      <c r="U37" s="2350">
        <v>8000000</v>
      </c>
      <c r="V37" s="2350">
        <v>6768400</v>
      </c>
      <c r="W37" s="2372">
        <v>20</v>
      </c>
      <c r="X37" s="2382" t="s">
        <v>251</v>
      </c>
      <c r="Y37" s="4881"/>
      <c r="Z37" s="4883"/>
      <c r="AA37" s="4881"/>
      <c r="AB37" s="4883"/>
      <c r="AC37" s="4874"/>
      <c r="AD37" s="4829"/>
      <c r="AE37" s="4875"/>
      <c r="AF37" s="4877"/>
      <c r="AG37" s="4875"/>
      <c r="AH37" s="4877"/>
      <c r="AI37" s="4877"/>
      <c r="AJ37" s="4877"/>
      <c r="AK37" s="4877"/>
      <c r="AL37" s="4877"/>
      <c r="AM37" s="4877"/>
      <c r="AN37" s="4877"/>
      <c r="AO37" s="4877"/>
      <c r="AP37" s="4877"/>
      <c r="AQ37" s="4877"/>
      <c r="AR37" s="4877"/>
      <c r="AS37" s="4877"/>
      <c r="AT37" s="4877"/>
      <c r="AU37" s="4877"/>
      <c r="AV37" s="4877"/>
      <c r="AW37" s="4877"/>
      <c r="AX37" s="4877"/>
      <c r="AY37" s="4877"/>
      <c r="AZ37" s="4877"/>
      <c r="BA37" s="4877"/>
      <c r="BB37" s="4877"/>
      <c r="BC37" s="4877"/>
      <c r="BD37" s="4877"/>
      <c r="BE37" s="4855"/>
      <c r="BF37" s="4869"/>
      <c r="BG37" s="4869"/>
      <c r="BH37" s="4872"/>
      <c r="BI37" s="4855"/>
      <c r="BJ37" s="4891"/>
      <c r="BK37" s="4844"/>
      <c r="BL37" s="4846"/>
      <c r="BM37" s="4844"/>
      <c r="BN37" s="4846"/>
      <c r="BO37" s="3069"/>
    </row>
    <row r="38" spans="1:67" ht="49.5" customHeight="1" x14ac:dyDescent="0.2">
      <c r="A38" s="2325"/>
      <c r="B38" s="2326"/>
      <c r="C38" s="2359"/>
      <c r="D38" s="2360"/>
      <c r="E38" s="2359"/>
      <c r="F38" s="2360"/>
      <c r="G38" s="4199">
        <v>185</v>
      </c>
      <c r="H38" s="4888" t="s">
        <v>2148</v>
      </c>
      <c r="I38" s="4791" t="s">
        <v>2149</v>
      </c>
      <c r="J38" s="4828">
        <v>1</v>
      </c>
      <c r="K38" s="4861">
        <v>0.8</v>
      </c>
      <c r="L38" s="4864"/>
      <c r="M38" s="4818"/>
      <c r="N38" s="4866"/>
      <c r="O38" s="4820">
        <f>SUM(T38:T40)/P31</f>
        <v>7.4199845976126305E-2</v>
      </c>
      <c r="P38" s="4824"/>
      <c r="Q38" s="4880"/>
      <c r="R38" s="4885" t="s">
        <v>2150</v>
      </c>
      <c r="S38" s="2341" t="s">
        <v>2151</v>
      </c>
      <c r="T38" s="2383">
        <v>19000000</v>
      </c>
      <c r="U38" s="2350">
        <v>19000000</v>
      </c>
      <c r="V38" s="2350">
        <v>0</v>
      </c>
      <c r="W38" s="2372">
        <v>20</v>
      </c>
      <c r="X38" s="2382" t="s">
        <v>251</v>
      </c>
      <c r="Y38" s="4881"/>
      <c r="Z38" s="4883"/>
      <c r="AA38" s="4881"/>
      <c r="AB38" s="4883"/>
      <c r="AC38" s="4874"/>
      <c r="AD38" s="4829"/>
      <c r="AE38" s="4875"/>
      <c r="AF38" s="4877"/>
      <c r="AG38" s="4875"/>
      <c r="AH38" s="4877"/>
      <c r="AI38" s="4877"/>
      <c r="AJ38" s="4877"/>
      <c r="AK38" s="4877"/>
      <c r="AL38" s="4877"/>
      <c r="AM38" s="4877"/>
      <c r="AN38" s="4877"/>
      <c r="AO38" s="4877"/>
      <c r="AP38" s="4877"/>
      <c r="AQ38" s="4877"/>
      <c r="AR38" s="4877"/>
      <c r="AS38" s="4877"/>
      <c r="AT38" s="4877"/>
      <c r="AU38" s="4877"/>
      <c r="AV38" s="4877"/>
      <c r="AW38" s="4877"/>
      <c r="AX38" s="4877"/>
      <c r="AY38" s="4877"/>
      <c r="AZ38" s="4877"/>
      <c r="BA38" s="4877"/>
      <c r="BB38" s="4877"/>
      <c r="BC38" s="4877"/>
      <c r="BD38" s="4877"/>
      <c r="BE38" s="4855"/>
      <c r="BF38" s="4869"/>
      <c r="BG38" s="4869"/>
      <c r="BH38" s="4872"/>
      <c r="BI38" s="4855"/>
      <c r="BJ38" s="4891"/>
      <c r="BK38" s="4844"/>
      <c r="BL38" s="4846"/>
      <c r="BM38" s="4844"/>
      <c r="BN38" s="4846"/>
      <c r="BO38" s="3069"/>
    </row>
    <row r="39" spans="1:67" ht="46.5" customHeight="1" x14ac:dyDescent="0.2">
      <c r="A39" s="2325"/>
      <c r="B39" s="2326"/>
      <c r="C39" s="2359"/>
      <c r="D39" s="2360"/>
      <c r="E39" s="2359"/>
      <c r="F39" s="2360"/>
      <c r="G39" s="4199"/>
      <c r="H39" s="4837"/>
      <c r="I39" s="4792"/>
      <c r="J39" s="4829"/>
      <c r="K39" s="4862"/>
      <c r="L39" s="4864"/>
      <c r="M39" s="4818"/>
      <c r="N39" s="4866"/>
      <c r="O39" s="4821"/>
      <c r="P39" s="4824"/>
      <c r="Q39" s="4880"/>
      <c r="R39" s="4885"/>
      <c r="S39" s="2341" t="s">
        <v>2152</v>
      </c>
      <c r="T39" s="2383">
        <v>17139400</v>
      </c>
      <c r="U39" s="2350">
        <v>10853450</v>
      </c>
      <c r="V39" s="2350">
        <v>6079154.5454545459</v>
      </c>
      <c r="W39" s="2372">
        <v>20</v>
      </c>
      <c r="X39" s="2382" t="s">
        <v>251</v>
      </c>
      <c r="Y39" s="4881"/>
      <c r="Z39" s="4883"/>
      <c r="AA39" s="4881"/>
      <c r="AB39" s="4883"/>
      <c r="AC39" s="4874"/>
      <c r="AD39" s="4829"/>
      <c r="AE39" s="4875"/>
      <c r="AF39" s="4877"/>
      <c r="AG39" s="4875"/>
      <c r="AH39" s="4877"/>
      <c r="AI39" s="4877"/>
      <c r="AJ39" s="4877"/>
      <c r="AK39" s="4877"/>
      <c r="AL39" s="4877"/>
      <c r="AM39" s="4877"/>
      <c r="AN39" s="4877"/>
      <c r="AO39" s="4877"/>
      <c r="AP39" s="4877"/>
      <c r="AQ39" s="4877"/>
      <c r="AR39" s="4877"/>
      <c r="AS39" s="4877"/>
      <c r="AT39" s="4877"/>
      <c r="AU39" s="4877"/>
      <c r="AV39" s="4877"/>
      <c r="AW39" s="4877"/>
      <c r="AX39" s="4877"/>
      <c r="AY39" s="4877"/>
      <c r="AZ39" s="4877"/>
      <c r="BA39" s="4877"/>
      <c r="BB39" s="4877"/>
      <c r="BC39" s="4877"/>
      <c r="BD39" s="4877"/>
      <c r="BE39" s="4855"/>
      <c r="BF39" s="4869"/>
      <c r="BG39" s="4869"/>
      <c r="BH39" s="4872"/>
      <c r="BI39" s="4855"/>
      <c r="BJ39" s="4891"/>
      <c r="BK39" s="4844"/>
      <c r="BL39" s="4846"/>
      <c r="BM39" s="4844"/>
      <c r="BN39" s="4846"/>
      <c r="BO39" s="3069"/>
    </row>
    <row r="40" spans="1:67" ht="66" customHeight="1" x14ac:dyDescent="0.2">
      <c r="A40" s="2325"/>
      <c r="B40" s="2326"/>
      <c r="C40" s="2359"/>
      <c r="D40" s="2360"/>
      <c r="E40" s="2359"/>
      <c r="F40" s="2360"/>
      <c r="G40" s="4200"/>
      <c r="H40" s="4889"/>
      <c r="I40" s="4793"/>
      <c r="J40" s="4830"/>
      <c r="K40" s="4863"/>
      <c r="L40" s="4864"/>
      <c r="M40" s="4818"/>
      <c r="N40" s="4866"/>
      <c r="O40" s="4822"/>
      <c r="P40" s="4824"/>
      <c r="Q40" s="4880"/>
      <c r="R40" s="4886"/>
      <c r="S40" s="2341" t="s">
        <v>2153</v>
      </c>
      <c r="T40" s="2383">
        <v>2400000</v>
      </c>
      <c r="U40" s="2350">
        <v>2400000</v>
      </c>
      <c r="V40" s="2350">
        <v>1854545.4545454546</v>
      </c>
      <c r="W40" s="2372">
        <v>20</v>
      </c>
      <c r="X40" s="2382" t="s">
        <v>251</v>
      </c>
      <c r="Y40" s="4881"/>
      <c r="Z40" s="4883"/>
      <c r="AA40" s="4881"/>
      <c r="AB40" s="4883"/>
      <c r="AC40" s="4874"/>
      <c r="AD40" s="4829"/>
      <c r="AE40" s="4875"/>
      <c r="AF40" s="4877"/>
      <c r="AG40" s="4875"/>
      <c r="AH40" s="4877"/>
      <c r="AI40" s="4877"/>
      <c r="AJ40" s="4877"/>
      <c r="AK40" s="4877"/>
      <c r="AL40" s="4877"/>
      <c r="AM40" s="4877"/>
      <c r="AN40" s="4877"/>
      <c r="AO40" s="4877"/>
      <c r="AP40" s="4877"/>
      <c r="AQ40" s="4877"/>
      <c r="AR40" s="4877"/>
      <c r="AS40" s="4877"/>
      <c r="AT40" s="4877"/>
      <c r="AU40" s="4877"/>
      <c r="AV40" s="4877"/>
      <c r="AW40" s="4877"/>
      <c r="AX40" s="4877"/>
      <c r="AY40" s="4877"/>
      <c r="AZ40" s="4877"/>
      <c r="BA40" s="4877"/>
      <c r="BB40" s="4877"/>
      <c r="BC40" s="4877"/>
      <c r="BD40" s="4877"/>
      <c r="BE40" s="4855"/>
      <c r="BF40" s="4869"/>
      <c r="BG40" s="4869"/>
      <c r="BH40" s="4872"/>
      <c r="BI40" s="4855"/>
      <c r="BJ40" s="4891"/>
      <c r="BK40" s="4844"/>
      <c r="BL40" s="4846"/>
      <c r="BM40" s="4844"/>
      <c r="BN40" s="4846"/>
      <c r="BO40" s="3069"/>
    </row>
    <row r="41" spans="1:67" ht="84.75" customHeight="1" x14ac:dyDescent="0.2">
      <c r="A41" s="2325"/>
      <c r="B41" s="2326"/>
      <c r="C41" s="2359"/>
      <c r="D41" s="2360"/>
      <c r="E41" s="2359"/>
      <c r="F41" s="2380"/>
      <c r="G41" s="3729">
        <v>186</v>
      </c>
      <c r="H41" s="4893" t="s">
        <v>2154</v>
      </c>
      <c r="I41" s="4894" t="s">
        <v>2155</v>
      </c>
      <c r="J41" s="4874">
        <v>1</v>
      </c>
      <c r="K41" s="4861">
        <v>0.8</v>
      </c>
      <c r="L41" s="4864"/>
      <c r="M41" s="4818"/>
      <c r="N41" s="4866"/>
      <c r="O41" s="4895">
        <f>SUM(T41:T43)/P31</f>
        <v>7.7011936850211779E-2</v>
      </c>
      <c r="P41" s="4824"/>
      <c r="Q41" s="4880"/>
      <c r="R41" s="4887" t="s">
        <v>2156</v>
      </c>
      <c r="S41" s="2385" t="s">
        <v>2157</v>
      </c>
      <c r="T41" s="2383">
        <f>25000000+1451000</f>
        <v>26451000</v>
      </c>
      <c r="U41" s="2350">
        <v>26451000</v>
      </c>
      <c r="V41" s="2350">
        <v>0</v>
      </c>
      <c r="W41" s="2372">
        <v>20</v>
      </c>
      <c r="X41" s="2382" t="s">
        <v>251</v>
      </c>
      <c r="Y41" s="4881"/>
      <c r="Z41" s="4883"/>
      <c r="AA41" s="4881"/>
      <c r="AB41" s="4883"/>
      <c r="AC41" s="4874"/>
      <c r="AD41" s="4829"/>
      <c r="AE41" s="4875"/>
      <c r="AF41" s="4877"/>
      <c r="AG41" s="4875"/>
      <c r="AH41" s="4877"/>
      <c r="AI41" s="4877"/>
      <c r="AJ41" s="4877"/>
      <c r="AK41" s="4877"/>
      <c r="AL41" s="4877"/>
      <c r="AM41" s="4877"/>
      <c r="AN41" s="4877"/>
      <c r="AO41" s="4877"/>
      <c r="AP41" s="4877"/>
      <c r="AQ41" s="4877"/>
      <c r="AR41" s="4877"/>
      <c r="AS41" s="4877"/>
      <c r="AT41" s="4877"/>
      <c r="AU41" s="4877"/>
      <c r="AV41" s="4877"/>
      <c r="AW41" s="4877"/>
      <c r="AX41" s="4877"/>
      <c r="AY41" s="4877"/>
      <c r="AZ41" s="4877"/>
      <c r="BA41" s="4877"/>
      <c r="BB41" s="4877"/>
      <c r="BC41" s="4877"/>
      <c r="BD41" s="4877"/>
      <c r="BE41" s="4855"/>
      <c r="BF41" s="4869"/>
      <c r="BG41" s="4869"/>
      <c r="BH41" s="4872"/>
      <c r="BI41" s="4855"/>
      <c r="BJ41" s="4891"/>
      <c r="BK41" s="4844"/>
      <c r="BL41" s="4846"/>
      <c r="BM41" s="4844"/>
      <c r="BN41" s="4846"/>
      <c r="BO41" s="3069"/>
    </row>
    <row r="42" spans="1:67" ht="64.5" customHeight="1" x14ac:dyDescent="0.2">
      <c r="A42" s="2325"/>
      <c r="B42" s="2326"/>
      <c r="C42" s="2359"/>
      <c r="D42" s="2360"/>
      <c r="E42" s="2359"/>
      <c r="F42" s="2380"/>
      <c r="G42" s="3729"/>
      <c r="H42" s="4893"/>
      <c r="I42" s="4894"/>
      <c r="J42" s="4874"/>
      <c r="K42" s="4862"/>
      <c r="L42" s="4864"/>
      <c r="M42" s="4818"/>
      <c r="N42" s="4866"/>
      <c r="O42" s="4895"/>
      <c r="P42" s="4824"/>
      <c r="Q42" s="4880"/>
      <c r="R42" s="4885"/>
      <c r="S42" s="2385" t="s">
        <v>2158</v>
      </c>
      <c r="T42" s="2383">
        <f>8500000-1451000</f>
        <v>7049000</v>
      </c>
      <c r="U42" s="2350">
        <v>7049000</v>
      </c>
      <c r="V42" s="2350">
        <v>2707273.7931613643</v>
      </c>
      <c r="W42" s="2372">
        <v>20</v>
      </c>
      <c r="X42" s="2382" t="s">
        <v>251</v>
      </c>
      <c r="Y42" s="4881"/>
      <c r="Z42" s="4883"/>
      <c r="AA42" s="4881"/>
      <c r="AB42" s="4883"/>
      <c r="AC42" s="4874"/>
      <c r="AD42" s="4829"/>
      <c r="AE42" s="4875"/>
      <c r="AF42" s="4877"/>
      <c r="AG42" s="4875"/>
      <c r="AH42" s="4877"/>
      <c r="AI42" s="4877"/>
      <c r="AJ42" s="4877"/>
      <c r="AK42" s="4877"/>
      <c r="AL42" s="4877"/>
      <c r="AM42" s="4877"/>
      <c r="AN42" s="4877"/>
      <c r="AO42" s="4877"/>
      <c r="AP42" s="4877"/>
      <c r="AQ42" s="4877"/>
      <c r="AR42" s="4877"/>
      <c r="AS42" s="4877"/>
      <c r="AT42" s="4877"/>
      <c r="AU42" s="4877"/>
      <c r="AV42" s="4877"/>
      <c r="AW42" s="4877"/>
      <c r="AX42" s="4877"/>
      <c r="AY42" s="4877"/>
      <c r="AZ42" s="4877"/>
      <c r="BA42" s="4877"/>
      <c r="BB42" s="4877"/>
      <c r="BC42" s="4877"/>
      <c r="BD42" s="4877"/>
      <c r="BE42" s="4855"/>
      <c r="BF42" s="4869"/>
      <c r="BG42" s="4869"/>
      <c r="BH42" s="4872"/>
      <c r="BI42" s="4855"/>
      <c r="BJ42" s="4891"/>
      <c r="BK42" s="4844"/>
      <c r="BL42" s="4846"/>
      <c r="BM42" s="4844"/>
      <c r="BN42" s="4846"/>
      <c r="BO42" s="3069"/>
    </row>
    <row r="43" spans="1:67" ht="71.25" x14ac:dyDescent="0.2">
      <c r="A43" s="2325"/>
      <c r="B43" s="2326"/>
      <c r="C43" s="2359"/>
      <c r="D43" s="2360"/>
      <c r="E43" s="2359"/>
      <c r="F43" s="2380"/>
      <c r="G43" s="3729"/>
      <c r="H43" s="4893"/>
      <c r="I43" s="4894"/>
      <c r="J43" s="4874"/>
      <c r="K43" s="4863"/>
      <c r="L43" s="4864"/>
      <c r="M43" s="4819"/>
      <c r="N43" s="4867"/>
      <c r="O43" s="4895"/>
      <c r="P43" s="4824"/>
      <c r="Q43" s="4880"/>
      <c r="R43" s="4886"/>
      <c r="S43" s="2386" t="s">
        <v>2159</v>
      </c>
      <c r="T43" s="2383">
        <v>6500000</v>
      </c>
      <c r="U43" s="2350">
        <v>6500000</v>
      </c>
      <c r="V43" s="2350">
        <v>2545523.2550002099</v>
      </c>
      <c r="W43" s="2372">
        <v>20</v>
      </c>
      <c r="X43" s="2382" t="s">
        <v>251</v>
      </c>
      <c r="Y43" s="4881"/>
      <c r="Z43" s="4884"/>
      <c r="AA43" s="4881"/>
      <c r="AB43" s="4884"/>
      <c r="AC43" s="4874"/>
      <c r="AD43" s="4830"/>
      <c r="AE43" s="4875"/>
      <c r="AF43" s="4878"/>
      <c r="AG43" s="4875"/>
      <c r="AH43" s="4878"/>
      <c r="AI43" s="4878"/>
      <c r="AJ43" s="4878"/>
      <c r="AK43" s="4878"/>
      <c r="AL43" s="4878"/>
      <c r="AM43" s="4878"/>
      <c r="AN43" s="4878"/>
      <c r="AO43" s="4878"/>
      <c r="AP43" s="4878"/>
      <c r="AQ43" s="4878"/>
      <c r="AR43" s="4878"/>
      <c r="AS43" s="4878"/>
      <c r="AT43" s="4878"/>
      <c r="AU43" s="4878"/>
      <c r="AV43" s="4878"/>
      <c r="AW43" s="4878"/>
      <c r="AX43" s="4878"/>
      <c r="AY43" s="4878"/>
      <c r="AZ43" s="4878"/>
      <c r="BA43" s="4878"/>
      <c r="BB43" s="4878"/>
      <c r="BC43" s="4878"/>
      <c r="BD43" s="4878"/>
      <c r="BE43" s="4856"/>
      <c r="BF43" s="4870"/>
      <c r="BG43" s="4870"/>
      <c r="BH43" s="4873"/>
      <c r="BI43" s="4856"/>
      <c r="BJ43" s="4892"/>
      <c r="BK43" s="4844"/>
      <c r="BL43" s="4843"/>
      <c r="BM43" s="4844"/>
      <c r="BN43" s="4843"/>
      <c r="BO43" s="3069"/>
    </row>
    <row r="44" spans="1:67" ht="15" x14ac:dyDescent="0.2">
      <c r="A44" s="2325"/>
      <c r="B44" s="2326"/>
      <c r="C44" s="2359"/>
      <c r="D44" s="2360"/>
      <c r="E44" s="2387">
        <v>60</v>
      </c>
      <c r="F44" s="2337" t="s">
        <v>2160</v>
      </c>
      <c r="G44" s="2338"/>
      <c r="H44" s="2361"/>
      <c r="I44" s="2361"/>
      <c r="J44" s="2338"/>
      <c r="K44" s="2362"/>
      <c r="L44" s="2338"/>
      <c r="M44" s="2338"/>
      <c r="N44" s="1111"/>
      <c r="O44" s="2338"/>
      <c r="P44" s="2369"/>
      <c r="Q44" s="2361"/>
      <c r="R44" s="2361"/>
      <c r="S44" s="2361"/>
      <c r="T44" s="2388"/>
      <c r="U44" s="2374"/>
      <c r="V44" s="2389"/>
      <c r="W44" s="2390"/>
      <c r="X44" s="1111"/>
      <c r="Y44" s="1456"/>
      <c r="Z44" s="1456"/>
      <c r="AA44" s="1456"/>
      <c r="AB44" s="1456"/>
      <c r="AC44" s="1456"/>
      <c r="AD44" s="1456"/>
      <c r="AE44" s="1456"/>
      <c r="AF44" s="1456"/>
      <c r="AG44" s="1456"/>
      <c r="AH44" s="1456"/>
      <c r="AI44" s="1456"/>
      <c r="AJ44" s="1456"/>
      <c r="AK44" s="1456"/>
      <c r="AL44" s="1456"/>
      <c r="AM44" s="1456"/>
      <c r="AN44" s="1456"/>
      <c r="AO44" s="1456"/>
      <c r="AP44" s="1456"/>
      <c r="AQ44" s="1456"/>
      <c r="AR44" s="1456"/>
      <c r="AS44" s="1456"/>
      <c r="AT44" s="1456"/>
      <c r="AU44" s="1456"/>
      <c r="AV44" s="1456"/>
      <c r="AW44" s="1456"/>
      <c r="AX44" s="1456"/>
      <c r="AY44" s="1456"/>
      <c r="AZ44" s="1456"/>
      <c r="BA44" s="1456"/>
      <c r="BB44" s="1456"/>
      <c r="BC44" s="1456"/>
      <c r="BD44" s="1111"/>
      <c r="BE44" s="2338"/>
      <c r="BF44" s="2369"/>
      <c r="BG44" s="2369"/>
      <c r="BH44" s="2338"/>
      <c r="BI44" s="2338"/>
      <c r="BJ44" s="2338"/>
      <c r="BK44" s="2338"/>
      <c r="BL44" s="2338"/>
      <c r="BM44" s="2338"/>
      <c r="BN44" s="2338"/>
      <c r="BO44" s="1219"/>
    </row>
    <row r="45" spans="1:67" ht="52.5" customHeight="1" x14ac:dyDescent="0.2">
      <c r="A45" s="2325"/>
      <c r="B45" s="2326"/>
      <c r="C45" s="2359"/>
      <c r="D45" s="2360"/>
      <c r="E45" s="2370"/>
      <c r="F45" s="2371"/>
      <c r="G45" s="4198">
        <v>187</v>
      </c>
      <c r="H45" s="4888" t="s">
        <v>2161</v>
      </c>
      <c r="I45" s="4825" t="s">
        <v>2162</v>
      </c>
      <c r="J45" s="4902">
        <v>1</v>
      </c>
      <c r="K45" s="4905">
        <v>0.9</v>
      </c>
      <c r="L45" s="4798" t="s">
        <v>2163</v>
      </c>
      <c r="M45" s="4896" t="s">
        <v>2164</v>
      </c>
      <c r="N45" s="4789" t="s">
        <v>2165</v>
      </c>
      <c r="O45" s="4897">
        <f>SUM(T45:T50)/P45</f>
        <v>0.26666666666666666</v>
      </c>
      <c r="P45" s="4823">
        <f>SUM(T45:T56)</f>
        <v>120000000</v>
      </c>
      <c r="Q45" s="4789" t="s">
        <v>2166</v>
      </c>
      <c r="R45" s="4894" t="s">
        <v>2167</v>
      </c>
      <c r="S45" s="2341" t="s">
        <v>2168</v>
      </c>
      <c r="T45" s="2350">
        <v>10000000</v>
      </c>
      <c r="U45" s="2350">
        <v>10000000</v>
      </c>
      <c r="V45" s="2350">
        <v>6517066.9491093438</v>
      </c>
      <c r="W45" s="2372">
        <v>20</v>
      </c>
      <c r="X45" s="2382" t="s">
        <v>251</v>
      </c>
      <c r="Y45" s="4828">
        <v>3022</v>
      </c>
      <c r="Z45" s="4828">
        <v>2500</v>
      </c>
      <c r="AA45" s="4876">
        <v>2010</v>
      </c>
      <c r="AB45" s="4876">
        <v>1500</v>
      </c>
      <c r="AC45" s="4828"/>
      <c r="AD45" s="2344"/>
      <c r="AE45" s="4828">
        <v>2912</v>
      </c>
      <c r="AF45" s="4828">
        <v>2500</v>
      </c>
      <c r="AG45" s="4828">
        <v>2120</v>
      </c>
      <c r="AH45" s="4828">
        <v>1500</v>
      </c>
      <c r="AI45" s="4828"/>
      <c r="AJ45" s="2344"/>
      <c r="AK45" s="4906"/>
      <c r="AL45" s="2391"/>
      <c r="AM45" s="4828"/>
      <c r="AN45" s="2344"/>
      <c r="AO45" s="4828"/>
      <c r="AP45" s="2344"/>
      <c r="AQ45" s="4828"/>
      <c r="AR45" s="2344"/>
      <c r="AS45" s="4828"/>
      <c r="AT45" s="2344"/>
      <c r="AU45" s="4828"/>
      <c r="AV45" s="2344"/>
      <c r="AW45" s="4828"/>
      <c r="AX45" s="2344"/>
      <c r="AY45" s="4828"/>
      <c r="AZ45" s="2344"/>
      <c r="BA45" s="4828"/>
      <c r="BB45" s="2344"/>
      <c r="BC45" s="4876">
        <f>+AE45+AG45</f>
        <v>5032</v>
      </c>
      <c r="BD45" s="4876">
        <f>+Z45+AB45</f>
        <v>4000</v>
      </c>
      <c r="BE45" s="4902">
        <v>13</v>
      </c>
      <c r="BF45" s="4868">
        <f>SUM(U45:U56)</f>
        <v>103791167</v>
      </c>
      <c r="BG45" s="4868">
        <f>SUM(V45:V56)</f>
        <v>73969900</v>
      </c>
      <c r="BH45" s="4911">
        <f>+BG45/BF45</f>
        <v>0.71268010696902562</v>
      </c>
      <c r="BI45" s="4908" t="s">
        <v>2169</v>
      </c>
      <c r="BJ45" s="4908" t="s">
        <v>2170</v>
      </c>
      <c r="BK45" s="4914">
        <v>43467</v>
      </c>
      <c r="BL45" s="4917">
        <v>43467</v>
      </c>
      <c r="BM45" s="4918">
        <v>43809</v>
      </c>
      <c r="BN45" s="4844">
        <v>43809</v>
      </c>
      <c r="BO45" s="4908" t="s">
        <v>2105</v>
      </c>
    </row>
    <row r="46" spans="1:67" ht="45" customHeight="1" x14ac:dyDescent="0.2">
      <c r="A46" s="2325"/>
      <c r="B46" s="2326"/>
      <c r="C46" s="2359"/>
      <c r="D46" s="2360"/>
      <c r="E46" s="2359"/>
      <c r="F46" s="2360"/>
      <c r="G46" s="4199"/>
      <c r="H46" s="4837"/>
      <c r="I46" s="4826"/>
      <c r="J46" s="4903"/>
      <c r="K46" s="4905"/>
      <c r="L46" s="4799"/>
      <c r="M46" s="4896"/>
      <c r="N46" s="4789"/>
      <c r="O46" s="4898"/>
      <c r="P46" s="4823"/>
      <c r="Q46" s="4789"/>
      <c r="R46" s="4894"/>
      <c r="S46" s="2341" t="s">
        <v>2171</v>
      </c>
      <c r="T46" s="2350">
        <f>8000000-8000000</f>
        <v>0</v>
      </c>
      <c r="U46" s="2350">
        <v>0</v>
      </c>
      <c r="V46" s="2350">
        <v>0</v>
      </c>
      <c r="W46" s="2372">
        <v>20</v>
      </c>
      <c r="X46" s="2382" t="s">
        <v>251</v>
      </c>
      <c r="Y46" s="4829"/>
      <c r="Z46" s="4829"/>
      <c r="AA46" s="4877"/>
      <c r="AB46" s="4877"/>
      <c r="AC46" s="4829"/>
      <c r="AD46" s="2346"/>
      <c r="AE46" s="4829"/>
      <c r="AF46" s="4829"/>
      <c r="AG46" s="4829"/>
      <c r="AH46" s="4829"/>
      <c r="AI46" s="4829"/>
      <c r="AJ46" s="2346"/>
      <c r="AK46" s="4907"/>
      <c r="AL46" s="2392"/>
      <c r="AM46" s="4829"/>
      <c r="AN46" s="2346"/>
      <c r="AO46" s="4829"/>
      <c r="AP46" s="2346"/>
      <c r="AQ46" s="4829"/>
      <c r="AR46" s="2346"/>
      <c r="AS46" s="4829"/>
      <c r="AT46" s="2346"/>
      <c r="AU46" s="4829"/>
      <c r="AV46" s="2346"/>
      <c r="AW46" s="4829"/>
      <c r="AX46" s="2346"/>
      <c r="AY46" s="4829"/>
      <c r="AZ46" s="2346"/>
      <c r="BA46" s="4829"/>
      <c r="BB46" s="2346"/>
      <c r="BC46" s="4829"/>
      <c r="BD46" s="4829"/>
      <c r="BE46" s="4903"/>
      <c r="BF46" s="4869"/>
      <c r="BG46" s="4869"/>
      <c r="BH46" s="4912"/>
      <c r="BI46" s="4909"/>
      <c r="BJ46" s="4909"/>
      <c r="BK46" s="4915"/>
      <c r="BL46" s="4917"/>
      <c r="BM46" s="4919"/>
      <c r="BN46" s="4844"/>
      <c r="BO46" s="4909"/>
    </row>
    <row r="47" spans="1:67" ht="51" customHeight="1" x14ac:dyDescent="0.2">
      <c r="A47" s="2325"/>
      <c r="B47" s="2326"/>
      <c r="C47" s="2359"/>
      <c r="D47" s="2360"/>
      <c r="E47" s="2359"/>
      <c r="F47" s="2360"/>
      <c r="G47" s="4199"/>
      <c r="H47" s="4837"/>
      <c r="I47" s="4826"/>
      <c r="J47" s="4903"/>
      <c r="K47" s="4905"/>
      <c r="L47" s="4799"/>
      <c r="M47" s="4896"/>
      <c r="N47" s="4789"/>
      <c r="O47" s="4898"/>
      <c r="P47" s="4823"/>
      <c r="Q47" s="4789"/>
      <c r="R47" s="4894"/>
      <c r="S47" s="2341" t="s">
        <v>2172</v>
      </c>
      <c r="T47" s="2350">
        <v>8000000</v>
      </c>
      <c r="U47" s="2350">
        <v>7940300</v>
      </c>
      <c r="V47" s="2350">
        <v>4319287.6712328773</v>
      </c>
      <c r="W47" s="2372">
        <v>20</v>
      </c>
      <c r="X47" s="2382" t="s">
        <v>251</v>
      </c>
      <c r="Y47" s="4829"/>
      <c r="Z47" s="4829"/>
      <c r="AA47" s="4877"/>
      <c r="AB47" s="4877"/>
      <c r="AC47" s="4829"/>
      <c r="AD47" s="2346"/>
      <c r="AE47" s="4829"/>
      <c r="AF47" s="4829"/>
      <c r="AG47" s="4829"/>
      <c r="AH47" s="4829"/>
      <c r="AI47" s="4829"/>
      <c r="AJ47" s="2346"/>
      <c r="AK47" s="4907"/>
      <c r="AL47" s="2392"/>
      <c r="AM47" s="4829"/>
      <c r="AN47" s="2346"/>
      <c r="AO47" s="4829"/>
      <c r="AP47" s="2346"/>
      <c r="AQ47" s="4829"/>
      <c r="AR47" s="2346"/>
      <c r="AS47" s="4829"/>
      <c r="AT47" s="2346"/>
      <c r="AU47" s="4829"/>
      <c r="AV47" s="2346"/>
      <c r="AW47" s="4829"/>
      <c r="AX47" s="2346"/>
      <c r="AY47" s="4829"/>
      <c r="AZ47" s="2346"/>
      <c r="BA47" s="4829"/>
      <c r="BB47" s="2346"/>
      <c r="BC47" s="4829"/>
      <c r="BD47" s="4829"/>
      <c r="BE47" s="4903"/>
      <c r="BF47" s="4869"/>
      <c r="BG47" s="4869"/>
      <c r="BH47" s="4912"/>
      <c r="BI47" s="4909"/>
      <c r="BJ47" s="4909"/>
      <c r="BK47" s="4915"/>
      <c r="BL47" s="4917"/>
      <c r="BM47" s="4919"/>
      <c r="BN47" s="4844"/>
      <c r="BO47" s="4909"/>
    </row>
    <row r="48" spans="1:67" ht="63.75" customHeight="1" x14ac:dyDescent="0.2">
      <c r="A48" s="2325"/>
      <c r="B48" s="2326"/>
      <c r="C48" s="2359"/>
      <c r="D48" s="2360"/>
      <c r="E48" s="2359"/>
      <c r="F48" s="2360"/>
      <c r="G48" s="4199"/>
      <c r="H48" s="4837"/>
      <c r="I48" s="4826"/>
      <c r="J48" s="4903"/>
      <c r="K48" s="4905"/>
      <c r="L48" s="4799"/>
      <c r="M48" s="4896"/>
      <c r="N48" s="4789"/>
      <c r="O48" s="4898"/>
      <c r="P48" s="4823"/>
      <c r="Q48" s="4789"/>
      <c r="R48" s="4894"/>
      <c r="S48" s="2341" t="s">
        <v>2173</v>
      </c>
      <c r="T48" s="2350">
        <v>4000000</v>
      </c>
      <c r="U48" s="2350">
        <v>4000000</v>
      </c>
      <c r="V48" s="2350">
        <v>3410958.9041095888</v>
      </c>
      <c r="W48" s="2372">
        <v>20</v>
      </c>
      <c r="X48" s="2382" t="s">
        <v>251</v>
      </c>
      <c r="Y48" s="4829"/>
      <c r="Z48" s="4829"/>
      <c r="AA48" s="4877"/>
      <c r="AB48" s="4877"/>
      <c r="AC48" s="4829"/>
      <c r="AD48" s="2346"/>
      <c r="AE48" s="4829"/>
      <c r="AF48" s="4829"/>
      <c r="AG48" s="4829"/>
      <c r="AH48" s="4829"/>
      <c r="AI48" s="4829"/>
      <c r="AJ48" s="2346"/>
      <c r="AK48" s="4907"/>
      <c r="AL48" s="2392"/>
      <c r="AM48" s="4829"/>
      <c r="AN48" s="2346"/>
      <c r="AO48" s="4829"/>
      <c r="AP48" s="2346"/>
      <c r="AQ48" s="4829"/>
      <c r="AR48" s="2346"/>
      <c r="AS48" s="4829"/>
      <c r="AT48" s="2346"/>
      <c r="AU48" s="4829"/>
      <c r="AV48" s="2346"/>
      <c r="AW48" s="4829"/>
      <c r="AX48" s="2346"/>
      <c r="AY48" s="4829"/>
      <c r="AZ48" s="2346"/>
      <c r="BA48" s="4829"/>
      <c r="BB48" s="2346"/>
      <c r="BC48" s="4829"/>
      <c r="BD48" s="4829"/>
      <c r="BE48" s="4903"/>
      <c r="BF48" s="4869"/>
      <c r="BG48" s="4869"/>
      <c r="BH48" s="4912"/>
      <c r="BI48" s="4909"/>
      <c r="BJ48" s="4909"/>
      <c r="BK48" s="4915"/>
      <c r="BL48" s="4917"/>
      <c r="BM48" s="4919"/>
      <c r="BN48" s="4844"/>
      <c r="BO48" s="4909"/>
    </row>
    <row r="49" spans="1:67" ht="46.5" customHeight="1" x14ac:dyDescent="0.2">
      <c r="A49" s="2325"/>
      <c r="B49" s="2326"/>
      <c r="C49" s="2359"/>
      <c r="D49" s="2360"/>
      <c r="E49" s="2359"/>
      <c r="F49" s="2360"/>
      <c r="G49" s="4199"/>
      <c r="H49" s="4837"/>
      <c r="I49" s="4826"/>
      <c r="J49" s="4903"/>
      <c r="K49" s="4905"/>
      <c r="L49" s="4799"/>
      <c r="M49" s="4896"/>
      <c r="N49" s="4789"/>
      <c r="O49" s="4898"/>
      <c r="P49" s="4823"/>
      <c r="Q49" s="4789"/>
      <c r="R49" s="4894"/>
      <c r="S49" s="2341" t="s">
        <v>2174</v>
      </c>
      <c r="T49" s="2350">
        <v>9000000</v>
      </c>
      <c r="U49" s="2350">
        <v>9000000</v>
      </c>
      <c r="V49" s="2350">
        <v>3683000</v>
      </c>
      <c r="W49" s="2372">
        <v>20</v>
      </c>
      <c r="X49" s="2382" t="s">
        <v>251</v>
      </c>
      <c r="Y49" s="4829"/>
      <c r="Z49" s="4829"/>
      <c r="AA49" s="4877"/>
      <c r="AB49" s="4877"/>
      <c r="AC49" s="4829"/>
      <c r="AD49" s="2346"/>
      <c r="AE49" s="4829"/>
      <c r="AF49" s="4829"/>
      <c r="AG49" s="4829"/>
      <c r="AH49" s="4829"/>
      <c r="AI49" s="4829"/>
      <c r="AJ49" s="2346"/>
      <c r="AK49" s="4907"/>
      <c r="AL49" s="2392"/>
      <c r="AM49" s="4829"/>
      <c r="AN49" s="2346"/>
      <c r="AO49" s="4829"/>
      <c r="AP49" s="2346"/>
      <c r="AQ49" s="4829"/>
      <c r="AR49" s="2346"/>
      <c r="AS49" s="4829"/>
      <c r="AT49" s="2346"/>
      <c r="AU49" s="4829"/>
      <c r="AV49" s="2346"/>
      <c r="AW49" s="4829"/>
      <c r="AX49" s="2346"/>
      <c r="AY49" s="4829"/>
      <c r="AZ49" s="2346"/>
      <c r="BA49" s="4829"/>
      <c r="BB49" s="2346"/>
      <c r="BC49" s="4829"/>
      <c r="BD49" s="4829"/>
      <c r="BE49" s="4903"/>
      <c r="BF49" s="4869"/>
      <c r="BG49" s="4869"/>
      <c r="BH49" s="4912"/>
      <c r="BI49" s="4909"/>
      <c r="BJ49" s="4909"/>
      <c r="BK49" s="4915"/>
      <c r="BL49" s="4917"/>
      <c r="BM49" s="4919"/>
      <c r="BN49" s="4844"/>
      <c r="BO49" s="4909"/>
    </row>
    <row r="50" spans="1:67" ht="35.25" customHeight="1" x14ac:dyDescent="0.2">
      <c r="A50" s="2325"/>
      <c r="B50" s="2326"/>
      <c r="C50" s="2359"/>
      <c r="D50" s="2360"/>
      <c r="E50" s="2359"/>
      <c r="F50" s="2360"/>
      <c r="G50" s="4200"/>
      <c r="H50" s="4889"/>
      <c r="I50" s="4827"/>
      <c r="J50" s="4904"/>
      <c r="K50" s="4905"/>
      <c r="L50" s="4799"/>
      <c r="M50" s="4896"/>
      <c r="N50" s="4789"/>
      <c r="O50" s="4899"/>
      <c r="P50" s="4823"/>
      <c r="Q50" s="4789"/>
      <c r="R50" s="4894"/>
      <c r="S50" s="2341" t="s">
        <v>2175</v>
      </c>
      <c r="T50" s="2350">
        <v>1000000</v>
      </c>
      <c r="U50" s="2350">
        <v>500000</v>
      </c>
      <c r="V50" s="2350">
        <v>0</v>
      </c>
      <c r="W50" s="2372">
        <v>20</v>
      </c>
      <c r="X50" s="2382" t="s">
        <v>251</v>
      </c>
      <c r="Y50" s="4829"/>
      <c r="Z50" s="4829"/>
      <c r="AA50" s="4877"/>
      <c r="AB50" s="4877"/>
      <c r="AC50" s="4829"/>
      <c r="AD50" s="2346"/>
      <c r="AE50" s="4829"/>
      <c r="AF50" s="4829"/>
      <c r="AG50" s="4829"/>
      <c r="AH50" s="4829"/>
      <c r="AI50" s="4829"/>
      <c r="AJ50" s="2346"/>
      <c r="AK50" s="4907"/>
      <c r="AL50" s="2392"/>
      <c r="AM50" s="4829"/>
      <c r="AN50" s="2346"/>
      <c r="AO50" s="4829"/>
      <c r="AP50" s="2346"/>
      <c r="AQ50" s="4829"/>
      <c r="AR50" s="2346"/>
      <c r="AS50" s="4829"/>
      <c r="AT50" s="2346"/>
      <c r="AU50" s="4829"/>
      <c r="AV50" s="2346"/>
      <c r="AW50" s="4829"/>
      <c r="AX50" s="2346"/>
      <c r="AY50" s="4829"/>
      <c r="AZ50" s="2346"/>
      <c r="BA50" s="4829"/>
      <c r="BB50" s="2346"/>
      <c r="BC50" s="4829"/>
      <c r="BD50" s="4829"/>
      <c r="BE50" s="4903"/>
      <c r="BF50" s="4869"/>
      <c r="BG50" s="4869"/>
      <c r="BH50" s="4912"/>
      <c r="BI50" s="4909"/>
      <c r="BJ50" s="4909"/>
      <c r="BK50" s="4915"/>
      <c r="BL50" s="4917"/>
      <c r="BM50" s="4919"/>
      <c r="BN50" s="4844"/>
      <c r="BO50" s="4909"/>
    </row>
    <row r="51" spans="1:67" ht="89.25" customHeight="1" x14ac:dyDescent="0.2">
      <c r="A51" s="2325"/>
      <c r="B51" s="2326"/>
      <c r="C51" s="2359"/>
      <c r="D51" s="2360"/>
      <c r="E51" s="2359"/>
      <c r="F51" s="2360"/>
      <c r="G51" s="4198">
        <v>188</v>
      </c>
      <c r="H51" s="4888" t="s">
        <v>2176</v>
      </c>
      <c r="I51" s="4825" t="s">
        <v>2177</v>
      </c>
      <c r="J51" s="4902">
        <v>2</v>
      </c>
      <c r="K51" s="4905">
        <v>1.9</v>
      </c>
      <c r="L51" s="4799"/>
      <c r="M51" s="4896"/>
      <c r="N51" s="4789"/>
      <c r="O51" s="4897">
        <f>SUM(T51:T53)/P45</f>
        <v>0.4</v>
      </c>
      <c r="P51" s="4823"/>
      <c r="Q51" s="4789"/>
      <c r="R51" s="4825" t="s">
        <v>2176</v>
      </c>
      <c r="S51" s="2347" t="s">
        <v>2178</v>
      </c>
      <c r="T51" s="2350">
        <v>30000000</v>
      </c>
      <c r="U51" s="2350">
        <v>26667600</v>
      </c>
      <c r="V51" s="2350">
        <v>20073522.015222169</v>
      </c>
      <c r="W51" s="2372">
        <v>20</v>
      </c>
      <c r="X51" s="2382" t="s">
        <v>251</v>
      </c>
      <c r="Y51" s="4829"/>
      <c r="Z51" s="4829"/>
      <c r="AA51" s="4877"/>
      <c r="AB51" s="4877"/>
      <c r="AC51" s="4829"/>
      <c r="AD51" s="2346"/>
      <c r="AE51" s="4829"/>
      <c r="AF51" s="4829"/>
      <c r="AG51" s="4829"/>
      <c r="AH51" s="4829"/>
      <c r="AI51" s="4829"/>
      <c r="AJ51" s="2346"/>
      <c r="AK51" s="4907"/>
      <c r="AL51" s="2392"/>
      <c r="AM51" s="4829"/>
      <c r="AN51" s="2346"/>
      <c r="AO51" s="4829"/>
      <c r="AP51" s="2346"/>
      <c r="AQ51" s="4829"/>
      <c r="AR51" s="2346"/>
      <c r="AS51" s="4829"/>
      <c r="AT51" s="2346"/>
      <c r="AU51" s="4829"/>
      <c r="AV51" s="2346"/>
      <c r="AW51" s="4829"/>
      <c r="AX51" s="2346"/>
      <c r="AY51" s="4829"/>
      <c r="AZ51" s="2346"/>
      <c r="BA51" s="4829"/>
      <c r="BB51" s="2346"/>
      <c r="BC51" s="4829"/>
      <c r="BD51" s="4829"/>
      <c r="BE51" s="4903"/>
      <c r="BF51" s="4869"/>
      <c r="BG51" s="4869"/>
      <c r="BH51" s="4912"/>
      <c r="BI51" s="4909"/>
      <c r="BJ51" s="4909"/>
      <c r="BK51" s="4915"/>
      <c r="BL51" s="4917"/>
      <c r="BM51" s="4919"/>
      <c r="BN51" s="4844"/>
      <c r="BO51" s="4909"/>
    </row>
    <row r="52" spans="1:67" ht="52.5" customHeight="1" x14ac:dyDescent="0.2">
      <c r="A52" s="2325"/>
      <c r="B52" s="2326"/>
      <c r="C52" s="2359"/>
      <c r="D52" s="2360"/>
      <c r="E52" s="2359"/>
      <c r="F52" s="2360"/>
      <c r="G52" s="4199"/>
      <c r="H52" s="4837"/>
      <c r="I52" s="4826"/>
      <c r="J52" s="4903"/>
      <c r="K52" s="4905"/>
      <c r="L52" s="4799"/>
      <c r="M52" s="4896"/>
      <c r="N52" s="4789"/>
      <c r="O52" s="4898"/>
      <c r="P52" s="4823"/>
      <c r="Q52" s="4789"/>
      <c r="R52" s="4826"/>
      <c r="S52" s="2347" t="s">
        <v>2179</v>
      </c>
      <c r="T52" s="2350">
        <f>7000000+8000000</f>
        <v>15000000</v>
      </c>
      <c r="U52" s="2350">
        <v>15000000</v>
      </c>
      <c r="V52" s="2350">
        <v>8861946.3671091944</v>
      </c>
      <c r="W52" s="2372">
        <v>20</v>
      </c>
      <c r="X52" s="2382" t="s">
        <v>251</v>
      </c>
      <c r="Y52" s="4829"/>
      <c r="Z52" s="4829"/>
      <c r="AA52" s="4877"/>
      <c r="AB52" s="4877"/>
      <c r="AC52" s="4829"/>
      <c r="AD52" s="2346"/>
      <c r="AE52" s="4829"/>
      <c r="AF52" s="4829"/>
      <c r="AG52" s="4829"/>
      <c r="AH52" s="4829"/>
      <c r="AI52" s="4829"/>
      <c r="AJ52" s="2346"/>
      <c r="AK52" s="4907"/>
      <c r="AL52" s="2392"/>
      <c r="AM52" s="4829"/>
      <c r="AN52" s="2346"/>
      <c r="AO52" s="4829"/>
      <c r="AP52" s="2346"/>
      <c r="AQ52" s="4829"/>
      <c r="AR52" s="2346"/>
      <c r="AS52" s="4829"/>
      <c r="AT52" s="2346"/>
      <c r="AU52" s="4829"/>
      <c r="AV52" s="2346"/>
      <c r="AW52" s="4829"/>
      <c r="AX52" s="2346"/>
      <c r="AY52" s="4829"/>
      <c r="AZ52" s="2346"/>
      <c r="BA52" s="4829"/>
      <c r="BB52" s="2346"/>
      <c r="BC52" s="4829"/>
      <c r="BD52" s="4829"/>
      <c r="BE52" s="4903"/>
      <c r="BF52" s="4869"/>
      <c r="BG52" s="4869"/>
      <c r="BH52" s="4912"/>
      <c r="BI52" s="4909"/>
      <c r="BJ52" s="4909"/>
      <c r="BK52" s="4915"/>
      <c r="BL52" s="4917"/>
      <c r="BM52" s="4919"/>
      <c r="BN52" s="4844"/>
      <c r="BO52" s="4909"/>
    </row>
    <row r="53" spans="1:67" ht="45" customHeight="1" x14ac:dyDescent="0.2">
      <c r="A53" s="2325"/>
      <c r="B53" s="2326"/>
      <c r="C53" s="2359"/>
      <c r="D53" s="2360"/>
      <c r="E53" s="2359"/>
      <c r="F53" s="2360"/>
      <c r="G53" s="4200"/>
      <c r="H53" s="4889"/>
      <c r="I53" s="4827"/>
      <c r="J53" s="4904"/>
      <c r="K53" s="4905"/>
      <c r="L53" s="4799"/>
      <c r="M53" s="4896"/>
      <c r="N53" s="4789"/>
      <c r="O53" s="4899"/>
      <c r="P53" s="4824"/>
      <c r="Q53" s="4789"/>
      <c r="R53" s="4827"/>
      <c r="S53" s="2347" t="s">
        <v>2180</v>
      </c>
      <c r="T53" s="2350">
        <v>3000000</v>
      </c>
      <c r="U53" s="2350">
        <v>3000000</v>
      </c>
      <c r="V53" s="2350">
        <v>2647061.9161087787</v>
      </c>
      <c r="W53" s="2372">
        <v>20</v>
      </c>
      <c r="X53" s="2382" t="s">
        <v>251</v>
      </c>
      <c r="Y53" s="4829"/>
      <c r="Z53" s="4829"/>
      <c r="AA53" s="4877"/>
      <c r="AB53" s="4877"/>
      <c r="AC53" s="4829"/>
      <c r="AD53" s="2346"/>
      <c r="AE53" s="4829"/>
      <c r="AF53" s="4829"/>
      <c r="AG53" s="4829"/>
      <c r="AH53" s="4829"/>
      <c r="AI53" s="4829"/>
      <c r="AJ53" s="2346"/>
      <c r="AK53" s="4907"/>
      <c r="AL53" s="2392"/>
      <c r="AM53" s="4829"/>
      <c r="AN53" s="2346"/>
      <c r="AO53" s="4829"/>
      <c r="AP53" s="2346"/>
      <c r="AQ53" s="4829"/>
      <c r="AR53" s="2346"/>
      <c r="AS53" s="4829"/>
      <c r="AT53" s="2346"/>
      <c r="AU53" s="4829"/>
      <c r="AV53" s="2346"/>
      <c r="AW53" s="4829"/>
      <c r="AX53" s="2346"/>
      <c r="AY53" s="4829"/>
      <c r="AZ53" s="2346"/>
      <c r="BA53" s="4829"/>
      <c r="BB53" s="2346"/>
      <c r="BC53" s="4829"/>
      <c r="BD53" s="4829"/>
      <c r="BE53" s="4903"/>
      <c r="BF53" s="4869"/>
      <c r="BG53" s="4869"/>
      <c r="BH53" s="4912"/>
      <c r="BI53" s="4909"/>
      <c r="BJ53" s="4909"/>
      <c r="BK53" s="4915"/>
      <c r="BL53" s="4917"/>
      <c r="BM53" s="4919"/>
      <c r="BN53" s="4844"/>
      <c r="BO53" s="4909"/>
    </row>
    <row r="54" spans="1:67" ht="50.25" customHeight="1" x14ac:dyDescent="0.2">
      <c r="A54" s="2325"/>
      <c r="B54" s="2326"/>
      <c r="C54" s="2359"/>
      <c r="D54" s="2360"/>
      <c r="E54" s="2359"/>
      <c r="F54" s="2360"/>
      <c r="G54" s="4198">
        <v>189</v>
      </c>
      <c r="H54" s="4888" t="s">
        <v>2181</v>
      </c>
      <c r="I54" s="4791" t="s">
        <v>2182</v>
      </c>
      <c r="J54" s="4828">
        <v>1</v>
      </c>
      <c r="K54" s="4861">
        <v>0.9</v>
      </c>
      <c r="L54" s="4799"/>
      <c r="M54" s="4896"/>
      <c r="N54" s="4789"/>
      <c r="O54" s="4900">
        <f>SUM(T54:T56)/P45</f>
        <v>0.33333333333333331</v>
      </c>
      <c r="P54" s="4824"/>
      <c r="Q54" s="4789"/>
      <c r="R54" s="4791" t="s">
        <v>2183</v>
      </c>
      <c r="S54" s="2393" t="s">
        <v>2184</v>
      </c>
      <c r="T54" s="2350">
        <v>32000000</v>
      </c>
      <c r="U54" s="2350">
        <v>23400000</v>
      </c>
      <c r="V54" s="2350">
        <v>23400000</v>
      </c>
      <c r="W54" s="2372">
        <v>20</v>
      </c>
      <c r="X54" s="2382" t="s">
        <v>251</v>
      </c>
      <c r="Y54" s="4829"/>
      <c r="Z54" s="4829"/>
      <c r="AA54" s="4877"/>
      <c r="AB54" s="4877"/>
      <c r="AC54" s="4829"/>
      <c r="AD54" s="2394"/>
      <c r="AE54" s="4829"/>
      <c r="AF54" s="4829"/>
      <c r="AG54" s="4829"/>
      <c r="AH54" s="4829"/>
      <c r="AI54" s="4829"/>
      <c r="AJ54" s="2346"/>
      <c r="AK54" s="4907"/>
      <c r="AL54" s="2392"/>
      <c r="AM54" s="4829"/>
      <c r="AN54" s="2346"/>
      <c r="AO54" s="4829"/>
      <c r="AP54" s="2346"/>
      <c r="AQ54" s="4829"/>
      <c r="AR54" s="2346"/>
      <c r="AS54" s="4829"/>
      <c r="AT54" s="2346"/>
      <c r="AU54" s="4829"/>
      <c r="AV54" s="2346"/>
      <c r="AW54" s="4829"/>
      <c r="AX54" s="2346"/>
      <c r="AY54" s="4829"/>
      <c r="AZ54" s="2346"/>
      <c r="BA54" s="4829"/>
      <c r="BB54" s="2346"/>
      <c r="BC54" s="4829"/>
      <c r="BD54" s="4829"/>
      <c r="BE54" s="4903"/>
      <c r="BF54" s="4869"/>
      <c r="BG54" s="4869"/>
      <c r="BH54" s="4912"/>
      <c r="BI54" s="4909"/>
      <c r="BJ54" s="4909"/>
      <c r="BK54" s="4915"/>
      <c r="BL54" s="4917"/>
      <c r="BM54" s="4919"/>
      <c r="BN54" s="4844"/>
      <c r="BO54" s="4909"/>
    </row>
    <row r="55" spans="1:67" ht="54" customHeight="1" x14ac:dyDescent="0.2">
      <c r="A55" s="2325"/>
      <c r="B55" s="2326"/>
      <c r="C55" s="2359"/>
      <c r="D55" s="2360"/>
      <c r="E55" s="2359"/>
      <c r="F55" s="2360"/>
      <c r="G55" s="4199"/>
      <c r="H55" s="4837"/>
      <c r="I55" s="4792"/>
      <c r="J55" s="4829"/>
      <c r="K55" s="4862"/>
      <c r="L55" s="4799"/>
      <c r="M55" s="4896"/>
      <c r="N55" s="4789"/>
      <c r="O55" s="4901"/>
      <c r="P55" s="4824"/>
      <c r="Q55" s="4789"/>
      <c r="R55" s="4792"/>
      <c r="S55" s="2393" t="s">
        <v>2185</v>
      </c>
      <c r="T55" s="2350">
        <v>4000000</v>
      </c>
      <c r="U55" s="2350">
        <v>1484600</v>
      </c>
      <c r="V55" s="2350">
        <v>345530.69707628881</v>
      </c>
      <c r="W55" s="2372">
        <v>20</v>
      </c>
      <c r="X55" s="2382" t="s">
        <v>251</v>
      </c>
      <c r="Y55" s="4829"/>
      <c r="Z55" s="4829"/>
      <c r="AA55" s="4877"/>
      <c r="AB55" s="4877"/>
      <c r="AC55" s="4829"/>
      <c r="AD55" s="2346"/>
      <c r="AE55" s="4829"/>
      <c r="AF55" s="4829"/>
      <c r="AG55" s="4829"/>
      <c r="AH55" s="4829"/>
      <c r="AI55" s="4829"/>
      <c r="AJ55" s="2346"/>
      <c r="AK55" s="4907"/>
      <c r="AL55" s="2392"/>
      <c r="AM55" s="4829"/>
      <c r="AN55" s="2346"/>
      <c r="AO55" s="4829"/>
      <c r="AP55" s="2346"/>
      <c r="AQ55" s="4829"/>
      <c r="AR55" s="2346"/>
      <c r="AS55" s="4829"/>
      <c r="AT55" s="2346"/>
      <c r="AU55" s="4829"/>
      <c r="AV55" s="2346"/>
      <c r="AW55" s="4829"/>
      <c r="AX55" s="2346"/>
      <c r="AY55" s="4829"/>
      <c r="AZ55" s="2346"/>
      <c r="BA55" s="4829"/>
      <c r="BB55" s="2346"/>
      <c r="BC55" s="4829"/>
      <c r="BD55" s="4829"/>
      <c r="BE55" s="4903"/>
      <c r="BF55" s="4869"/>
      <c r="BG55" s="4869"/>
      <c r="BH55" s="4912"/>
      <c r="BI55" s="4909"/>
      <c r="BJ55" s="4909"/>
      <c r="BK55" s="4915"/>
      <c r="BL55" s="4917"/>
      <c r="BM55" s="4919"/>
      <c r="BN55" s="4844"/>
      <c r="BO55" s="4909"/>
    </row>
    <row r="56" spans="1:67" ht="48.75" customHeight="1" x14ac:dyDescent="0.2">
      <c r="A56" s="2325"/>
      <c r="B56" s="2326"/>
      <c r="C56" s="2359"/>
      <c r="D56" s="2360"/>
      <c r="E56" s="2359"/>
      <c r="F56" s="2360"/>
      <c r="G56" s="4199"/>
      <c r="H56" s="4837"/>
      <c r="I56" s="4792"/>
      <c r="J56" s="4829"/>
      <c r="K56" s="4863"/>
      <c r="L56" s="4799"/>
      <c r="M56" s="4896"/>
      <c r="N56" s="4789"/>
      <c r="O56" s="4901"/>
      <c r="P56" s="4824"/>
      <c r="Q56" s="4789"/>
      <c r="R56" s="4792"/>
      <c r="S56" s="2393" t="s">
        <v>2186</v>
      </c>
      <c r="T56" s="2350">
        <v>4000000</v>
      </c>
      <c r="U56" s="2350">
        <v>2798667</v>
      </c>
      <c r="V56" s="2350">
        <v>711525.48003176053</v>
      </c>
      <c r="W56" s="2372">
        <v>20</v>
      </c>
      <c r="X56" s="2382" t="s">
        <v>251</v>
      </c>
      <c r="Y56" s="4830"/>
      <c r="Z56" s="4830"/>
      <c r="AA56" s="4877"/>
      <c r="AB56" s="4878"/>
      <c r="AC56" s="4830"/>
      <c r="AD56" s="2346"/>
      <c r="AE56" s="4829"/>
      <c r="AF56" s="4830"/>
      <c r="AG56" s="4829"/>
      <c r="AH56" s="4830"/>
      <c r="AI56" s="4829"/>
      <c r="AJ56" s="2346"/>
      <c r="AK56" s="4907"/>
      <c r="AL56" s="2392"/>
      <c r="AM56" s="4829"/>
      <c r="AN56" s="2346"/>
      <c r="AO56" s="4829"/>
      <c r="AP56" s="2346"/>
      <c r="AQ56" s="4829"/>
      <c r="AR56" s="2346"/>
      <c r="AS56" s="4829"/>
      <c r="AT56" s="2346"/>
      <c r="AU56" s="4829"/>
      <c r="AV56" s="2346"/>
      <c r="AW56" s="4829"/>
      <c r="AX56" s="2346"/>
      <c r="AY56" s="4829"/>
      <c r="AZ56" s="2346"/>
      <c r="BA56" s="4829"/>
      <c r="BB56" s="2346"/>
      <c r="BC56" s="4829"/>
      <c r="BD56" s="4830"/>
      <c r="BE56" s="4904"/>
      <c r="BF56" s="4870"/>
      <c r="BG56" s="4870"/>
      <c r="BH56" s="4913"/>
      <c r="BI56" s="4910"/>
      <c r="BJ56" s="4910"/>
      <c r="BK56" s="4916"/>
      <c r="BL56" s="4917"/>
      <c r="BM56" s="4920"/>
      <c r="BN56" s="4844"/>
      <c r="BO56" s="4910"/>
    </row>
    <row r="57" spans="1:67" ht="15" x14ac:dyDescent="0.2">
      <c r="A57" s="2325"/>
      <c r="B57" s="2326"/>
      <c r="C57" s="2359"/>
      <c r="D57" s="2360"/>
      <c r="E57" s="2336">
        <v>61</v>
      </c>
      <c r="F57" s="2337" t="s">
        <v>2187</v>
      </c>
      <c r="G57" s="2338"/>
      <c r="H57" s="2361"/>
      <c r="I57" s="2361"/>
      <c r="J57" s="2338"/>
      <c r="K57" s="2362"/>
      <c r="L57" s="2338"/>
      <c r="M57" s="2338"/>
      <c r="N57" s="1111"/>
      <c r="O57" s="2338"/>
      <c r="P57" s="2369"/>
      <c r="Q57" s="2361"/>
      <c r="R57" s="2361"/>
      <c r="S57" s="2361"/>
      <c r="T57" s="2369"/>
      <c r="U57" s="2369"/>
      <c r="V57" s="2395"/>
      <c r="W57" s="1110"/>
      <c r="X57" s="1111"/>
      <c r="Y57" s="1456"/>
      <c r="Z57" s="1456"/>
      <c r="AA57" s="1456"/>
      <c r="AB57" s="1456"/>
      <c r="AC57" s="1456"/>
      <c r="AD57" s="1456"/>
      <c r="AE57" s="1456"/>
      <c r="AF57" s="1456"/>
      <c r="AG57" s="1456"/>
      <c r="AH57" s="1456"/>
      <c r="AI57" s="1456"/>
      <c r="AJ57" s="1456"/>
      <c r="AK57" s="1456"/>
      <c r="AL57" s="1456"/>
      <c r="AM57" s="1456"/>
      <c r="AN57" s="1456"/>
      <c r="AO57" s="1456"/>
      <c r="AP57" s="1456"/>
      <c r="AQ57" s="1456"/>
      <c r="AR57" s="1456"/>
      <c r="AS57" s="1456"/>
      <c r="AT57" s="1456"/>
      <c r="AU57" s="1456"/>
      <c r="AV57" s="1456"/>
      <c r="AW57" s="1456"/>
      <c r="AX57" s="1456"/>
      <c r="AY57" s="1456"/>
      <c r="AZ57" s="1456"/>
      <c r="BA57" s="1456"/>
      <c r="BB57" s="1456"/>
      <c r="BC57" s="1456"/>
      <c r="BD57" s="1111"/>
      <c r="BE57" s="2338"/>
      <c r="BF57" s="2369"/>
      <c r="BG57" s="2369"/>
      <c r="BH57" s="2338"/>
      <c r="BI57" s="2338"/>
      <c r="BJ57" s="2338"/>
      <c r="BK57" s="2338"/>
      <c r="BL57" s="2338"/>
      <c r="BM57" s="2338"/>
      <c r="BN57" s="2338"/>
      <c r="BO57" s="1219"/>
    </row>
    <row r="58" spans="1:67" ht="71.25" x14ac:dyDescent="0.2">
      <c r="A58" s="2325"/>
      <c r="B58" s="2326"/>
      <c r="C58" s="2359"/>
      <c r="D58" s="2360"/>
      <c r="E58" s="2370"/>
      <c r="F58" s="2360"/>
      <c r="G58" s="4198">
        <v>190</v>
      </c>
      <c r="H58" s="4888" t="s">
        <v>2188</v>
      </c>
      <c r="I58" s="4888" t="s">
        <v>2189</v>
      </c>
      <c r="J58" s="4794">
        <v>1</v>
      </c>
      <c r="K58" s="4847">
        <v>0.85</v>
      </c>
      <c r="L58" s="4798" t="s">
        <v>2190</v>
      </c>
      <c r="M58" s="4925" t="s">
        <v>2191</v>
      </c>
      <c r="N58" s="4788" t="s">
        <v>2192</v>
      </c>
      <c r="O58" s="4820">
        <f>SUM(T58:T74)/P58</f>
        <v>1</v>
      </c>
      <c r="P58" s="4834">
        <f>SUM(T58:T74)</f>
        <v>190000000</v>
      </c>
      <c r="Q58" s="4926" t="s">
        <v>2193</v>
      </c>
      <c r="R58" s="3069" t="s">
        <v>2194</v>
      </c>
      <c r="S58" s="2307" t="s">
        <v>2195</v>
      </c>
      <c r="T58" s="2383">
        <v>5280000</v>
      </c>
      <c r="U58" s="2350">
        <v>5280000</v>
      </c>
      <c r="V58" s="2396">
        <v>4273982.6907946495</v>
      </c>
      <c r="W58" s="2372">
        <v>20</v>
      </c>
      <c r="X58" s="2382" t="s">
        <v>251</v>
      </c>
      <c r="Y58" s="4921">
        <v>1500</v>
      </c>
      <c r="Z58" s="4922">
        <v>350</v>
      </c>
      <c r="AA58" s="4921">
        <v>1500</v>
      </c>
      <c r="AB58" s="4922">
        <v>455</v>
      </c>
      <c r="AC58" s="4921">
        <v>480</v>
      </c>
      <c r="AD58" s="4922">
        <v>100</v>
      </c>
      <c r="AE58" s="4921">
        <v>480</v>
      </c>
      <c r="AF58" s="4921"/>
      <c r="AG58" s="4921">
        <v>1000</v>
      </c>
      <c r="AH58" s="4921"/>
      <c r="AI58" s="4921">
        <v>1000</v>
      </c>
      <c r="AJ58" s="4921"/>
      <c r="AK58" s="4921">
        <v>20</v>
      </c>
      <c r="AL58" s="4922"/>
      <c r="AM58" s="4921">
        <v>20</v>
      </c>
      <c r="AN58" s="4922"/>
      <c r="AO58" s="4921"/>
      <c r="AP58" s="4922"/>
      <c r="AQ58" s="4921"/>
      <c r="AR58" s="4921"/>
      <c r="AS58" s="4921"/>
      <c r="AT58" s="4921"/>
      <c r="AU58" s="4921"/>
      <c r="AV58" s="4921"/>
      <c r="AW58" s="4921">
        <v>3000</v>
      </c>
      <c r="AX58" s="4921"/>
      <c r="AY58" s="4921"/>
      <c r="AZ58" s="4921"/>
      <c r="BA58" s="4874"/>
      <c r="BB58" s="4828">
        <v>5</v>
      </c>
      <c r="BC58" s="4932">
        <f>+AC58+AE58+AG58+AI58+AK58+AM58</f>
        <v>3000</v>
      </c>
      <c r="BD58" s="4933">
        <f>+Z58+AB58</f>
        <v>805</v>
      </c>
      <c r="BE58" s="4902">
        <v>16</v>
      </c>
      <c r="BF58" s="4868">
        <f>SUM(U58:U74)</f>
        <v>152512558</v>
      </c>
      <c r="BG58" s="4868">
        <f>SUM(V58:V74)</f>
        <v>79825600</v>
      </c>
      <c r="BH58" s="4911">
        <f>+BG58/BF58</f>
        <v>0.52340345638947317</v>
      </c>
      <c r="BI58" s="4902" t="s">
        <v>668</v>
      </c>
      <c r="BJ58" s="4908" t="s">
        <v>2196</v>
      </c>
      <c r="BK58" s="4844">
        <v>43467</v>
      </c>
      <c r="BL58" s="4845">
        <v>43467</v>
      </c>
      <c r="BM58" s="4918">
        <v>43809</v>
      </c>
      <c r="BN58" s="4845">
        <v>43809</v>
      </c>
      <c r="BO58" s="3069" t="s">
        <v>2105</v>
      </c>
    </row>
    <row r="59" spans="1:67" ht="57" x14ac:dyDescent="0.2">
      <c r="A59" s="2325"/>
      <c r="B59" s="2326"/>
      <c r="C59" s="2359"/>
      <c r="D59" s="2360"/>
      <c r="E59" s="2359"/>
      <c r="F59" s="2360"/>
      <c r="G59" s="4199"/>
      <c r="H59" s="4837"/>
      <c r="I59" s="4837"/>
      <c r="J59" s="4795"/>
      <c r="K59" s="4848"/>
      <c r="L59" s="4799"/>
      <c r="M59" s="4896"/>
      <c r="N59" s="4789"/>
      <c r="O59" s="4821"/>
      <c r="P59" s="4835"/>
      <c r="Q59" s="4927"/>
      <c r="R59" s="3069"/>
      <c r="S59" s="2307" t="s">
        <v>2197</v>
      </c>
      <c r="T59" s="2383">
        <f>13080000-13080000</f>
        <v>0</v>
      </c>
      <c r="U59" s="2350">
        <v>0</v>
      </c>
      <c r="V59" s="2396">
        <v>0</v>
      </c>
      <c r="W59" s="2372">
        <v>20</v>
      </c>
      <c r="X59" s="2382" t="s">
        <v>251</v>
      </c>
      <c r="Y59" s="4921"/>
      <c r="Z59" s="4923"/>
      <c r="AA59" s="4921"/>
      <c r="AB59" s="4923"/>
      <c r="AC59" s="4921"/>
      <c r="AD59" s="4923"/>
      <c r="AE59" s="4921"/>
      <c r="AF59" s="4921"/>
      <c r="AG59" s="4921"/>
      <c r="AH59" s="4921"/>
      <c r="AI59" s="4921"/>
      <c r="AJ59" s="4921"/>
      <c r="AK59" s="4921"/>
      <c r="AL59" s="4923"/>
      <c r="AM59" s="4921"/>
      <c r="AN59" s="4923"/>
      <c r="AO59" s="4921"/>
      <c r="AP59" s="4923"/>
      <c r="AQ59" s="4921"/>
      <c r="AR59" s="4921"/>
      <c r="AS59" s="4921"/>
      <c r="AT59" s="4921"/>
      <c r="AU59" s="4921"/>
      <c r="AV59" s="4921"/>
      <c r="AW59" s="4921"/>
      <c r="AX59" s="4921"/>
      <c r="AY59" s="4921"/>
      <c r="AZ59" s="4921"/>
      <c r="BA59" s="4874"/>
      <c r="BB59" s="4829"/>
      <c r="BC59" s="4874"/>
      <c r="BD59" s="4934"/>
      <c r="BE59" s="4903"/>
      <c r="BF59" s="4869"/>
      <c r="BG59" s="4869"/>
      <c r="BH59" s="4912"/>
      <c r="BI59" s="4903"/>
      <c r="BJ59" s="4909"/>
      <c r="BK59" s="4844"/>
      <c r="BL59" s="4846"/>
      <c r="BM59" s="4919"/>
      <c r="BN59" s="4846"/>
      <c r="BO59" s="3069"/>
    </row>
    <row r="60" spans="1:67" ht="57" x14ac:dyDescent="0.2">
      <c r="A60" s="2325"/>
      <c r="B60" s="2326"/>
      <c r="C60" s="2359"/>
      <c r="D60" s="2360"/>
      <c r="E60" s="2359"/>
      <c r="F60" s="2360"/>
      <c r="G60" s="4199"/>
      <c r="H60" s="4837"/>
      <c r="I60" s="4837"/>
      <c r="J60" s="4795"/>
      <c r="K60" s="4848"/>
      <c r="L60" s="4799"/>
      <c r="M60" s="4896"/>
      <c r="N60" s="4789"/>
      <c r="O60" s="4821"/>
      <c r="P60" s="4835"/>
      <c r="Q60" s="4927"/>
      <c r="R60" s="3069"/>
      <c r="S60" s="2307" t="s">
        <v>2198</v>
      </c>
      <c r="T60" s="2383">
        <v>5000000</v>
      </c>
      <c r="U60" s="2350">
        <v>5000000</v>
      </c>
      <c r="V60" s="2396">
        <v>1100708.103855232</v>
      </c>
      <c r="W60" s="2372">
        <v>20</v>
      </c>
      <c r="X60" s="2382" t="s">
        <v>251</v>
      </c>
      <c r="Y60" s="4921"/>
      <c r="Z60" s="4923"/>
      <c r="AA60" s="4921"/>
      <c r="AB60" s="4923"/>
      <c r="AC60" s="4921"/>
      <c r="AD60" s="4923"/>
      <c r="AE60" s="4921"/>
      <c r="AF60" s="4921"/>
      <c r="AG60" s="4921"/>
      <c r="AH60" s="4921"/>
      <c r="AI60" s="4921"/>
      <c r="AJ60" s="4921"/>
      <c r="AK60" s="4921"/>
      <c r="AL60" s="4923"/>
      <c r="AM60" s="4921"/>
      <c r="AN60" s="4923"/>
      <c r="AO60" s="4921"/>
      <c r="AP60" s="4923"/>
      <c r="AQ60" s="4921"/>
      <c r="AR60" s="4921"/>
      <c r="AS60" s="4921"/>
      <c r="AT60" s="4921"/>
      <c r="AU60" s="4921"/>
      <c r="AV60" s="4921"/>
      <c r="AW60" s="4921"/>
      <c r="AX60" s="4921"/>
      <c r="AY60" s="4921"/>
      <c r="AZ60" s="4921"/>
      <c r="BA60" s="4874"/>
      <c r="BB60" s="4829"/>
      <c r="BC60" s="4874"/>
      <c r="BD60" s="4934"/>
      <c r="BE60" s="4903"/>
      <c r="BF60" s="4869"/>
      <c r="BG60" s="4869"/>
      <c r="BH60" s="4912"/>
      <c r="BI60" s="4903"/>
      <c r="BJ60" s="4909"/>
      <c r="BK60" s="4844"/>
      <c r="BL60" s="4846"/>
      <c r="BM60" s="4919"/>
      <c r="BN60" s="4846"/>
      <c r="BO60" s="3069"/>
    </row>
    <row r="61" spans="1:67" ht="57" x14ac:dyDescent="0.2">
      <c r="A61" s="2325"/>
      <c r="B61" s="2326"/>
      <c r="C61" s="2359"/>
      <c r="D61" s="2360"/>
      <c r="E61" s="2359"/>
      <c r="F61" s="2360"/>
      <c r="G61" s="4199"/>
      <c r="H61" s="4837"/>
      <c r="I61" s="4837"/>
      <c r="J61" s="4795"/>
      <c r="K61" s="4848"/>
      <c r="L61" s="4799"/>
      <c r="M61" s="4896"/>
      <c r="N61" s="4789"/>
      <c r="O61" s="4821"/>
      <c r="P61" s="4835"/>
      <c r="Q61" s="4927"/>
      <c r="R61" s="3069"/>
      <c r="S61" s="2307" t="s">
        <v>2199</v>
      </c>
      <c r="T61" s="2383">
        <v>4000000</v>
      </c>
      <c r="U61" s="2350">
        <v>4000000</v>
      </c>
      <c r="V61" s="2396">
        <v>2821917.8283391716</v>
      </c>
      <c r="W61" s="2372">
        <v>20</v>
      </c>
      <c r="X61" s="2382" t="s">
        <v>251</v>
      </c>
      <c r="Y61" s="4921"/>
      <c r="Z61" s="4923"/>
      <c r="AA61" s="4921"/>
      <c r="AB61" s="4923"/>
      <c r="AC61" s="4921"/>
      <c r="AD61" s="4923"/>
      <c r="AE61" s="4921"/>
      <c r="AF61" s="4921"/>
      <c r="AG61" s="4921"/>
      <c r="AH61" s="4921"/>
      <c r="AI61" s="4921"/>
      <c r="AJ61" s="4921"/>
      <c r="AK61" s="4921"/>
      <c r="AL61" s="4923"/>
      <c r="AM61" s="4921"/>
      <c r="AN61" s="4923"/>
      <c r="AO61" s="4921"/>
      <c r="AP61" s="4923"/>
      <c r="AQ61" s="4921"/>
      <c r="AR61" s="4921"/>
      <c r="AS61" s="4921"/>
      <c r="AT61" s="4921"/>
      <c r="AU61" s="4921"/>
      <c r="AV61" s="4921"/>
      <c r="AW61" s="4921"/>
      <c r="AX61" s="4921"/>
      <c r="AY61" s="4921"/>
      <c r="AZ61" s="4921"/>
      <c r="BA61" s="4874"/>
      <c r="BB61" s="4829"/>
      <c r="BC61" s="4874"/>
      <c r="BD61" s="4934"/>
      <c r="BE61" s="4903"/>
      <c r="BF61" s="4869"/>
      <c r="BG61" s="4869"/>
      <c r="BH61" s="4912"/>
      <c r="BI61" s="4903"/>
      <c r="BJ61" s="4909"/>
      <c r="BK61" s="4844"/>
      <c r="BL61" s="4846"/>
      <c r="BM61" s="4919"/>
      <c r="BN61" s="4846"/>
      <c r="BO61" s="3069"/>
    </row>
    <row r="62" spans="1:67" ht="110.25" customHeight="1" x14ac:dyDescent="0.2">
      <c r="A62" s="2325"/>
      <c r="B62" s="2326"/>
      <c r="C62" s="2359"/>
      <c r="D62" s="2360"/>
      <c r="E62" s="2359"/>
      <c r="F62" s="2360"/>
      <c r="G62" s="4199"/>
      <c r="H62" s="4837"/>
      <c r="I62" s="4837"/>
      <c r="J62" s="4795"/>
      <c r="K62" s="4848"/>
      <c r="L62" s="4799"/>
      <c r="M62" s="4896"/>
      <c r="N62" s="4789"/>
      <c r="O62" s="4821"/>
      <c r="P62" s="4835"/>
      <c r="Q62" s="4927"/>
      <c r="R62" s="3069" t="s">
        <v>2200</v>
      </c>
      <c r="S62" s="2307" t="s">
        <v>2201</v>
      </c>
      <c r="T62" s="2384">
        <f>22000000-2299000</f>
        <v>19701000</v>
      </c>
      <c r="U62" s="2350">
        <v>18327900</v>
      </c>
      <c r="V62" s="2396">
        <v>10746000</v>
      </c>
      <c r="W62" s="2372">
        <v>20</v>
      </c>
      <c r="X62" s="2382" t="s">
        <v>251</v>
      </c>
      <c r="Y62" s="4921"/>
      <c r="Z62" s="4923"/>
      <c r="AA62" s="4921"/>
      <c r="AB62" s="4923"/>
      <c r="AC62" s="4921"/>
      <c r="AD62" s="4923"/>
      <c r="AE62" s="4921"/>
      <c r="AF62" s="4921"/>
      <c r="AG62" s="4921"/>
      <c r="AH62" s="4921"/>
      <c r="AI62" s="4921"/>
      <c r="AJ62" s="4921"/>
      <c r="AK62" s="4921"/>
      <c r="AL62" s="4923"/>
      <c r="AM62" s="4921"/>
      <c r="AN62" s="4923"/>
      <c r="AO62" s="4921"/>
      <c r="AP62" s="4923"/>
      <c r="AQ62" s="4921"/>
      <c r="AR62" s="4921"/>
      <c r="AS62" s="4921"/>
      <c r="AT62" s="4921"/>
      <c r="AU62" s="4921"/>
      <c r="AV62" s="4921"/>
      <c r="AW62" s="4921"/>
      <c r="AX62" s="4921"/>
      <c r="AY62" s="4921"/>
      <c r="AZ62" s="4921"/>
      <c r="BA62" s="4874"/>
      <c r="BB62" s="4829"/>
      <c r="BC62" s="4874"/>
      <c r="BD62" s="4934"/>
      <c r="BE62" s="4903"/>
      <c r="BF62" s="4869"/>
      <c r="BG62" s="4869"/>
      <c r="BH62" s="4912"/>
      <c r="BI62" s="4903"/>
      <c r="BJ62" s="4909"/>
      <c r="BK62" s="4844"/>
      <c r="BL62" s="4846"/>
      <c r="BM62" s="4919"/>
      <c r="BN62" s="4846"/>
      <c r="BO62" s="3069"/>
    </row>
    <row r="63" spans="1:67" ht="55.5" customHeight="1" x14ac:dyDescent="0.2">
      <c r="A63" s="2325"/>
      <c r="B63" s="2326"/>
      <c r="C63" s="2359"/>
      <c r="D63" s="2360"/>
      <c r="E63" s="2359"/>
      <c r="F63" s="2360"/>
      <c r="G63" s="4199"/>
      <c r="H63" s="4837"/>
      <c r="I63" s="4837"/>
      <c r="J63" s="4795"/>
      <c r="K63" s="4848"/>
      <c r="L63" s="4799"/>
      <c r="M63" s="4896"/>
      <c r="N63" s="4789"/>
      <c r="O63" s="4821"/>
      <c r="P63" s="4835"/>
      <c r="Q63" s="4927"/>
      <c r="R63" s="3069"/>
      <c r="S63" s="2307" t="s">
        <v>2202</v>
      </c>
      <c r="T63" s="2384">
        <f>13010000-5000000</f>
        <v>8010000</v>
      </c>
      <c r="U63" s="2350">
        <v>8010000</v>
      </c>
      <c r="V63" s="2396">
        <v>6131506.87456566</v>
      </c>
      <c r="W63" s="2372">
        <v>20</v>
      </c>
      <c r="X63" s="2382" t="s">
        <v>251</v>
      </c>
      <c r="Y63" s="4921"/>
      <c r="Z63" s="4923"/>
      <c r="AA63" s="4921"/>
      <c r="AB63" s="4923"/>
      <c r="AC63" s="4921"/>
      <c r="AD63" s="4923"/>
      <c r="AE63" s="4921"/>
      <c r="AF63" s="4921"/>
      <c r="AG63" s="4921"/>
      <c r="AH63" s="4921"/>
      <c r="AI63" s="4921"/>
      <c r="AJ63" s="4921"/>
      <c r="AK63" s="4921"/>
      <c r="AL63" s="4923"/>
      <c r="AM63" s="4921"/>
      <c r="AN63" s="4923"/>
      <c r="AO63" s="4921"/>
      <c r="AP63" s="4923"/>
      <c r="AQ63" s="4921"/>
      <c r="AR63" s="4921"/>
      <c r="AS63" s="4921"/>
      <c r="AT63" s="4921"/>
      <c r="AU63" s="4921"/>
      <c r="AV63" s="4921"/>
      <c r="AW63" s="4921"/>
      <c r="AX63" s="4921"/>
      <c r="AY63" s="4921"/>
      <c r="AZ63" s="4921"/>
      <c r="BA63" s="4874"/>
      <c r="BB63" s="4829"/>
      <c r="BC63" s="4874"/>
      <c r="BD63" s="4934"/>
      <c r="BE63" s="4903"/>
      <c r="BF63" s="4869"/>
      <c r="BG63" s="4869"/>
      <c r="BH63" s="4912"/>
      <c r="BI63" s="4903"/>
      <c r="BJ63" s="4909"/>
      <c r="BK63" s="4844"/>
      <c r="BL63" s="4846"/>
      <c r="BM63" s="4919"/>
      <c r="BN63" s="4846"/>
      <c r="BO63" s="3069"/>
    </row>
    <row r="64" spans="1:67" ht="102.75" customHeight="1" x14ac:dyDescent="0.2">
      <c r="A64" s="2325"/>
      <c r="B64" s="2326"/>
      <c r="C64" s="2359"/>
      <c r="D64" s="2360"/>
      <c r="E64" s="2359"/>
      <c r="F64" s="2360"/>
      <c r="G64" s="4199"/>
      <c r="H64" s="4837"/>
      <c r="I64" s="4837"/>
      <c r="J64" s="4795"/>
      <c r="K64" s="4848"/>
      <c r="L64" s="4799"/>
      <c r="M64" s="4896"/>
      <c r="N64" s="4789"/>
      <c r="O64" s="4821"/>
      <c r="P64" s="4835"/>
      <c r="Q64" s="4927"/>
      <c r="R64" s="3069"/>
      <c r="S64" s="2307" t="s">
        <v>2203</v>
      </c>
      <c r="T64" s="2384">
        <v>6000000</v>
      </c>
      <c r="U64" s="2350">
        <v>6000000</v>
      </c>
      <c r="V64" s="2396">
        <v>5627287.6742508756</v>
      </c>
      <c r="W64" s="2372">
        <v>20</v>
      </c>
      <c r="X64" s="2382" t="s">
        <v>251</v>
      </c>
      <c r="Y64" s="4921"/>
      <c r="Z64" s="4923"/>
      <c r="AA64" s="4921"/>
      <c r="AB64" s="4923"/>
      <c r="AC64" s="4921"/>
      <c r="AD64" s="4923"/>
      <c r="AE64" s="4921"/>
      <c r="AF64" s="4921"/>
      <c r="AG64" s="4921"/>
      <c r="AH64" s="4921"/>
      <c r="AI64" s="4921"/>
      <c r="AJ64" s="4921"/>
      <c r="AK64" s="4921"/>
      <c r="AL64" s="4923"/>
      <c r="AM64" s="4921"/>
      <c r="AN64" s="4923"/>
      <c r="AO64" s="4921"/>
      <c r="AP64" s="4923"/>
      <c r="AQ64" s="4921"/>
      <c r="AR64" s="4921"/>
      <c r="AS64" s="4921"/>
      <c r="AT64" s="4921"/>
      <c r="AU64" s="4921"/>
      <c r="AV64" s="4921"/>
      <c r="AW64" s="4921"/>
      <c r="AX64" s="4921"/>
      <c r="AY64" s="4921"/>
      <c r="AZ64" s="4921"/>
      <c r="BA64" s="4874"/>
      <c r="BB64" s="4829"/>
      <c r="BC64" s="4874"/>
      <c r="BD64" s="4934"/>
      <c r="BE64" s="4903"/>
      <c r="BF64" s="4869"/>
      <c r="BG64" s="4869"/>
      <c r="BH64" s="4912"/>
      <c r="BI64" s="4903"/>
      <c r="BJ64" s="4909"/>
      <c r="BK64" s="4844"/>
      <c r="BL64" s="4846"/>
      <c r="BM64" s="4919"/>
      <c r="BN64" s="4846"/>
      <c r="BO64" s="3069"/>
    </row>
    <row r="65" spans="1:276" ht="57" x14ac:dyDescent="0.2">
      <c r="A65" s="2325"/>
      <c r="B65" s="2326"/>
      <c r="C65" s="2359"/>
      <c r="D65" s="2360"/>
      <c r="E65" s="2359"/>
      <c r="F65" s="2360"/>
      <c r="G65" s="4199"/>
      <c r="H65" s="4837"/>
      <c r="I65" s="4837"/>
      <c r="J65" s="4795"/>
      <c r="K65" s="4848"/>
      <c r="L65" s="4799"/>
      <c r="M65" s="4896"/>
      <c r="N65" s="4789"/>
      <c r="O65" s="4821"/>
      <c r="P65" s="4835"/>
      <c r="Q65" s="4927"/>
      <c r="R65" s="3069"/>
      <c r="S65" s="2307" t="s">
        <v>2204</v>
      </c>
      <c r="T65" s="2384">
        <f>12580000-2580000</f>
        <v>10000000</v>
      </c>
      <c r="U65" s="2350">
        <v>9964000</v>
      </c>
      <c r="V65" s="2396">
        <v>4240000</v>
      </c>
      <c r="W65" s="2372">
        <v>20</v>
      </c>
      <c r="X65" s="2382" t="s">
        <v>251</v>
      </c>
      <c r="Y65" s="4921"/>
      <c r="Z65" s="4923"/>
      <c r="AA65" s="4921"/>
      <c r="AB65" s="4923"/>
      <c r="AC65" s="4921"/>
      <c r="AD65" s="4923"/>
      <c r="AE65" s="4921"/>
      <c r="AF65" s="4921">
        <v>100</v>
      </c>
      <c r="AG65" s="4921"/>
      <c r="AH65" s="4921">
        <v>500</v>
      </c>
      <c r="AI65" s="4921"/>
      <c r="AJ65" s="4921">
        <v>100</v>
      </c>
      <c r="AK65" s="4921"/>
      <c r="AL65" s="4923"/>
      <c r="AM65" s="4921"/>
      <c r="AN65" s="4923"/>
      <c r="AO65" s="4921"/>
      <c r="AP65" s="4923"/>
      <c r="AQ65" s="4921"/>
      <c r="AR65" s="4921"/>
      <c r="AS65" s="4921"/>
      <c r="AT65" s="4921"/>
      <c r="AU65" s="4921"/>
      <c r="AV65" s="4921"/>
      <c r="AW65" s="4921"/>
      <c r="AX65" s="4921"/>
      <c r="AY65" s="4921"/>
      <c r="AZ65" s="4921"/>
      <c r="BA65" s="4874"/>
      <c r="BB65" s="4829"/>
      <c r="BC65" s="4874"/>
      <c r="BD65" s="4934"/>
      <c r="BE65" s="4903"/>
      <c r="BF65" s="4869"/>
      <c r="BG65" s="4869"/>
      <c r="BH65" s="4912"/>
      <c r="BI65" s="4903"/>
      <c r="BJ65" s="4909"/>
      <c r="BK65" s="4844"/>
      <c r="BL65" s="4846"/>
      <c r="BM65" s="4919"/>
      <c r="BN65" s="4846"/>
      <c r="BO65" s="3069"/>
    </row>
    <row r="66" spans="1:276" ht="57" x14ac:dyDescent="0.2">
      <c r="A66" s="2325"/>
      <c r="B66" s="2326"/>
      <c r="C66" s="2359"/>
      <c r="D66" s="2360"/>
      <c r="E66" s="2359"/>
      <c r="F66" s="2360"/>
      <c r="G66" s="4199"/>
      <c r="H66" s="4837"/>
      <c r="I66" s="4837"/>
      <c r="J66" s="4795"/>
      <c r="K66" s="4848"/>
      <c r="L66" s="4799"/>
      <c r="M66" s="4896"/>
      <c r="N66" s="4789"/>
      <c r="O66" s="4821"/>
      <c r="P66" s="4835"/>
      <c r="Q66" s="4927"/>
      <c r="R66" s="3069"/>
      <c r="S66" s="2307" t="s">
        <v>2205</v>
      </c>
      <c r="T66" s="2384">
        <f>5000000+25959000</f>
        <v>30959000</v>
      </c>
      <c r="U66" s="2350">
        <v>30959000</v>
      </c>
      <c r="V66" s="2396">
        <v>5189055</v>
      </c>
      <c r="W66" s="2372">
        <v>20</v>
      </c>
      <c r="X66" s="2382" t="s">
        <v>251</v>
      </c>
      <c r="Y66" s="4921"/>
      <c r="Z66" s="4923"/>
      <c r="AA66" s="4921"/>
      <c r="AB66" s="4923"/>
      <c r="AC66" s="4921"/>
      <c r="AD66" s="4923"/>
      <c r="AE66" s="4921"/>
      <c r="AF66" s="4921"/>
      <c r="AG66" s="4921"/>
      <c r="AH66" s="4921"/>
      <c r="AI66" s="4921"/>
      <c r="AJ66" s="4921"/>
      <c r="AK66" s="4921"/>
      <c r="AL66" s="4923"/>
      <c r="AM66" s="4921"/>
      <c r="AN66" s="4923"/>
      <c r="AO66" s="4921"/>
      <c r="AP66" s="4923"/>
      <c r="AQ66" s="4921"/>
      <c r="AR66" s="4921"/>
      <c r="AS66" s="4921"/>
      <c r="AT66" s="4921"/>
      <c r="AU66" s="4921"/>
      <c r="AV66" s="4921"/>
      <c r="AW66" s="4921"/>
      <c r="AX66" s="4921"/>
      <c r="AY66" s="4921"/>
      <c r="AZ66" s="4921"/>
      <c r="BA66" s="4874"/>
      <c r="BB66" s="4829"/>
      <c r="BC66" s="4874"/>
      <c r="BD66" s="4934"/>
      <c r="BE66" s="4903"/>
      <c r="BF66" s="4869"/>
      <c r="BG66" s="4869"/>
      <c r="BH66" s="4912"/>
      <c r="BI66" s="4903"/>
      <c r="BJ66" s="4909"/>
      <c r="BK66" s="4844"/>
      <c r="BL66" s="4846"/>
      <c r="BM66" s="4919"/>
      <c r="BN66" s="4846"/>
      <c r="BO66" s="3069"/>
    </row>
    <row r="67" spans="1:276" ht="71.25" x14ac:dyDescent="0.2">
      <c r="A67" s="2325"/>
      <c r="B67" s="2326"/>
      <c r="C67" s="2359"/>
      <c r="D67" s="2360"/>
      <c r="E67" s="2359"/>
      <c r="F67" s="2360"/>
      <c r="G67" s="4199"/>
      <c r="H67" s="4837"/>
      <c r="I67" s="4837"/>
      <c r="J67" s="4795"/>
      <c r="K67" s="4848"/>
      <c r="L67" s="4799"/>
      <c r="M67" s="4896"/>
      <c r="N67" s="4789"/>
      <c r="O67" s="4821"/>
      <c r="P67" s="4835"/>
      <c r="Q67" s="4927"/>
      <c r="R67" s="3069"/>
      <c r="S67" s="2307" t="s">
        <v>2206</v>
      </c>
      <c r="T67" s="2384">
        <v>7920000</v>
      </c>
      <c r="U67" s="2350">
        <v>7920000</v>
      </c>
      <c r="V67" s="2350">
        <v>5642813.5326514551</v>
      </c>
      <c r="W67" s="2372">
        <v>20</v>
      </c>
      <c r="X67" s="2382" t="s">
        <v>251</v>
      </c>
      <c r="Y67" s="4921"/>
      <c r="Z67" s="4923"/>
      <c r="AA67" s="4921"/>
      <c r="AB67" s="4923"/>
      <c r="AC67" s="4921"/>
      <c r="AD67" s="4923"/>
      <c r="AE67" s="4921"/>
      <c r="AF67" s="4921"/>
      <c r="AG67" s="4921"/>
      <c r="AH67" s="4921"/>
      <c r="AI67" s="4921"/>
      <c r="AJ67" s="4921"/>
      <c r="AK67" s="4921"/>
      <c r="AL67" s="4923"/>
      <c r="AM67" s="4921"/>
      <c r="AN67" s="4923"/>
      <c r="AO67" s="4921"/>
      <c r="AP67" s="4923"/>
      <c r="AQ67" s="4921"/>
      <c r="AR67" s="4921"/>
      <c r="AS67" s="4921"/>
      <c r="AT67" s="4921"/>
      <c r="AU67" s="4921"/>
      <c r="AV67" s="4921"/>
      <c r="AW67" s="4921"/>
      <c r="AX67" s="4921"/>
      <c r="AY67" s="4921"/>
      <c r="AZ67" s="4921"/>
      <c r="BA67" s="4874"/>
      <c r="BB67" s="4829"/>
      <c r="BC67" s="4874"/>
      <c r="BD67" s="4934"/>
      <c r="BE67" s="4903"/>
      <c r="BF67" s="4869"/>
      <c r="BG67" s="4869"/>
      <c r="BH67" s="4912"/>
      <c r="BI67" s="4903"/>
      <c r="BJ67" s="4909"/>
      <c r="BK67" s="4844"/>
      <c r="BL67" s="4846"/>
      <c r="BM67" s="4919"/>
      <c r="BN67" s="4846"/>
      <c r="BO67" s="3069"/>
    </row>
    <row r="68" spans="1:276" ht="57" x14ac:dyDescent="0.2">
      <c r="A68" s="2325"/>
      <c r="B68" s="2326"/>
      <c r="C68" s="2359"/>
      <c r="D68" s="2360"/>
      <c r="E68" s="2359"/>
      <c r="F68" s="2360"/>
      <c r="G68" s="4199"/>
      <c r="H68" s="4837"/>
      <c r="I68" s="4837"/>
      <c r="J68" s="4795"/>
      <c r="K68" s="4848"/>
      <c r="L68" s="4799"/>
      <c r="M68" s="4896"/>
      <c r="N68" s="4789"/>
      <c r="O68" s="4821"/>
      <c r="P68" s="4835"/>
      <c r="Q68" s="4927"/>
      <c r="R68" s="3069"/>
      <c r="S68" s="2307" t="s">
        <v>2207</v>
      </c>
      <c r="T68" s="2384">
        <v>8320000</v>
      </c>
      <c r="U68" s="2350">
        <v>8320000</v>
      </c>
      <c r="V68" s="2350">
        <v>7674070.8103855234</v>
      </c>
      <c r="W68" s="2372">
        <v>20</v>
      </c>
      <c r="X68" s="2382" t="s">
        <v>251</v>
      </c>
      <c r="Y68" s="4921"/>
      <c r="Z68" s="4923"/>
      <c r="AA68" s="4921"/>
      <c r="AB68" s="4923"/>
      <c r="AC68" s="4921"/>
      <c r="AD68" s="4923"/>
      <c r="AE68" s="4921"/>
      <c r="AF68" s="4921"/>
      <c r="AG68" s="4921"/>
      <c r="AH68" s="4921"/>
      <c r="AI68" s="4921"/>
      <c r="AJ68" s="4921"/>
      <c r="AK68" s="4921"/>
      <c r="AL68" s="4923"/>
      <c r="AM68" s="4921"/>
      <c r="AN68" s="4923"/>
      <c r="AO68" s="4921"/>
      <c r="AP68" s="4923"/>
      <c r="AQ68" s="4921"/>
      <c r="AR68" s="4921"/>
      <c r="AS68" s="4921"/>
      <c r="AT68" s="4921"/>
      <c r="AU68" s="4921"/>
      <c r="AV68" s="4921"/>
      <c r="AW68" s="4921"/>
      <c r="AX68" s="4921"/>
      <c r="AY68" s="4921"/>
      <c r="AZ68" s="4921"/>
      <c r="BA68" s="4874"/>
      <c r="BB68" s="4829"/>
      <c r="BC68" s="4874"/>
      <c r="BD68" s="4934"/>
      <c r="BE68" s="4903"/>
      <c r="BF68" s="4869"/>
      <c r="BG68" s="4869"/>
      <c r="BH68" s="4912"/>
      <c r="BI68" s="4903"/>
      <c r="BJ68" s="4909"/>
      <c r="BK68" s="4844"/>
      <c r="BL68" s="4846"/>
      <c r="BM68" s="4919"/>
      <c r="BN68" s="4846"/>
      <c r="BO68" s="3069"/>
    </row>
    <row r="69" spans="1:276" ht="57" x14ac:dyDescent="0.2">
      <c r="A69" s="2325"/>
      <c r="B69" s="2326"/>
      <c r="C69" s="2359"/>
      <c r="D69" s="2360"/>
      <c r="E69" s="2359"/>
      <c r="F69" s="2360"/>
      <c r="G69" s="4199"/>
      <c r="H69" s="4837"/>
      <c r="I69" s="4837"/>
      <c r="J69" s="4795"/>
      <c r="K69" s="4848"/>
      <c r="L69" s="4799"/>
      <c r="M69" s="4896"/>
      <c r="N69" s="4789"/>
      <c r="O69" s="4821"/>
      <c r="P69" s="4835"/>
      <c r="Q69" s="4927"/>
      <c r="R69" s="3069"/>
      <c r="S69" s="2341" t="s">
        <v>2208</v>
      </c>
      <c r="T69" s="2384">
        <v>10280000</v>
      </c>
      <c r="U69" s="2350">
        <v>10280000</v>
      </c>
      <c r="V69" s="2350">
        <v>6002479.689931076</v>
      </c>
      <c r="W69" s="2372">
        <v>20</v>
      </c>
      <c r="X69" s="2382" t="s">
        <v>251</v>
      </c>
      <c r="Y69" s="4921"/>
      <c r="Z69" s="4923"/>
      <c r="AA69" s="4921"/>
      <c r="AB69" s="4923"/>
      <c r="AC69" s="4921"/>
      <c r="AD69" s="4923"/>
      <c r="AE69" s="4921"/>
      <c r="AF69" s="4921"/>
      <c r="AG69" s="4921"/>
      <c r="AH69" s="4921"/>
      <c r="AI69" s="4921"/>
      <c r="AJ69" s="4921"/>
      <c r="AK69" s="4921"/>
      <c r="AL69" s="4923"/>
      <c r="AM69" s="4921"/>
      <c r="AN69" s="4923"/>
      <c r="AO69" s="4921"/>
      <c r="AP69" s="4923"/>
      <c r="AQ69" s="4921"/>
      <c r="AR69" s="4921"/>
      <c r="AS69" s="4921"/>
      <c r="AT69" s="4921"/>
      <c r="AU69" s="4921"/>
      <c r="AV69" s="4921"/>
      <c r="AW69" s="4921"/>
      <c r="AX69" s="4921"/>
      <c r="AY69" s="4921"/>
      <c r="AZ69" s="4921"/>
      <c r="BA69" s="4874"/>
      <c r="BB69" s="4829"/>
      <c r="BC69" s="4874"/>
      <c r="BD69" s="4934"/>
      <c r="BE69" s="4903"/>
      <c r="BF69" s="4869"/>
      <c r="BG69" s="4869"/>
      <c r="BH69" s="4912"/>
      <c r="BI69" s="4903"/>
      <c r="BJ69" s="4909"/>
      <c r="BK69" s="4844"/>
      <c r="BL69" s="4846"/>
      <c r="BM69" s="4919"/>
      <c r="BN69" s="4846"/>
      <c r="BO69" s="3069"/>
    </row>
    <row r="70" spans="1:276" ht="57" x14ac:dyDescent="0.2">
      <c r="A70" s="2325"/>
      <c r="B70" s="2326"/>
      <c r="C70" s="2359"/>
      <c r="D70" s="2360"/>
      <c r="E70" s="2359"/>
      <c r="F70" s="2360"/>
      <c r="G70" s="4199"/>
      <c r="H70" s="4837"/>
      <c r="I70" s="4837"/>
      <c r="J70" s="4795"/>
      <c r="K70" s="4848"/>
      <c r="L70" s="4799"/>
      <c r="M70" s="4896"/>
      <c r="N70" s="4789"/>
      <c r="O70" s="4821"/>
      <c r="P70" s="4835"/>
      <c r="Q70" s="4927"/>
      <c r="R70" s="3069"/>
      <c r="S70" s="2341" t="s">
        <v>2209</v>
      </c>
      <c r="T70" s="2384">
        <v>2450000</v>
      </c>
      <c r="U70" s="2350">
        <v>2450000</v>
      </c>
      <c r="V70" s="2350">
        <v>596592.26535703742</v>
      </c>
      <c r="W70" s="2372">
        <v>20</v>
      </c>
      <c r="X70" s="2382" t="s">
        <v>251</v>
      </c>
      <c r="Y70" s="4921"/>
      <c r="Z70" s="4923"/>
      <c r="AA70" s="4921"/>
      <c r="AB70" s="4923"/>
      <c r="AC70" s="4921"/>
      <c r="AD70" s="4923"/>
      <c r="AE70" s="4921"/>
      <c r="AF70" s="4921"/>
      <c r="AG70" s="4921"/>
      <c r="AH70" s="4921"/>
      <c r="AI70" s="4921"/>
      <c r="AJ70" s="4921"/>
      <c r="AK70" s="4921"/>
      <c r="AL70" s="4923"/>
      <c r="AM70" s="4921"/>
      <c r="AN70" s="4923"/>
      <c r="AO70" s="4921"/>
      <c r="AP70" s="4923"/>
      <c r="AQ70" s="4921"/>
      <c r="AR70" s="4921"/>
      <c r="AS70" s="4921"/>
      <c r="AT70" s="4921"/>
      <c r="AU70" s="4921"/>
      <c r="AV70" s="4921"/>
      <c r="AW70" s="4921"/>
      <c r="AX70" s="4921"/>
      <c r="AY70" s="4921"/>
      <c r="AZ70" s="4921"/>
      <c r="BA70" s="4874"/>
      <c r="BB70" s="4829"/>
      <c r="BC70" s="4874"/>
      <c r="BD70" s="4934"/>
      <c r="BE70" s="4903"/>
      <c r="BF70" s="4869"/>
      <c r="BG70" s="4869"/>
      <c r="BH70" s="4912"/>
      <c r="BI70" s="4903"/>
      <c r="BJ70" s="4909"/>
      <c r="BK70" s="4844"/>
      <c r="BL70" s="4846"/>
      <c r="BM70" s="4919"/>
      <c r="BN70" s="4846"/>
      <c r="BO70" s="3069"/>
    </row>
    <row r="71" spans="1:276" ht="57" x14ac:dyDescent="0.2">
      <c r="A71" s="2325"/>
      <c r="B71" s="2326"/>
      <c r="C71" s="2359"/>
      <c r="D71" s="2360"/>
      <c r="E71" s="2359"/>
      <c r="F71" s="2360"/>
      <c r="G71" s="4199"/>
      <c r="H71" s="4837"/>
      <c r="I71" s="4837"/>
      <c r="J71" s="4795"/>
      <c r="K71" s="4848"/>
      <c r="L71" s="4799"/>
      <c r="M71" s="4896"/>
      <c r="N71" s="4789"/>
      <c r="O71" s="4821"/>
      <c r="P71" s="4835"/>
      <c r="Q71" s="4927"/>
      <c r="R71" s="3069"/>
      <c r="S71" s="2341" t="s">
        <v>2210</v>
      </c>
      <c r="T71" s="2384">
        <v>14800000</v>
      </c>
      <c r="U71" s="2350">
        <v>13990000</v>
      </c>
      <c r="V71" s="2350">
        <v>13990000</v>
      </c>
      <c r="W71" s="2372">
        <v>20</v>
      </c>
      <c r="X71" s="2382" t="s">
        <v>251</v>
      </c>
      <c r="Y71" s="4921"/>
      <c r="Z71" s="4923"/>
      <c r="AA71" s="4921"/>
      <c r="AB71" s="4923"/>
      <c r="AC71" s="4921"/>
      <c r="AD71" s="4923"/>
      <c r="AE71" s="4921"/>
      <c r="AF71" s="4921"/>
      <c r="AG71" s="4921"/>
      <c r="AH71" s="4921"/>
      <c r="AI71" s="4921"/>
      <c r="AJ71" s="4921"/>
      <c r="AK71" s="4921"/>
      <c r="AL71" s="4923"/>
      <c r="AM71" s="4921"/>
      <c r="AN71" s="4923"/>
      <c r="AO71" s="4921"/>
      <c r="AP71" s="4923"/>
      <c r="AQ71" s="4921"/>
      <c r="AR71" s="4921"/>
      <c r="AS71" s="4921"/>
      <c r="AT71" s="4921"/>
      <c r="AU71" s="4921"/>
      <c r="AV71" s="4921"/>
      <c r="AW71" s="4921"/>
      <c r="AX71" s="4921"/>
      <c r="AY71" s="4921"/>
      <c r="AZ71" s="4921"/>
      <c r="BA71" s="4874"/>
      <c r="BB71" s="4829"/>
      <c r="BC71" s="4874"/>
      <c r="BD71" s="4934"/>
      <c r="BE71" s="4903"/>
      <c r="BF71" s="4869"/>
      <c r="BG71" s="4869"/>
      <c r="BH71" s="4912"/>
      <c r="BI71" s="4903"/>
      <c r="BJ71" s="4909"/>
      <c r="BK71" s="4844"/>
      <c r="BL71" s="4846"/>
      <c r="BM71" s="4919"/>
      <c r="BN71" s="4846"/>
      <c r="BO71" s="3069"/>
    </row>
    <row r="72" spans="1:276" ht="57" x14ac:dyDescent="0.2">
      <c r="A72" s="2325"/>
      <c r="B72" s="2326"/>
      <c r="C72" s="2359"/>
      <c r="D72" s="2360"/>
      <c r="E72" s="2359"/>
      <c r="F72" s="2360"/>
      <c r="G72" s="4199"/>
      <c r="H72" s="4837"/>
      <c r="I72" s="4837"/>
      <c r="J72" s="4795"/>
      <c r="K72" s="4848"/>
      <c r="L72" s="4799"/>
      <c r="M72" s="4896"/>
      <c r="N72" s="4789"/>
      <c r="O72" s="4821"/>
      <c r="P72" s="4835"/>
      <c r="Q72" s="4927"/>
      <c r="R72" s="3069"/>
      <c r="S72" s="2307" t="s">
        <v>2211</v>
      </c>
      <c r="T72" s="2384">
        <v>5280000</v>
      </c>
      <c r="U72" s="2350">
        <v>5011658</v>
      </c>
      <c r="V72" s="2350">
        <v>2059585.5298693178</v>
      </c>
      <c r="W72" s="2372">
        <v>20</v>
      </c>
      <c r="X72" s="2382" t="s">
        <v>251</v>
      </c>
      <c r="Y72" s="4921"/>
      <c r="Z72" s="4923"/>
      <c r="AA72" s="4921"/>
      <c r="AB72" s="4923"/>
      <c r="AC72" s="4921"/>
      <c r="AD72" s="4923"/>
      <c r="AE72" s="4921"/>
      <c r="AF72" s="4921"/>
      <c r="AG72" s="4921"/>
      <c r="AH72" s="4921"/>
      <c r="AI72" s="4921"/>
      <c r="AJ72" s="4921"/>
      <c r="AK72" s="4921"/>
      <c r="AL72" s="4923"/>
      <c r="AM72" s="4921"/>
      <c r="AN72" s="4923"/>
      <c r="AO72" s="4921"/>
      <c r="AP72" s="4923"/>
      <c r="AQ72" s="4921"/>
      <c r="AR72" s="4921"/>
      <c r="AS72" s="4921"/>
      <c r="AT72" s="4921"/>
      <c r="AU72" s="4921"/>
      <c r="AV72" s="4921"/>
      <c r="AW72" s="4921"/>
      <c r="AX72" s="4921"/>
      <c r="AY72" s="4921"/>
      <c r="AZ72" s="4921"/>
      <c r="BA72" s="4874"/>
      <c r="BB72" s="4829"/>
      <c r="BC72" s="4874"/>
      <c r="BD72" s="4934"/>
      <c r="BE72" s="4903"/>
      <c r="BF72" s="4869"/>
      <c r="BG72" s="4869"/>
      <c r="BH72" s="4912"/>
      <c r="BI72" s="4903"/>
      <c r="BJ72" s="4909"/>
      <c r="BK72" s="4844"/>
      <c r="BL72" s="4846"/>
      <c r="BM72" s="4919"/>
      <c r="BN72" s="4846"/>
      <c r="BO72" s="3069"/>
    </row>
    <row r="73" spans="1:276" ht="57" x14ac:dyDescent="0.2">
      <c r="A73" s="2325"/>
      <c r="B73" s="2326"/>
      <c r="C73" s="2359"/>
      <c r="D73" s="2360"/>
      <c r="E73" s="2359"/>
      <c r="F73" s="2360"/>
      <c r="G73" s="4199"/>
      <c r="H73" s="4837"/>
      <c r="I73" s="4837"/>
      <c r="J73" s="4795"/>
      <c r="K73" s="4848"/>
      <c r="L73" s="4799"/>
      <c r="M73" s="4896"/>
      <c r="N73" s="4789"/>
      <c r="O73" s="4821"/>
      <c r="P73" s="4835"/>
      <c r="Q73" s="4927"/>
      <c r="R73" s="3069"/>
      <c r="S73" s="2307" t="s">
        <v>2212</v>
      </c>
      <c r="T73" s="2383">
        <v>35000000</v>
      </c>
      <c r="U73" s="2350">
        <v>0</v>
      </c>
      <c r="V73" s="2350">
        <v>0</v>
      </c>
      <c r="W73" s="2372">
        <v>20</v>
      </c>
      <c r="X73" s="2382" t="s">
        <v>251</v>
      </c>
      <c r="Y73" s="4921"/>
      <c r="Z73" s="4923"/>
      <c r="AA73" s="4921"/>
      <c r="AB73" s="4923"/>
      <c r="AC73" s="4921"/>
      <c r="AD73" s="4923"/>
      <c r="AE73" s="4921"/>
      <c r="AF73" s="4921"/>
      <c r="AG73" s="4921"/>
      <c r="AH73" s="4921"/>
      <c r="AI73" s="4921"/>
      <c r="AJ73" s="4921"/>
      <c r="AK73" s="4921"/>
      <c r="AL73" s="4923"/>
      <c r="AM73" s="4921"/>
      <c r="AN73" s="4923"/>
      <c r="AO73" s="4921"/>
      <c r="AP73" s="4923"/>
      <c r="AQ73" s="4921"/>
      <c r="AR73" s="4921"/>
      <c r="AS73" s="4921"/>
      <c r="AT73" s="4921"/>
      <c r="AU73" s="4921"/>
      <c r="AV73" s="4921"/>
      <c r="AW73" s="4921"/>
      <c r="AX73" s="4921"/>
      <c r="AY73" s="4921"/>
      <c r="AZ73" s="4921"/>
      <c r="BA73" s="4874"/>
      <c r="BB73" s="4829"/>
      <c r="BC73" s="4874"/>
      <c r="BD73" s="4934"/>
      <c r="BE73" s="4903"/>
      <c r="BF73" s="4869"/>
      <c r="BG73" s="4869"/>
      <c r="BH73" s="4912"/>
      <c r="BI73" s="4903"/>
      <c r="BJ73" s="4909"/>
      <c r="BK73" s="4844"/>
      <c r="BL73" s="4846"/>
      <c r="BM73" s="4919"/>
      <c r="BN73" s="4846"/>
      <c r="BO73" s="3069"/>
    </row>
    <row r="74" spans="1:276" ht="57" x14ac:dyDescent="0.2">
      <c r="A74" s="2325"/>
      <c r="B74" s="2326"/>
      <c r="C74" s="2359"/>
      <c r="D74" s="2360"/>
      <c r="E74" s="2359"/>
      <c r="F74" s="2360"/>
      <c r="G74" s="4199"/>
      <c r="H74" s="4837"/>
      <c r="I74" s="4837"/>
      <c r="J74" s="4795"/>
      <c r="K74" s="4849"/>
      <c r="L74" s="4799"/>
      <c r="M74" s="4896"/>
      <c r="N74" s="4789"/>
      <c r="O74" s="4821"/>
      <c r="P74" s="4835"/>
      <c r="Q74" s="4927"/>
      <c r="R74" s="4825"/>
      <c r="S74" s="2307" t="s">
        <v>2213</v>
      </c>
      <c r="T74" s="2381">
        <f>20000000-3000000</f>
        <v>17000000</v>
      </c>
      <c r="U74" s="2350">
        <v>17000000</v>
      </c>
      <c r="V74" s="2350">
        <v>3729600</v>
      </c>
      <c r="W74" s="2372">
        <v>20</v>
      </c>
      <c r="X74" s="2382" t="s">
        <v>251</v>
      </c>
      <c r="Y74" s="4922"/>
      <c r="Z74" s="4924"/>
      <c r="AA74" s="4922"/>
      <c r="AB74" s="4924"/>
      <c r="AC74" s="4922"/>
      <c r="AD74" s="4924"/>
      <c r="AE74" s="4922"/>
      <c r="AF74" s="4922"/>
      <c r="AG74" s="4922"/>
      <c r="AH74" s="4922"/>
      <c r="AI74" s="4922"/>
      <c r="AJ74" s="4922"/>
      <c r="AK74" s="4922"/>
      <c r="AL74" s="4924"/>
      <c r="AM74" s="4922"/>
      <c r="AN74" s="4924"/>
      <c r="AO74" s="4922"/>
      <c r="AP74" s="4924"/>
      <c r="AQ74" s="4922"/>
      <c r="AR74" s="4922"/>
      <c r="AS74" s="4922"/>
      <c r="AT74" s="4922"/>
      <c r="AU74" s="4922"/>
      <c r="AV74" s="4922"/>
      <c r="AW74" s="4922"/>
      <c r="AX74" s="4922"/>
      <c r="AY74" s="4922"/>
      <c r="AZ74" s="4922"/>
      <c r="BA74" s="4828"/>
      <c r="BB74" s="4830"/>
      <c r="BC74" s="4828"/>
      <c r="BD74" s="4935"/>
      <c r="BE74" s="4904"/>
      <c r="BF74" s="4870"/>
      <c r="BG74" s="4870"/>
      <c r="BH74" s="4913"/>
      <c r="BI74" s="4904"/>
      <c r="BJ74" s="4910"/>
      <c r="BK74" s="4845"/>
      <c r="BL74" s="4843"/>
      <c r="BM74" s="4919"/>
      <c r="BN74" s="4843"/>
      <c r="BO74" s="4825"/>
    </row>
    <row r="75" spans="1:276" ht="15" x14ac:dyDescent="0.25">
      <c r="A75" s="2325"/>
      <c r="B75" s="2326"/>
      <c r="C75" s="2327">
        <v>18</v>
      </c>
      <c r="D75" s="2328" t="s">
        <v>2214</v>
      </c>
      <c r="E75" s="1442"/>
      <c r="F75" s="1442"/>
      <c r="G75" s="1442"/>
      <c r="H75" s="2354"/>
      <c r="I75" s="2354"/>
      <c r="J75" s="1442"/>
      <c r="K75" s="2397"/>
      <c r="L75" s="1442"/>
      <c r="M75" s="1442"/>
      <c r="N75" s="1443"/>
      <c r="O75" s="1442"/>
      <c r="P75" s="2398"/>
      <c r="Q75" s="2354"/>
      <c r="R75" s="2354"/>
      <c r="S75" s="2354"/>
      <c r="T75" s="2398"/>
      <c r="U75" s="2398"/>
      <c r="V75" s="2357"/>
      <c r="W75" s="1444"/>
      <c r="X75" s="1443"/>
      <c r="Y75" s="1443"/>
      <c r="Z75" s="1443"/>
      <c r="AA75" s="1443"/>
      <c r="AB75" s="1443"/>
      <c r="AC75" s="1443"/>
      <c r="AD75" s="1443"/>
      <c r="AE75" s="1443"/>
      <c r="AF75" s="1443"/>
      <c r="AG75" s="1443"/>
      <c r="AH75" s="1443"/>
      <c r="AI75" s="1443"/>
      <c r="AJ75" s="1443"/>
      <c r="AK75" s="1443"/>
      <c r="AL75" s="1443"/>
      <c r="AM75" s="1443"/>
      <c r="AN75" s="1443"/>
      <c r="AO75" s="1443"/>
      <c r="AP75" s="1443"/>
      <c r="AQ75" s="1443"/>
      <c r="AR75" s="1443"/>
      <c r="AS75" s="1443"/>
      <c r="AT75" s="1443"/>
      <c r="AU75" s="1443"/>
      <c r="AV75" s="1443"/>
      <c r="AW75" s="1443"/>
      <c r="AX75" s="1443"/>
      <c r="AY75" s="1443"/>
      <c r="AZ75" s="1443"/>
      <c r="BA75" s="1443"/>
      <c r="BB75" s="1443"/>
      <c r="BC75" s="1443"/>
      <c r="BD75" s="1443"/>
      <c r="BE75" s="1442"/>
      <c r="BF75" s="2398"/>
      <c r="BG75" s="2398"/>
      <c r="BH75" s="1442"/>
      <c r="BI75" s="1442"/>
      <c r="BJ75" s="1442"/>
      <c r="BK75" s="1442"/>
      <c r="BL75" s="1442"/>
      <c r="BM75" s="1442"/>
      <c r="BN75" s="1442"/>
      <c r="BO75" s="2358"/>
      <c r="BP75" s="1486"/>
      <c r="BQ75" s="1486"/>
      <c r="BR75" s="1486"/>
      <c r="BS75" s="1486"/>
      <c r="BT75" s="1486"/>
      <c r="BU75" s="1486"/>
      <c r="BV75" s="1486"/>
      <c r="BW75" s="1486"/>
      <c r="BX75" s="1486"/>
      <c r="BY75" s="1486"/>
      <c r="BZ75" s="1486"/>
      <c r="CA75" s="1486"/>
      <c r="CB75" s="1486"/>
      <c r="CC75" s="1486"/>
      <c r="CD75" s="1486"/>
      <c r="CE75" s="1486"/>
      <c r="CF75" s="1486"/>
      <c r="CG75" s="1486"/>
      <c r="CH75" s="1486"/>
      <c r="CI75" s="1486"/>
      <c r="CJ75" s="1486"/>
      <c r="CK75" s="1486"/>
      <c r="CL75" s="1486"/>
      <c r="CM75" s="1486"/>
      <c r="CN75" s="1486"/>
      <c r="CO75" s="1486"/>
      <c r="CP75" s="1486"/>
      <c r="CQ75" s="1486"/>
      <c r="CR75" s="1486"/>
      <c r="CS75" s="1486"/>
      <c r="CT75" s="1486"/>
      <c r="CU75" s="1486"/>
      <c r="CV75" s="1486"/>
      <c r="CW75" s="1486"/>
      <c r="CX75" s="1486"/>
      <c r="CY75" s="1486"/>
      <c r="CZ75" s="1486"/>
      <c r="DA75" s="1486"/>
      <c r="DB75" s="1486"/>
      <c r="DC75" s="1486"/>
      <c r="DD75" s="1486"/>
      <c r="DE75" s="1486"/>
      <c r="DF75" s="1486"/>
      <c r="DG75" s="1486"/>
      <c r="DH75" s="1486"/>
      <c r="DI75" s="1486"/>
      <c r="DJ75" s="1486"/>
      <c r="DK75" s="1486"/>
      <c r="DL75" s="1486"/>
      <c r="DM75" s="1486"/>
      <c r="DN75" s="1486"/>
      <c r="DO75" s="1486"/>
      <c r="DP75" s="1486"/>
      <c r="DQ75" s="1486"/>
      <c r="DR75" s="1486"/>
      <c r="DS75" s="1486"/>
      <c r="DT75" s="1486"/>
      <c r="DU75" s="1486"/>
      <c r="DV75" s="1486"/>
      <c r="DW75" s="1486"/>
      <c r="DX75" s="1486"/>
      <c r="DY75" s="1486"/>
      <c r="DZ75" s="1486"/>
      <c r="EA75" s="1486"/>
      <c r="EB75" s="1486"/>
      <c r="EC75" s="1486"/>
      <c r="ED75" s="1486"/>
      <c r="EE75" s="1486"/>
      <c r="EF75" s="1486"/>
      <c r="EG75" s="1486"/>
      <c r="EH75" s="1486"/>
      <c r="EI75" s="1486"/>
      <c r="EJ75" s="1486"/>
      <c r="EK75" s="1486"/>
      <c r="EL75" s="1486"/>
      <c r="EM75" s="1486"/>
      <c r="EN75" s="1486"/>
      <c r="EO75" s="1486"/>
      <c r="EP75" s="1486"/>
      <c r="EQ75" s="1486"/>
      <c r="ER75" s="1486"/>
      <c r="ES75" s="1486"/>
      <c r="ET75" s="1486"/>
      <c r="EU75" s="1486"/>
      <c r="EV75" s="1486"/>
      <c r="EW75" s="1486"/>
      <c r="EX75" s="1486"/>
      <c r="EY75" s="1486"/>
      <c r="EZ75" s="1486"/>
      <c r="FA75" s="1486"/>
      <c r="FB75" s="1486"/>
      <c r="FC75" s="1486"/>
      <c r="FD75" s="1486"/>
      <c r="FE75" s="1486"/>
      <c r="FF75" s="1486"/>
      <c r="FG75" s="1486"/>
      <c r="FH75" s="1486"/>
      <c r="FI75" s="1486"/>
      <c r="FJ75" s="1486"/>
      <c r="FK75" s="1486"/>
      <c r="FL75" s="1486"/>
      <c r="FM75" s="1486"/>
      <c r="FN75" s="1486"/>
      <c r="FO75" s="1486"/>
      <c r="FP75" s="1486"/>
      <c r="FQ75" s="1486"/>
      <c r="FR75" s="1486"/>
      <c r="FS75" s="1486"/>
      <c r="FT75" s="1486"/>
      <c r="FU75" s="1486"/>
      <c r="FV75" s="1486"/>
      <c r="FW75" s="1486"/>
      <c r="FX75" s="1486"/>
      <c r="FY75" s="1486"/>
      <c r="FZ75" s="1486"/>
      <c r="GA75" s="1486"/>
      <c r="GB75" s="1486"/>
      <c r="GC75" s="1486"/>
      <c r="GD75" s="1486"/>
      <c r="GE75" s="1486"/>
      <c r="GF75" s="1486"/>
      <c r="GG75" s="1486"/>
      <c r="GH75" s="1486"/>
      <c r="GI75" s="1486"/>
      <c r="GJ75" s="1486"/>
      <c r="GK75" s="1486"/>
      <c r="GL75" s="1486"/>
      <c r="GM75" s="1486"/>
      <c r="GN75" s="1486"/>
      <c r="GO75" s="1486"/>
      <c r="GP75" s="1486"/>
      <c r="GQ75" s="1486"/>
      <c r="GR75" s="1486"/>
      <c r="GS75" s="1486"/>
      <c r="GT75" s="1486"/>
      <c r="GU75" s="1486"/>
      <c r="GV75" s="1486"/>
      <c r="GW75" s="1486"/>
      <c r="GX75" s="1486"/>
      <c r="GY75" s="1486"/>
      <c r="GZ75" s="1486"/>
      <c r="HA75" s="1486"/>
      <c r="HB75" s="1486"/>
      <c r="HC75" s="1486"/>
      <c r="HD75" s="1486"/>
      <c r="HE75" s="1486"/>
      <c r="HF75" s="1486"/>
      <c r="HG75" s="1486"/>
      <c r="HH75" s="1486"/>
      <c r="HI75" s="1486"/>
      <c r="HJ75" s="1486"/>
      <c r="HK75" s="1486"/>
      <c r="HL75" s="1486"/>
      <c r="HM75" s="1486"/>
      <c r="HN75" s="1486"/>
      <c r="HO75" s="1486"/>
      <c r="HP75" s="1486"/>
      <c r="HQ75" s="1486"/>
      <c r="HR75" s="1486"/>
      <c r="HS75" s="1486"/>
      <c r="HT75" s="1486"/>
      <c r="HU75" s="1486"/>
      <c r="HV75" s="1486"/>
      <c r="HW75" s="1486"/>
      <c r="HX75" s="1486"/>
      <c r="HY75" s="1486"/>
      <c r="HZ75" s="1486"/>
      <c r="IA75" s="1486"/>
      <c r="IB75" s="1486"/>
      <c r="IC75" s="1486"/>
      <c r="ID75" s="1486"/>
      <c r="IE75" s="1486"/>
      <c r="IF75" s="1486"/>
      <c r="IG75" s="1486"/>
      <c r="IH75" s="1486"/>
      <c r="II75" s="1486"/>
      <c r="IJ75" s="1486"/>
      <c r="IK75" s="1486"/>
      <c r="IL75" s="1486"/>
      <c r="IM75" s="1486"/>
      <c r="IN75" s="1486"/>
      <c r="IO75" s="1486"/>
      <c r="IP75" s="1486"/>
      <c r="IQ75" s="1486"/>
      <c r="IR75" s="1486"/>
      <c r="IS75" s="1486"/>
      <c r="IT75" s="1486"/>
      <c r="IU75" s="1486"/>
      <c r="IV75" s="1486"/>
      <c r="IW75" s="1486"/>
      <c r="IX75" s="1486"/>
      <c r="IY75" s="1486"/>
      <c r="IZ75" s="1486"/>
      <c r="JA75" s="1486"/>
      <c r="JB75" s="1486"/>
      <c r="JC75" s="1486"/>
      <c r="JD75" s="1486"/>
      <c r="JE75" s="1486"/>
      <c r="JF75" s="1486"/>
      <c r="JG75" s="1486"/>
      <c r="JH75" s="1486"/>
      <c r="JI75" s="1486"/>
      <c r="JJ75" s="1486"/>
      <c r="JK75" s="1486"/>
      <c r="JL75" s="1486"/>
      <c r="JM75" s="1486"/>
      <c r="JN75" s="1486"/>
      <c r="JO75" s="1486"/>
      <c r="JP75" s="1486"/>
    </row>
    <row r="76" spans="1:276" ht="15" x14ac:dyDescent="0.2">
      <c r="A76" s="2325"/>
      <c r="B76" s="2326"/>
      <c r="C76" s="2359"/>
      <c r="D76" s="2360"/>
      <c r="E76" s="2336">
        <v>62</v>
      </c>
      <c r="F76" s="2337" t="s">
        <v>2215</v>
      </c>
      <c r="G76" s="2338"/>
      <c r="H76" s="2361"/>
      <c r="I76" s="2361"/>
      <c r="J76" s="2338"/>
      <c r="K76" s="2362"/>
      <c r="L76" s="2338"/>
      <c r="M76" s="2338"/>
      <c r="N76" s="1111"/>
      <c r="O76" s="2338"/>
      <c r="P76" s="2369"/>
      <c r="Q76" s="2361"/>
      <c r="R76" s="2361"/>
      <c r="S76" s="2361"/>
      <c r="T76" s="2364"/>
      <c r="U76" s="2364"/>
      <c r="V76" s="2365"/>
      <c r="W76" s="2366"/>
      <c r="X76" s="2367"/>
      <c r="Y76" s="2399"/>
      <c r="Z76" s="2399"/>
      <c r="AA76" s="2399"/>
      <c r="AB76" s="2399"/>
      <c r="AC76" s="2399"/>
      <c r="AD76" s="2399"/>
      <c r="AE76" s="2399"/>
      <c r="AF76" s="2399"/>
      <c r="AG76" s="2399"/>
      <c r="AH76" s="2399"/>
      <c r="AI76" s="2399"/>
      <c r="AJ76" s="2399"/>
      <c r="AK76" s="2399"/>
      <c r="AL76" s="2399"/>
      <c r="AM76" s="2399"/>
      <c r="AN76" s="2399"/>
      <c r="AO76" s="2399"/>
      <c r="AP76" s="2399"/>
      <c r="AQ76" s="2399"/>
      <c r="AR76" s="2399"/>
      <c r="AS76" s="2399"/>
      <c r="AT76" s="2399"/>
      <c r="AU76" s="2399"/>
      <c r="AV76" s="2399"/>
      <c r="AW76" s="2399"/>
      <c r="AX76" s="2399"/>
      <c r="AY76" s="2399"/>
      <c r="AZ76" s="2399"/>
      <c r="BA76" s="2399"/>
      <c r="BB76" s="2399"/>
      <c r="BC76" s="2399"/>
      <c r="BD76" s="2338"/>
      <c r="BE76" s="2338"/>
      <c r="BF76" s="2369"/>
      <c r="BG76" s="2369"/>
      <c r="BH76" s="2338"/>
      <c r="BI76" s="2338"/>
      <c r="BJ76" s="2338"/>
      <c r="BK76" s="2338"/>
      <c r="BL76" s="2338"/>
      <c r="BM76" s="2338"/>
      <c r="BN76" s="2338"/>
      <c r="BO76" s="1219"/>
    </row>
    <row r="77" spans="1:276" ht="42" customHeight="1" x14ac:dyDescent="0.2">
      <c r="A77" s="2325"/>
      <c r="B77" s="2326"/>
      <c r="C77" s="2359"/>
      <c r="D77" s="2360"/>
      <c r="E77" s="2370"/>
      <c r="F77" s="2371"/>
      <c r="G77" s="4928">
        <v>191</v>
      </c>
      <c r="H77" s="4880" t="s">
        <v>2216</v>
      </c>
      <c r="I77" s="4894" t="s">
        <v>2217</v>
      </c>
      <c r="J77" s="3972">
        <v>1</v>
      </c>
      <c r="K77" s="4929">
        <v>0.73</v>
      </c>
      <c r="L77" s="4798" t="s">
        <v>2218</v>
      </c>
      <c r="M77" s="4896" t="s">
        <v>2219</v>
      </c>
      <c r="N77" s="4790" t="s">
        <v>2220</v>
      </c>
      <c r="O77" s="4820">
        <v>1</v>
      </c>
      <c r="P77" s="3627">
        <f>SUM(T77:T93)</f>
        <v>1008600000</v>
      </c>
      <c r="Q77" s="4789" t="s">
        <v>2221</v>
      </c>
      <c r="R77" s="4825" t="s">
        <v>2222</v>
      </c>
      <c r="S77" s="2400" t="s">
        <v>2223</v>
      </c>
      <c r="T77" s="2401">
        <v>50000000</v>
      </c>
      <c r="U77" s="2401">
        <v>48851171</v>
      </c>
      <c r="V77" s="2402">
        <v>42435867</v>
      </c>
      <c r="W77" s="2372">
        <v>20</v>
      </c>
      <c r="X77" s="2382" t="s">
        <v>251</v>
      </c>
      <c r="Y77" s="4828">
        <v>2500</v>
      </c>
      <c r="Z77" s="4828">
        <v>1008</v>
      </c>
      <c r="AA77" s="4828">
        <v>2500</v>
      </c>
      <c r="AB77" s="4828">
        <v>1000</v>
      </c>
      <c r="AC77" s="4944"/>
      <c r="AD77" s="2403"/>
      <c r="AE77" s="4941"/>
      <c r="AF77" s="2404"/>
      <c r="AG77" s="4941"/>
      <c r="AH77" s="2404"/>
      <c r="AI77" s="4941"/>
      <c r="AJ77" s="2404"/>
      <c r="AK77" s="4941"/>
      <c r="AL77" s="2404"/>
      <c r="AM77" s="4941"/>
      <c r="AN77" s="2404"/>
      <c r="AO77" s="4941"/>
      <c r="AP77" s="2404"/>
      <c r="AQ77" s="4941"/>
      <c r="AR77" s="2404"/>
      <c r="AS77" s="4941"/>
      <c r="AT77" s="2404"/>
      <c r="AU77" s="4941"/>
      <c r="AV77" s="2404"/>
      <c r="AW77" s="4941"/>
      <c r="AX77" s="2404"/>
      <c r="AY77" s="4941"/>
      <c r="AZ77" s="2404"/>
      <c r="BA77" s="4941"/>
      <c r="BB77" s="2404"/>
      <c r="BC77" s="4828">
        <f>+Y77+AA77</f>
        <v>5000</v>
      </c>
      <c r="BD77" s="4828">
        <f>+AD85+AF85+AH85+AJ85</f>
        <v>2008</v>
      </c>
      <c r="BE77" s="4902">
        <v>82</v>
      </c>
      <c r="BF77" s="4868">
        <f>SUM(U77:U93)</f>
        <v>737049059</v>
      </c>
      <c r="BG77" s="4868">
        <f>SUM(V77:V93)</f>
        <v>413175947.99999994</v>
      </c>
      <c r="BH77" s="4911">
        <f>+BG77/BF77</f>
        <v>0.56058133845334701</v>
      </c>
      <c r="BI77" s="4902" t="s">
        <v>668</v>
      </c>
      <c r="BJ77" s="4908" t="s">
        <v>2224</v>
      </c>
      <c r="BK77" s="4843">
        <v>43467</v>
      </c>
      <c r="BL77" s="4845">
        <v>43467</v>
      </c>
      <c r="BM77" s="4843">
        <v>43809</v>
      </c>
      <c r="BN77" s="4845">
        <v>43809</v>
      </c>
      <c r="BO77" s="4827" t="s">
        <v>2225</v>
      </c>
    </row>
    <row r="78" spans="1:276" ht="60" customHeight="1" x14ac:dyDescent="0.2">
      <c r="A78" s="2325"/>
      <c r="B78" s="2326"/>
      <c r="C78" s="2359"/>
      <c r="D78" s="2360"/>
      <c r="E78" s="2359"/>
      <c r="F78" s="2360"/>
      <c r="G78" s="4928"/>
      <c r="H78" s="4880"/>
      <c r="I78" s="4894"/>
      <c r="J78" s="3972"/>
      <c r="K78" s="4930"/>
      <c r="L78" s="4799"/>
      <c r="M78" s="4896"/>
      <c r="N78" s="4790"/>
      <c r="O78" s="4821"/>
      <c r="P78" s="3627"/>
      <c r="Q78" s="4789"/>
      <c r="R78" s="4826"/>
      <c r="S78" s="2400" t="s">
        <v>2226</v>
      </c>
      <c r="T78" s="2401">
        <v>20000000</v>
      </c>
      <c r="U78" s="2401">
        <v>20000000</v>
      </c>
      <c r="V78" s="2402">
        <v>11871839.943511654</v>
      </c>
      <c r="W78" s="2372">
        <v>20</v>
      </c>
      <c r="X78" s="2382" t="s">
        <v>251</v>
      </c>
      <c r="Y78" s="4829"/>
      <c r="Z78" s="4829"/>
      <c r="AA78" s="4829"/>
      <c r="AB78" s="4829"/>
      <c r="AC78" s="4945"/>
      <c r="AD78" s="2405"/>
      <c r="AE78" s="4942"/>
      <c r="AF78" s="2406"/>
      <c r="AG78" s="4942"/>
      <c r="AH78" s="2406"/>
      <c r="AI78" s="4942"/>
      <c r="AJ78" s="2406"/>
      <c r="AK78" s="4942"/>
      <c r="AL78" s="2406"/>
      <c r="AM78" s="4942"/>
      <c r="AN78" s="2406"/>
      <c r="AO78" s="4942"/>
      <c r="AP78" s="2406"/>
      <c r="AQ78" s="4942"/>
      <c r="AR78" s="2406"/>
      <c r="AS78" s="4942"/>
      <c r="AT78" s="2406"/>
      <c r="AU78" s="4942"/>
      <c r="AV78" s="2406"/>
      <c r="AW78" s="4942"/>
      <c r="AX78" s="2406"/>
      <c r="AY78" s="4942"/>
      <c r="AZ78" s="2406"/>
      <c r="BA78" s="4942"/>
      <c r="BB78" s="2406"/>
      <c r="BC78" s="4829"/>
      <c r="BD78" s="4829"/>
      <c r="BE78" s="4903"/>
      <c r="BF78" s="4869"/>
      <c r="BG78" s="4869"/>
      <c r="BH78" s="4912"/>
      <c r="BI78" s="4903"/>
      <c r="BJ78" s="4909"/>
      <c r="BK78" s="4843"/>
      <c r="BL78" s="4846"/>
      <c r="BM78" s="4843"/>
      <c r="BN78" s="4846"/>
      <c r="BO78" s="4827"/>
    </row>
    <row r="79" spans="1:276" ht="56.25" customHeight="1" x14ac:dyDescent="0.2">
      <c r="A79" s="2325"/>
      <c r="B79" s="2326"/>
      <c r="C79" s="2359"/>
      <c r="D79" s="2360"/>
      <c r="E79" s="2359"/>
      <c r="F79" s="2360"/>
      <c r="G79" s="4928"/>
      <c r="H79" s="4880"/>
      <c r="I79" s="4894"/>
      <c r="J79" s="3972"/>
      <c r="K79" s="4930"/>
      <c r="L79" s="4799"/>
      <c r="M79" s="4896"/>
      <c r="N79" s="4790"/>
      <c r="O79" s="4821"/>
      <c r="P79" s="3627"/>
      <c r="Q79" s="4789"/>
      <c r="R79" s="4826"/>
      <c r="S79" s="2400" t="s">
        <v>2227</v>
      </c>
      <c r="T79" s="2401">
        <v>50000000</v>
      </c>
      <c r="U79" s="2401">
        <v>0</v>
      </c>
      <c r="V79" s="2402">
        <v>0</v>
      </c>
      <c r="W79" s="2372">
        <v>20</v>
      </c>
      <c r="X79" s="2382" t="s">
        <v>251</v>
      </c>
      <c r="Y79" s="4829"/>
      <c r="Z79" s="4829"/>
      <c r="AA79" s="4829"/>
      <c r="AB79" s="4829"/>
      <c r="AC79" s="4945"/>
      <c r="AD79" s="2405"/>
      <c r="AE79" s="4942"/>
      <c r="AF79" s="2406"/>
      <c r="AG79" s="4942"/>
      <c r="AH79" s="2406"/>
      <c r="AI79" s="4942"/>
      <c r="AJ79" s="2406"/>
      <c r="AK79" s="4942"/>
      <c r="AL79" s="2406"/>
      <c r="AM79" s="4942"/>
      <c r="AN79" s="2406"/>
      <c r="AO79" s="4942"/>
      <c r="AP79" s="2406"/>
      <c r="AQ79" s="4942"/>
      <c r="AR79" s="2406"/>
      <c r="AS79" s="4942"/>
      <c r="AT79" s="2406"/>
      <c r="AU79" s="4942"/>
      <c r="AV79" s="2406"/>
      <c r="AW79" s="4942"/>
      <c r="AX79" s="2406"/>
      <c r="AY79" s="4942"/>
      <c r="AZ79" s="2406"/>
      <c r="BA79" s="4942"/>
      <c r="BB79" s="2406"/>
      <c r="BC79" s="4829"/>
      <c r="BD79" s="4829"/>
      <c r="BE79" s="4903"/>
      <c r="BF79" s="4869"/>
      <c r="BG79" s="4869"/>
      <c r="BH79" s="4912"/>
      <c r="BI79" s="4903"/>
      <c r="BJ79" s="4909"/>
      <c r="BK79" s="4843"/>
      <c r="BL79" s="4846"/>
      <c r="BM79" s="4843"/>
      <c r="BN79" s="4846"/>
      <c r="BO79" s="4827"/>
    </row>
    <row r="80" spans="1:276" ht="59.25" customHeight="1" x14ac:dyDescent="0.2">
      <c r="A80" s="2325"/>
      <c r="B80" s="2326"/>
      <c r="C80" s="2359"/>
      <c r="D80" s="2360"/>
      <c r="E80" s="2359"/>
      <c r="F80" s="2360"/>
      <c r="G80" s="4928"/>
      <c r="H80" s="4880"/>
      <c r="I80" s="4894"/>
      <c r="J80" s="3972"/>
      <c r="K80" s="4930"/>
      <c r="L80" s="4799"/>
      <c r="M80" s="4896"/>
      <c r="N80" s="4790"/>
      <c r="O80" s="4821"/>
      <c r="P80" s="3627"/>
      <c r="Q80" s="4789"/>
      <c r="R80" s="4826"/>
      <c r="S80" s="2400" t="s">
        <v>2228</v>
      </c>
      <c r="T80" s="2401">
        <v>50000000</v>
      </c>
      <c r="U80" s="2401">
        <v>10824400</v>
      </c>
      <c r="V80" s="2402">
        <v>2798000</v>
      </c>
      <c r="W80" s="2372">
        <v>20</v>
      </c>
      <c r="X80" s="2382" t="s">
        <v>251</v>
      </c>
      <c r="Y80" s="4829"/>
      <c r="Z80" s="4829"/>
      <c r="AA80" s="4829"/>
      <c r="AB80" s="4829"/>
      <c r="AC80" s="4945"/>
      <c r="AD80" s="2405"/>
      <c r="AE80" s="4942"/>
      <c r="AF80" s="2406"/>
      <c r="AG80" s="4942"/>
      <c r="AH80" s="2406"/>
      <c r="AI80" s="4942"/>
      <c r="AJ80" s="2406"/>
      <c r="AK80" s="4942"/>
      <c r="AL80" s="2406"/>
      <c r="AM80" s="4942"/>
      <c r="AN80" s="2406"/>
      <c r="AO80" s="4942"/>
      <c r="AP80" s="2406"/>
      <c r="AQ80" s="4942"/>
      <c r="AR80" s="2406"/>
      <c r="AS80" s="4942"/>
      <c r="AT80" s="2406"/>
      <c r="AU80" s="4942"/>
      <c r="AV80" s="2406"/>
      <c r="AW80" s="4942"/>
      <c r="AX80" s="2406"/>
      <c r="AY80" s="4942"/>
      <c r="AZ80" s="2406"/>
      <c r="BA80" s="4942"/>
      <c r="BB80" s="2406"/>
      <c r="BC80" s="4829"/>
      <c r="BD80" s="4829"/>
      <c r="BE80" s="4903"/>
      <c r="BF80" s="4869"/>
      <c r="BG80" s="4869"/>
      <c r="BH80" s="4912"/>
      <c r="BI80" s="4903"/>
      <c r="BJ80" s="4909"/>
      <c r="BK80" s="4843"/>
      <c r="BL80" s="4846"/>
      <c r="BM80" s="4843"/>
      <c r="BN80" s="4846"/>
      <c r="BO80" s="4827"/>
    </row>
    <row r="81" spans="1:67" ht="105" customHeight="1" x14ac:dyDescent="0.2">
      <c r="A81" s="2325"/>
      <c r="B81" s="2326"/>
      <c r="C81" s="2359"/>
      <c r="D81" s="2360"/>
      <c r="E81" s="2359"/>
      <c r="F81" s="2360"/>
      <c r="G81" s="4928"/>
      <c r="H81" s="4880"/>
      <c r="I81" s="4894"/>
      <c r="J81" s="3972"/>
      <c r="K81" s="4930"/>
      <c r="L81" s="4799"/>
      <c r="M81" s="4896"/>
      <c r="N81" s="4790"/>
      <c r="O81" s="4821"/>
      <c r="P81" s="3627"/>
      <c r="Q81" s="4789"/>
      <c r="R81" s="4826"/>
      <c r="S81" s="2400" t="s">
        <v>2229</v>
      </c>
      <c r="T81" s="2401">
        <v>270000000</v>
      </c>
      <c r="U81" s="2401">
        <v>212844634</v>
      </c>
      <c r="V81" s="2402">
        <v>99524139.134414077</v>
      </c>
      <c r="W81" s="2372">
        <v>20</v>
      </c>
      <c r="X81" s="2382" t="s">
        <v>251</v>
      </c>
      <c r="Y81" s="4829"/>
      <c r="Z81" s="4829"/>
      <c r="AA81" s="4829"/>
      <c r="AB81" s="4829"/>
      <c r="AC81" s="4945"/>
      <c r="AD81" s="2405"/>
      <c r="AE81" s="4942"/>
      <c r="AF81" s="2406"/>
      <c r="AG81" s="4942"/>
      <c r="AH81" s="2406"/>
      <c r="AI81" s="4942"/>
      <c r="AJ81" s="2406"/>
      <c r="AK81" s="4942"/>
      <c r="AL81" s="2406"/>
      <c r="AM81" s="4942"/>
      <c r="AN81" s="2406"/>
      <c r="AO81" s="4942"/>
      <c r="AP81" s="2406"/>
      <c r="AQ81" s="4942"/>
      <c r="AR81" s="2406"/>
      <c r="AS81" s="4942"/>
      <c r="AT81" s="2406"/>
      <c r="AU81" s="4942"/>
      <c r="AV81" s="2406"/>
      <c r="AW81" s="4942"/>
      <c r="AX81" s="2406"/>
      <c r="AY81" s="4942"/>
      <c r="AZ81" s="2406"/>
      <c r="BA81" s="4942"/>
      <c r="BB81" s="2406"/>
      <c r="BC81" s="4829"/>
      <c r="BD81" s="4829"/>
      <c r="BE81" s="4903"/>
      <c r="BF81" s="4869"/>
      <c r="BG81" s="4869"/>
      <c r="BH81" s="4912"/>
      <c r="BI81" s="4903"/>
      <c r="BJ81" s="4909"/>
      <c r="BK81" s="4843"/>
      <c r="BL81" s="4846"/>
      <c r="BM81" s="4843"/>
      <c r="BN81" s="4846"/>
      <c r="BO81" s="4827"/>
    </row>
    <row r="82" spans="1:67" ht="98.25" customHeight="1" x14ac:dyDescent="0.2">
      <c r="A82" s="2325"/>
      <c r="B82" s="2326"/>
      <c r="C82" s="2359"/>
      <c r="D82" s="2360"/>
      <c r="E82" s="2359"/>
      <c r="F82" s="2360"/>
      <c r="G82" s="4928"/>
      <c r="H82" s="4880"/>
      <c r="I82" s="4894"/>
      <c r="J82" s="3972"/>
      <c r="K82" s="4930"/>
      <c r="L82" s="4799"/>
      <c r="M82" s="4896"/>
      <c r="N82" s="4790"/>
      <c r="O82" s="4821"/>
      <c r="P82" s="3627"/>
      <c r="Q82" s="4789"/>
      <c r="R82" s="4826"/>
      <c r="S82" s="2400" t="s">
        <v>2230</v>
      </c>
      <c r="T82" s="2401">
        <v>29040000</v>
      </c>
      <c r="U82" s="2401">
        <v>27453000</v>
      </c>
      <c r="V82" s="2402">
        <v>24946181.81818182</v>
      </c>
      <c r="W82" s="2372">
        <v>20</v>
      </c>
      <c r="X82" s="2382" t="s">
        <v>251</v>
      </c>
      <c r="Y82" s="4829"/>
      <c r="Z82" s="4829"/>
      <c r="AA82" s="4829"/>
      <c r="AB82" s="4829"/>
      <c r="AC82" s="4945"/>
      <c r="AD82" s="2405"/>
      <c r="AE82" s="4942"/>
      <c r="AF82" s="2406"/>
      <c r="AG82" s="4942"/>
      <c r="AH82" s="2406"/>
      <c r="AI82" s="4942"/>
      <c r="AJ82" s="2406"/>
      <c r="AK82" s="4942"/>
      <c r="AL82" s="2406"/>
      <c r="AM82" s="4942"/>
      <c r="AN82" s="2406"/>
      <c r="AO82" s="4942"/>
      <c r="AP82" s="2406"/>
      <c r="AQ82" s="4942"/>
      <c r="AR82" s="2406"/>
      <c r="AS82" s="4942"/>
      <c r="AT82" s="2406"/>
      <c r="AU82" s="4942"/>
      <c r="AV82" s="2406"/>
      <c r="AW82" s="4942"/>
      <c r="AX82" s="2406"/>
      <c r="AY82" s="4942"/>
      <c r="AZ82" s="2406"/>
      <c r="BA82" s="4942"/>
      <c r="BB82" s="2406"/>
      <c r="BC82" s="4829"/>
      <c r="BD82" s="4829"/>
      <c r="BE82" s="4903"/>
      <c r="BF82" s="4869"/>
      <c r="BG82" s="4869"/>
      <c r="BH82" s="4912"/>
      <c r="BI82" s="4903"/>
      <c r="BJ82" s="4909"/>
      <c r="BK82" s="4843"/>
      <c r="BL82" s="4846"/>
      <c r="BM82" s="4843"/>
      <c r="BN82" s="4846"/>
      <c r="BO82" s="4827"/>
    </row>
    <row r="83" spans="1:67" ht="75" customHeight="1" x14ac:dyDescent="0.2">
      <c r="A83" s="2325"/>
      <c r="B83" s="2326"/>
      <c r="C83" s="2359"/>
      <c r="D83" s="2360"/>
      <c r="E83" s="2359"/>
      <c r="F83" s="2360"/>
      <c r="G83" s="4928"/>
      <c r="H83" s="4880"/>
      <c r="I83" s="4894"/>
      <c r="J83" s="3972"/>
      <c r="K83" s="4930"/>
      <c r="L83" s="4799"/>
      <c r="M83" s="4896"/>
      <c r="N83" s="4790"/>
      <c r="O83" s="4821"/>
      <c r="P83" s="3627"/>
      <c r="Q83" s="4789"/>
      <c r="R83" s="4826"/>
      <c r="S83" s="2400" t="s">
        <v>2231</v>
      </c>
      <c r="T83" s="2401">
        <v>24360000</v>
      </c>
      <c r="U83" s="2401">
        <v>18915000</v>
      </c>
      <c r="V83" s="2402">
        <v>14369545.454545453</v>
      </c>
      <c r="W83" s="2372">
        <v>20</v>
      </c>
      <c r="X83" s="2382" t="s">
        <v>251</v>
      </c>
      <c r="Y83" s="4829"/>
      <c r="Z83" s="4829"/>
      <c r="AA83" s="4829"/>
      <c r="AB83" s="4829"/>
      <c r="AC83" s="4945"/>
      <c r="AD83" s="2405"/>
      <c r="AE83" s="4942"/>
      <c r="AF83" s="2406"/>
      <c r="AG83" s="4942"/>
      <c r="AH83" s="2406"/>
      <c r="AI83" s="4942"/>
      <c r="AJ83" s="2406"/>
      <c r="AK83" s="4942"/>
      <c r="AL83" s="2406"/>
      <c r="AM83" s="4942"/>
      <c r="AN83" s="2406"/>
      <c r="AO83" s="4942"/>
      <c r="AP83" s="2406"/>
      <c r="AQ83" s="4942"/>
      <c r="AR83" s="2406"/>
      <c r="AS83" s="4942"/>
      <c r="AT83" s="2406"/>
      <c r="AU83" s="4942"/>
      <c r="AV83" s="2406"/>
      <c r="AW83" s="4942"/>
      <c r="AX83" s="2406"/>
      <c r="AY83" s="4942"/>
      <c r="AZ83" s="2406"/>
      <c r="BA83" s="4942"/>
      <c r="BB83" s="2406"/>
      <c r="BC83" s="4829"/>
      <c r="BD83" s="4829"/>
      <c r="BE83" s="4903"/>
      <c r="BF83" s="4869"/>
      <c r="BG83" s="4869"/>
      <c r="BH83" s="4912"/>
      <c r="BI83" s="4903"/>
      <c r="BJ83" s="4909"/>
      <c r="BK83" s="4843"/>
      <c r="BL83" s="4846"/>
      <c r="BM83" s="4843"/>
      <c r="BN83" s="4846"/>
      <c r="BO83" s="4827"/>
    </row>
    <row r="84" spans="1:67" ht="60.75" customHeight="1" x14ac:dyDescent="0.2">
      <c r="A84" s="2325"/>
      <c r="B84" s="2326"/>
      <c r="C84" s="2359"/>
      <c r="D84" s="2360"/>
      <c r="E84" s="2359"/>
      <c r="F84" s="2360"/>
      <c r="G84" s="4928"/>
      <c r="H84" s="4880"/>
      <c r="I84" s="4894"/>
      <c r="J84" s="3972"/>
      <c r="K84" s="4930"/>
      <c r="L84" s="4799"/>
      <c r="M84" s="4896"/>
      <c r="N84" s="4790"/>
      <c r="O84" s="4821"/>
      <c r="P84" s="3627"/>
      <c r="Q84" s="4789"/>
      <c r="R84" s="4826"/>
      <c r="S84" s="2400" t="s">
        <v>2232</v>
      </c>
      <c r="T84" s="2401">
        <v>21610000</v>
      </c>
      <c r="U84" s="2401">
        <v>20311500</v>
      </c>
      <c r="V84" s="2402">
        <v>19021272.727272727</v>
      </c>
      <c r="W84" s="2372">
        <v>20</v>
      </c>
      <c r="X84" s="2382" t="s">
        <v>251</v>
      </c>
      <c r="Y84" s="4829"/>
      <c r="Z84" s="4829"/>
      <c r="AA84" s="4829"/>
      <c r="AB84" s="4829"/>
      <c r="AC84" s="4945"/>
      <c r="AD84" s="2405"/>
      <c r="AE84" s="4942"/>
      <c r="AF84" s="2406"/>
      <c r="AG84" s="4942"/>
      <c r="AH84" s="2406"/>
      <c r="AI84" s="4942"/>
      <c r="AJ84" s="2406"/>
      <c r="AK84" s="4942"/>
      <c r="AL84" s="2406"/>
      <c r="AM84" s="4942"/>
      <c r="AN84" s="2406"/>
      <c r="AO84" s="4942"/>
      <c r="AP84" s="2406"/>
      <c r="AQ84" s="4942"/>
      <c r="AR84" s="2406"/>
      <c r="AS84" s="4942"/>
      <c r="AT84" s="2406"/>
      <c r="AU84" s="4942"/>
      <c r="AV84" s="2406"/>
      <c r="AW84" s="4942"/>
      <c r="AX84" s="2406"/>
      <c r="AY84" s="4942"/>
      <c r="AZ84" s="2406"/>
      <c r="BA84" s="4942"/>
      <c r="BB84" s="2406"/>
      <c r="BC84" s="4829"/>
      <c r="BD84" s="4829"/>
      <c r="BE84" s="4903"/>
      <c r="BF84" s="4869"/>
      <c r="BG84" s="4869"/>
      <c r="BH84" s="4912"/>
      <c r="BI84" s="4903"/>
      <c r="BJ84" s="4909"/>
      <c r="BK84" s="4843"/>
      <c r="BL84" s="4846"/>
      <c r="BM84" s="4843"/>
      <c r="BN84" s="4846"/>
      <c r="BO84" s="4827"/>
    </row>
    <row r="85" spans="1:67" ht="55.5" customHeight="1" x14ac:dyDescent="0.2">
      <c r="A85" s="2325"/>
      <c r="B85" s="2326"/>
      <c r="C85" s="2359"/>
      <c r="D85" s="2360"/>
      <c r="E85" s="2359"/>
      <c r="F85" s="2360"/>
      <c r="G85" s="4928"/>
      <c r="H85" s="4880"/>
      <c r="I85" s="4894"/>
      <c r="J85" s="3972"/>
      <c r="K85" s="4930"/>
      <c r="L85" s="4799"/>
      <c r="M85" s="4896"/>
      <c r="N85" s="4790"/>
      <c r="O85" s="4821"/>
      <c r="P85" s="3627"/>
      <c r="Q85" s="4789"/>
      <c r="R85" s="4826"/>
      <c r="S85" s="2400" t="s">
        <v>2233</v>
      </c>
      <c r="T85" s="2401">
        <v>18590000</v>
      </c>
      <c r="U85" s="2401">
        <v>18590000</v>
      </c>
      <c r="V85" s="2402">
        <v>16110811.534462702</v>
      </c>
      <c r="W85" s="2372">
        <v>20</v>
      </c>
      <c r="X85" s="2382" t="s">
        <v>251</v>
      </c>
      <c r="Y85" s="4829"/>
      <c r="Z85" s="4829"/>
      <c r="AA85" s="4829"/>
      <c r="AB85" s="4829"/>
      <c r="AC85" s="4945"/>
      <c r="AD85" s="2405">
        <v>202</v>
      </c>
      <c r="AE85" s="4942"/>
      <c r="AF85" s="2406">
        <v>518</v>
      </c>
      <c r="AG85" s="4942"/>
      <c r="AH85" s="2406">
        <v>1150</v>
      </c>
      <c r="AI85" s="4942"/>
      <c r="AJ85" s="2406">
        <v>138</v>
      </c>
      <c r="AK85" s="4942"/>
      <c r="AL85" s="2406"/>
      <c r="AM85" s="4942"/>
      <c r="AN85" s="2406"/>
      <c r="AO85" s="4942"/>
      <c r="AP85" s="2406"/>
      <c r="AQ85" s="4942"/>
      <c r="AR85" s="2406"/>
      <c r="AS85" s="4942"/>
      <c r="AT85" s="2406"/>
      <c r="AU85" s="4942"/>
      <c r="AV85" s="2406"/>
      <c r="AW85" s="4942"/>
      <c r="AX85" s="2406"/>
      <c r="AY85" s="4942"/>
      <c r="AZ85" s="2406"/>
      <c r="BA85" s="4942"/>
      <c r="BB85" s="2406"/>
      <c r="BC85" s="4829"/>
      <c r="BD85" s="4829"/>
      <c r="BE85" s="4903"/>
      <c r="BF85" s="4869"/>
      <c r="BG85" s="4869"/>
      <c r="BH85" s="4912"/>
      <c r="BI85" s="4903"/>
      <c r="BJ85" s="4909"/>
      <c r="BK85" s="4843"/>
      <c r="BL85" s="4846"/>
      <c r="BM85" s="4843"/>
      <c r="BN85" s="4846"/>
      <c r="BO85" s="4827"/>
    </row>
    <row r="86" spans="1:67" ht="124.5" customHeight="1" x14ac:dyDescent="0.2">
      <c r="A86" s="2325"/>
      <c r="B86" s="2326"/>
      <c r="C86" s="2359"/>
      <c r="D86" s="2360"/>
      <c r="E86" s="2359"/>
      <c r="F86" s="2360"/>
      <c r="G86" s="4928"/>
      <c r="H86" s="4880"/>
      <c r="I86" s="4894"/>
      <c r="J86" s="3972"/>
      <c r="K86" s="4930"/>
      <c r="L86" s="4799"/>
      <c r="M86" s="4896"/>
      <c r="N86" s="4790"/>
      <c r="O86" s="4821"/>
      <c r="P86" s="3627"/>
      <c r="Q86" s="4789"/>
      <c r="R86" s="4826"/>
      <c r="S86" s="2400" t="s">
        <v>2234</v>
      </c>
      <c r="T86" s="2401">
        <v>30000000</v>
      </c>
      <c r="U86" s="2401">
        <v>30000000</v>
      </c>
      <c r="V86" s="2402">
        <v>22683309.056461629</v>
      </c>
      <c r="W86" s="2372">
        <v>20</v>
      </c>
      <c r="X86" s="2382" t="s">
        <v>251</v>
      </c>
      <c r="Y86" s="4829"/>
      <c r="Z86" s="4829"/>
      <c r="AA86" s="4829"/>
      <c r="AB86" s="4829"/>
      <c r="AC86" s="4945"/>
      <c r="AD86" s="2405"/>
      <c r="AE86" s="4942"/>
      <c r="AF86" s="2406"/>
      <c r="AG86" s="4942"/>
      <c r="AH86" s="2406"/>
      <c r="AI86" s="4942"/>
      <c r="AJ86" s="2406"/>
      <c r="AK86" s="4942"/>
      <c r="AL86" s="2406"/>
      <c r="AM86" s="4942"/>
      <c r="AN86" s="2406"/>
      <c r="AO86" s="4942"/>
      <c r="AP86" s="2406"/>
      <c r="AQ86" s="4942"/>
      <c r="AR86" s="2406"/>
      <c r="AS86" s="4942"/>
      <c r="AT86" s="2406"/>
      <c r="AU86" s="4942"/>
      <c r="AV86" s="2406"/>
      <c r="AW86" s="4942"/>
      <c r="AX86" s="2406"/>
      <c r="AY86" s="4942"/>
      <c r="AZ86" s="2406"/>
      <c r="BA86" s="4942"/>
      <c r="BB86" s="2406"/>
      <c r="BC86" s="4829"/>
      <c r="BD86" s="4829"/>
      <c r="BE86" s="4903"/>
      <c r="BF86" s="4869"/>
      <c r="BG86" s="4869"/>
      <c r="BH86" s="4912"/>
      <c r="BI86" s="4903"/>
      <c r="BJ86" s="4909"/>
      <c r="BK86" s="4843"/>
      <c r="BL86" s="4846"/>
      <c r="BM86" s="4843"/>
      <c r="BN86" s="4846"/>
      <c r="BO86" s="4827"/>
    </row>
    <row r="87" spans="1:67" ht="67.5" customHeight="1" x14ac:dyDescent="0.2">
      <c r="A87" s="2325"/>
      <c r="B87" s="2326"/>
      <c r="C87" s="2359"/>
      <c r="D87" s="2360"/>
      <c r="E87" s="2359"/>
      <c r="F87" s="2360"/>
      <c r="G87" s="4928"/>
      <c r="H87" s="4880"/>
      <c r="I87" s="4894"/>
      <c r="J87" s="3972"/>
      <c r="K87" s="4930"/>
      <c r="L87" s="4799"/>
      <c r="M87" s="4896"/>
      <c r="N87" s="4790"/>
      <c r="O87" s="4821"/>
      <c r="P87" s="3627"/>
      <c r="Q87" s="4789"/>
      <c r="R87" s="4827"/>
      <c r="S87" s="2400" t="s">
        <v>2235</v>
      </c>
      <c r="T87" s="2401">
        <v>15000000</v>
      </c>
      <c r="U87" s="2401">
        <v>8482000</v>
      </c>
      <c r="V87" s="2402">
        <v>7282000</v>
      </c>
      <c r="W87" s="2372">
        <v>20</v>
      </c>
      <c r="X87" s="2382" t="s">
        <v>251</v>
      </c>
      <c r="Y87" s="4829"/>
      <c r="Z87" s="4829"/>
      <c r="AA87" s="4829"/>
      <c r="AB87" s="4829"/>
      <c r="AC87" s="4945"/>
      <c r="AD87" s="2405"/>
      <c r="AE87" s="4942"/>
      <c r="AF87" s="2406"/>
      <c r="AG87" s="4942"/>
      <c r="AH87" s="2406"/>
      <c r="AI87" s="4942"/>
      <c r="AJ87" s="2406"/>
      <c r="AK87" s="4942"/>
      <c r="AL87" s="2406"/>
      <c r="AM87" s="4942"/>
      <c r="AN87" s="2406"/>
      <c r="AO87" s="4942"/>
      <c r="AP87" s="2406"/>
      <c r="AQ87" s="4942"/>
      <c r="AR87" s="2406"/>
      <c r="AS87" s="4942"/>
      <c r="AT87" s="2406"/>
      <c r="AU87" s="4942"/>
      <c r="AV87" s="2406"/>
      <c r="AW87" s="4942"/>
      <c r="AX87" s="2406"/>
      <c r="AY87" s="4942"/>
      <c r="AZ87" s="2406"/>
      <c r="BA87" s="4942"/>
      <c r="BB87" s="2406"/>
      <c r="BC87" s="4829"/>
      <c r="BD87" s="4829"/>
      <c r="BE87" s="4903"/>
      <c r="BF87" s="4869"/>
      <c r="BG87" s="4869"/>
      <c r="BH87" s="4912"/>
      <c r="BI87" s="4903"/>
      <c r="BJ87" s="4909"/>
      <c r="BK87" s="4843"/>
      <c r="BL87" s="4846"/>
      <c r="BM87" s="4843"/>
      <c r="BN87" s="4846"/>
      <c r="BO87" s="4827"/>
    </row>
    <row r="88" spans="1:67" ht="81.75" customHeight="1" x14ac:dyDescent="0.2">
      <c r="A88" s="2325"/>
      <c r="B88" s="2326"/>
      <c r="C88" s="2359"/>
      <c r="D88" s="2360"/>
      <c r="E88" s="2359"/>
      <c r="F88" s="2360"/>
      <c r="G88" s="4928"/>
      <c r="H88" s="4880"/>
      <c r="I88" s="4894"/>
      <c r="J88" s="3972"/>
      <c r="K88" s="4930"/>
      <c r="L88" s="4799"/>
      <c r="M88" s="4896"/>
      <c r="N88" s="4790"/>
      <c r="O88" s="4821"/>
      <c r="P88" s="3627"/>
      <c r="Q88" s="4789"/>
      <c r="R88" s="3069" t="s">
        <v>2236</v>
      </c>
      <c r="S88" s="2400" t="s">
        <v>2237</v>
      </c>
      <c r="T88" s="2401">
        <v>125000000</v>
      </c>
      <c r="U88" s="2401">
        <v>96281394</v>
      </c>
      <c r="V88" s="2402">
        <v>55175046.956521697</v>
      </c>
      <c r="W88" s="2372">
        <v>20</v>
      </c>
      <c r="X88" s="2382" t="s">
        <v>251</v>
      </c>
      <c r="Y88" s="4829"/>
      <c r="Z88" s="4829"/>
      <c r="AA88" s="4829"/>
      <c r="AB88" s="4829"/>
      <c r="AC88" s="4945"/>
      <c r="AD88" s="2405"/>
      <c r="AE88" s="4942"/>
      <c r="AF88" s="2406"/>
      <c r="AG88" s="4942"/>
      <c r="AH88" s="2406"/>
      <c r="AI88" s="4942"/>
      <c r="AJ88" s="2406"/>
      <c r="AK88" s="4942"/>
      <c r="AL88" s="2406"/>
      <c r="AM88" s="4942"/>
      <c r="AN88" s="2406"/>
      <c r="AO88" s="4942"/>
      <c r="AP88" s="2406"/>
      <c r="AQ88" s="4942"/>
      <c r="AR88" s="2406"/>
      <c r="AS88" s="4942"/>
      <c r="AT88" s="2406"/>
      <c r="AU88" s="4942"/>
      <c r="AV88" s="2406"/>
      <c r="AW88" s="4942"/>
      <c r="AX88" s="2406"/>
      <c r="AY88" s="4942"/>
      <c r="AZ88" s="2406"/>
      <c r="BA88" s="4942"/>
      <c r="BB88" s="2406"/>
      <c r="BC88" s="4829"/>
      <c r="BD88" s="4829"/>
      <c r="BE88" s="4903"/>
      <c r="BF88" s="4869"/>
      <c r="BG88" s="4869"/>
      <c r="BH88" s="4912"/>
      <c r="BI88" s="4903"/>
      <c r="BJ88" s="4909"/>
      <c r="BK88" s="4843"/>
      <c r="BL88" s="4846"/>
      <c r="BM88" s="4843"/>
      <c r="BN88" s="4846"/>
      <c r="BO88" s="4827"/>
    </row>
    <row r="89" spans="1:67" ht="85.5" x14ac:dyDescent="0.2">
      <c r="A89" s="2325"/>
      <c r="B89" s="2326"/>
      <c r="C89" s="2359"/>
      <c r="D89" s="2360"/>
      <c r="E89" s="2359"/>
      <c r="F89" s="2360"/>
      <c r="G89" s="4928"/>
      <c r="H89" s="4880"/>
      <c r="I89" s="4894"/>
      <c r="J89" s="3972"/>
      <c r="K89" s="4930"/>
      <c r="L89" s="4799"/>
      <c r="M89" s="4896"/>
      <c r="N89" s="4790"/>
      <c r="O89" s="4821"/>
      <c r="P89" s="3627"/>
      <c r="Q89" s="4789"/>
      <c r="R89" s="3069"/>
      <c r="S89" s="2400" t="s">
        <v>2238</v>
      </c>
      <c r="T89" s="2401">
        <v>50000000</v>
      </c>
      <c r="U89" s="2401">
        <v>36243000</v>
      </c>
      <c r="V89" s="2402">
        <v>30732000</v>
      </c>
      <c r="W89" s="2372">
        <v>20</v>
      </c>
      <c r="X89" s="2382" t="s">
        <v>251</v>
      </c>
      <c r="Y89" s="4829"/>
      <c r="Z89" s="4829"/>
      <c r="AA89" s="4829"/>
      <c r="AB89" s="4829"/>
      <c r="AC89" s="4945"/>
      <c r="AD89" s="2405"/>
      <c r="AE89" s="4942"/>
      <c r="AF89" s="2406"/>
      <c r="AG89" s="4942"/>
      <c r="AH89" s="2406"/>
      <c r="AI89" s="4942"/>
      <c r="AJ89" s="2406"/>
      <c r="AK89" s="4942"/>
      <c r="AL89" s="2406"/>
      <c r="AM89" s="4942"/>
      <c r="AN89" s="2406"/>
      <c r="AO89" s="4942"/>
      <c r="AP89" s="2406"/>
      <c r="AQ89" s="4942"/>
      <c r="AR89" s="2406"/>
      <c r="AS89" s="4942"/>
      <c r="AT89" s="2406"/>
      <c r="AU89" s="4942"/>
      <c r="AV89" s="2406"/>
      <c r="AW89" s="4942"/>
      <c r="AX89" s="2406"/>
      <c r="AY89" s="4942"/>
      <c r="AZ89" s="2406"/>
      <c r="BA89" s="4942"/>
      <c r="BB89" s="2406"/>
      <c r="BC89" s="4829"/>
      <c r="BD89" s="4829"/>
      <c r="BE89" s="4903"/>
      <c r="BF89" s="4869"/>
      <c r="BG89" s="4869"/>
      <c r="BH89" s="4912"/>
      <c r="BI89" s="4903"/>
      <c r="BJ89" s="4909"/>
      <c r="BK89" s="4843"/>
      <c r="BL89" s="4846"/>
      <c r="BM89" s="4843"/>
      <c r="BN89" s="4846"/>
      <c r="BO89" s="4827"/>
    </row>
    <row r="90" spans="1:67" ht="78.75" customHeight="1" x14ac:dyDescent="0.2">
      <c r="A90" s="2325"/>
      <c r="B90" s="2326"/>
      <c r="C90" s="2359"/>
      <c r="D90" s="2360"/>
      <c r="E90" s="2359"/>
      <c r="F90" s="2360"/>
      <c r="G90" s="4928"/>
      <c r="H90" s="4880"/>
      <c r="I90" s="4894"/>
      <c r="J90" s="3972"/>
      <c r="K90" s="4930"/>
      <c r="L90" s="4799"/>
      <c r="M90" s="4896"/>
      <c r="N90" s="4880"/>
      <c r="O90" s="4821"/>
      <c r="P90" s="3749"/>
      <c r="Q90" s="4789"/>
      <c r="R90" s="3069"/>
      <c r="S90" s="2400" t="s">
        <v>2239</v>
      </c>
      <c r="T90" s="2401">
        <v>125000000</v>
      </c>
      <c r="U90" s="2401">
        <v>106534687</v>
      </c>
      <c r="V90" s="2402">
        <v>40395964.374628209</v>
      </c>
      <c r="W90" s="2372">
        <v>20</v>
      </c>
      <c r="X90" s="2382" t="s">
        <v>251</v>
      </c>
      <c r="Y90" s="4829"/>
      <c r="Z90" s="4829"/>
      <c r="AA90" s="4829"/>
      <c r="AB90" s="4829"/>
      <c r="AC90" s="4945"/>
      <c r="AD90" s="2405"/>
      <c r="AE90" s="4942"/>
      <c r="AF90" s="2406"/>
      <c r="AG90" s="4942"/>
      <c r="AH90" s="2406"/>
      <c r="AI90" s="4942"/>
      <c r="AJ90" s="2406"/>
      <c r="AK90" s="4942"/>
      <c r="AL90" s="2406"/>
      <c r="AM90" s="4942"/>
      <c r="AN90" s="2406"/>
      <c r="AO90" s="4942"/>
      <c r="AP90" s="2406"/>
      <c r="AQ90" s="4942"/>
      <c r="AR90" s="2406"/>
      <c r="AS90" s="4942"/>
      <c r="AT90" s="2406"/>
      <c r="AU90" s="4942"/>
      <c r="AV90" s="2406"/>
      <c r="AW90" s="4942"/>
      <c r="AX90" s="2406"/>
      <c r="AY90" s="4942"/>
      <c r="AZ90" s="2406"/>
      <c r="BA90" s="4942"/>
      <c r="BB90" s="2406"/>
      <c r="BC90" s="4829"/>
      <c r="BD90" s="4829"/>
      <c r="BE90" s="4903"/>
      <c r="BF90" s="4869"/>
      <c r="BG90" s="4869"/>
      <c r="BH90" s="4912"/>
      <c r="BI90" s="4903"/>
      <c r="BJ90" s="4909"/>
      <c r="BK90" s="4940"/>
      <c r="BL90" s="4846"/>
      <c r="BM90" s="4940"/>
      <c r="BN90" s="4846"/>
      <c r="BO90" s="3069"/>
    </row>
    <row r="91" spans="1:67" ht="60" customHeight="1" x14ac:dyDescent="0.2">
      <c r="A91" s="2325"/>
      <c r="B91" s="2326"/>
      <c r="C91" s="2359"/>
      <c r="D91" s="2360"/>
      <c r="E91" s="2359"/>
      <c r="F91" s="2360"/>
      <c r="G91" s="4928"/>
      <c r="H91" s="4880"/>
      <c r="I91" s="4894"/>
      <c r="J91" s="3972"/>
      <c r="K91" s="4930"/>
      <c r="L91" s="4799"/>
      <c r="M91" s="4896"/>
      <c r="N91" s="4880"/>
      <c r="O91" s="4821"/>
      <c r="P91" s="3749"/>
      <c r="Q91" s="4789"/>
      <c r="R91" s="3069"/>
      <c r="S91" s="2400" t="s">
        <v>2240</v>
      </c>
      <c r="T91" s="2401">
        <v>50000000</v>
      </c>
      <c r="U91" s="2401">
        <v>32718273</v>
      </c>
      <c r="V91" s="2402">
        <v>4583250</v>
      </c>
      <c r="W91" s="2372">
        <v>20</v>
      </c>
      <c r="X91" s="2382" t="s">
        <v>251</v>
      </c>
      <c r="Y91" s="4829"/>
      <c r="Z91" s="4829"/>
      <c r="AA91" s="4829"/>
      <c r="AB91" s="4829"/>
      <c r="AC91" s="4945"/>
      <c r="AD91" s="2405"/>
      <c r="AE91" s="4942"/>
      <c r="AF91" s="2406"/>
      <c r="AG91" s="4942"/>
      <c r="AH91" s="2406"/>
      <c r="AI91" s="4942"/>
      <c r="AJ91" s="2406"/>
      <c r="AK91" s="4942"/>
      <c r="AL91" s="2406"/>
      <c r="AM91" s="4942"/>
      <c r="AN91" s="2406"/>
      <c r="AO91" s="4942"/>
      <c r="AP91" s="2406"/>
      <c r="AQ91" s="4942"/>
      <c r="AR91" s="2406"/>
      <c r="AS91" s="4942"/>
      <c r="AT91" s="2406"/>
      <c r="AU91" s="4942"/>
      <c r="AV91" s="2406"/>
      <c r="AW91" s="4942"/>
      <c r="AX91" s="2406"/>
      <c r="AY91" s="4942"/>
      <c r="AZ91" s="2406"/>
      <c r="BA91" s="4942"/>
      <c r="BB91" s="2406"/>
      <c r="BC91" s="4829"/>
      <c r="BD91" s="4829"/>
      <c r="BE91" s="4903"/>
      <c r="BF91" s="4869"/>
      <c r="BG91" s="4869"/>
      <c r="BH91" s="4912"/>
      <c r="BI91" s="4903"/>
      <c r="BJ91" s="4909"/>
      <c r="BK91" s="4940"/>
      <c r="BL91" s="4846"/>
      <c r="BM91" s="4940"/>
      <c r="BN91" s="4846"/>
      <c r="BO91" s="3069"/>
    </row>
    <row r="92" spans="1:67" ht="38.25" customHeight="1" x14ac:dyDescent="0.2">
      <c r="A92" s="2325"/>
      <c r="B92" s="2326"/>
      <c r="C92" s="2359"/>
      <c r="D92" s="2360"/>
      <c r="E92" s="2359"/>
      <c r="F92" s="2360"/>
      <c r="G92" s="4928"/>
      <c r="H92" s="4880"/>
      <c r="I92" s="4894"/>
      <c r="J92" s="3972"/>
      <c r="K92" s="4930"/>
      <c r="L92" s="4799"/>
      <c r="M92" s="4896"/>
      <c r="N92" s="4880"/>
      <c r="O92" s="4821"/>
      <c r="P92" s="3749"/>
      <c r="Q92" s="4789"/>
      <c r="R92" s="3069"/>
      <c r="S92" s="2400" t="s">
        <v>2241</v>
      </c>
      <c r="T92" s="2401">
        <v>60000000</v>
      </c>
      <c r="U92" s="2401">
        <v>30000000</v>
      </c>
      <c r="V92" s="2402">
        <v>16225220</v>
      </c>
      <c r="W92" s="2372">
        <v>20</v>
      </c>
      <c r="X92" s="2382" t="s">
        <v>251</v>
      </c>
      <c r="Y92" s="4829"/>
      <c r="Z92" s="4829"/>
      <c r="AA92" s="4829"/>
      <c r="AB92" s="4829"/>
      <c r="AC92" s="4945"/>
      <c r="AD92" s="2405"/>
      <c r="AE92" s="4942"/>
      <c r="AF92" s="2406"/>
      <c r="AG92" s="4942"/>
      <c r="AH92" s="2406"/>
      <c r="AI92" s="4942"/>
      <c r="AJ92" s="2406"/>
      <c r="AK92" s="4942"/>
      <c r="AL92" s="2406"/>
      <c r="AM92" s="4942"/>
      <c r="AN92" s="2406"/>
      <c r="AO92" s="4942"/>
      <c r="AP92" s="2406"/>
      <c r="AQ92" s="4942"/>
      <c r="AR92" s="2406"/>
      <c r="AS92" s="4942"/>
      <c r="AT92" s="2406"/>
      <c r="AU92" s="4942"/>
      <c r="AV92" s="2406"/>
      <c r="AW92" s="4942"/>
      <c r="AX92" s="2406"/>
      <c r="AY92" s="4942"/>
      <c r="AZ92" s="2406"/>
      <c r="BA92" s="4942"/>
      <c r="BB92" s="2406"/>
      <c r="BC92" s="4829"/>
      <c r="BD92" s="4829"/>
      <c r="BE92" s="4903"/>
      <c r="BF92" s="4869"/>
      <c r="BG92" s="4869"/>
      <c r="BH92" s="4912"/>
      <c r="BI92" s="4903"/>
      <c r="BJ92" s="4909"/>
      <c r="BK92" s="4940"/>
      <c r="BL92" s="4846"/>
      <c r="BM92" s="4940"/>
      <c r="BN92" s="4846"/>
      <c r="BO92" s="3069"/>
    </row>
    <row r="93" spans="1:67" ht="51" customHeight="1" x14ac:dyDescent="0.2">
      <c r="A93" s="2325"/>
      <c r="B93" s="2326"/>
      <c r="C93" s="2359"/>
      <c r="D93" s="2360"/>
      <c r="E93" s="2359"/>
      <c r="F93" s="2360"/>
      <c r="G93" s="4928"/>
      <c r="H93" s="4880"/>
      <c r="I93" s="4894"/>
      <c r="J93" s="3972"/>
      <c r="K93" s="4931"/>
      <c r="L93" s="4799"/>
      <c r="M93" s="4896"/>
      <c r="N93" s="4880"/>
      <c r="O93" s="4821"/>
      <c r="P93" s="3749"/>
      <c r="Q93" s="4789"/>
      <c r="R93" s="3069"/>
      <c r="S93" s="2400" t="s">
        <v>2242</v>
      </c>
      <c r="T93" s="2401">
        <v>20000000</v>
      </c>
      <c r="U93" s="2401">
        <v>19000000</v>
      </c>
      <c r="V93" s="2402">
        <v>5021500</v>
      </c>
      <c r="W93" s="2372">
        <v>20</v>
      </c>
      <c r="X93" s="2382" t="s">
        <v>251</v>
      </c>
      <c r="Y93" s="4830"/>
      <c r="Z93" s="4830"/>
      <c r="AA93" s="4830"/>
      <c r="AB93" s="4830"/>
      <c r="AC93" s="4945"/>
      <c r="AD93" s="2405"/>
      <c r="AE93" s="4942"/>
      <c r="AF93" s="2406"/>
      <c r="AG93" s="4942"/>
      <c r="AH93" s="2406"/>
      <c r="AI93" s="4942"/>
      <c r="AJ93" s="2406"/>
      <c r="AK93" s="4942"/>
      <c r="AL93" s="2406"/>
      <c r="AM93" s="4942"/>
      <c r="AN93" s="2406"/>
      <c r="AO93" s="4942"/>
      <c r="AP93" s="2406"/>
      <c r="AQ93" s="4942"/>
      <c r="AR93" s="2406"/>
      <c r="AS93" s="4942"/>
      <c r="AT93" s="2406"/>
      <c r="AU93" s="4942"/>
      <c r="AV93" s="2406"/>
      <c r="AW93" s="4942"/>
      <c r="AX93" s="2406"/>
      <c r="AY93" s="4942"/>
      <c r="AZ93" s="2406"/>
      <c r="BA93" s="4942"/>
      <c r="BB93" s="2406"/>
      <c r="BC93" s="4829"/>
      <c r="BD93" s="4830"/>
      <c r="BE93" s="4904"/>
      <c r="BF93" s="4870"/>
      <c r="BG93" s="4870"/>
      <c r="BH93" s="4913"/>
      <c r="BI93" s="4904"/>
      <c r="BJ93" s="4910"/>
      <c r="BK93" s="4940"/>
      <c r="BL93" s="4843"/>
      <c r="BM93" s="4940"/>
      <c r="BN93" s="4843"/>
      <c r="BO93" s="3069"/>
    </row>
    <row r="94" spans="1:67" ht="66" customHeight="1" x14ac:dyDescent="0.2">
      <c r="A94" s="2325"/>
      <c r="B94" s="2326"/>
      <c r="C94" s="2359"/>
      <c r="D94" s="2360"/>
      <c r="E94" s="2359"/>
      <c r="F94" s="2360"/>
      <c r="G94" s="4928">
        <v>192</v>
      </c>
      <c r="H94" s="4788" t="s">
        <v>2243</v>
      </c>
      <c r="I94" s="4888" t="s">
        <v>2244</v>
      </c>
      <c r="J94" s="4936">
        <v>1</v>
      </c>
      <c r="K94" s="4937">
        <v>0.7</v>
      </c>
      <c r="L94" s="4798" t="s">
        <v>2245</v>
      </c>
      <c r="M94" s="4925" t="s">
        <v>2246</v>
      </c>
      <c r="N94" s="4788" t="s">
        <v>2247</v>
      </c>
      <c r="O94" s="4895">
        <f>SUM(T94:T97)/P94</f>
        <v>1</v>
      </c>
      <c r="P94" s="4824">
        <f>SUM(T94:T97)</f>
        <v>79500000</v>
      </c>
      <c r="Q94" s="4880" t="s">
        <v>2248</v>
      </c>
      <c r="R94" s="4825" t="s">
        <v>2249</v>
      </c>
      <c r="S94" s="2400" t="s">
        <v>2250</v>
      </c>
      <c r="T94" s="2350">
        <v>44500000</v>
      </c>
      <c r="U94" s="2350">
        <f>13990000+2000000+18751033</f>
        <v>34741033</v>
      </c>
      <c r="V94" s="2350">
        <f>13990000+1808800+7166000</f>
        <v>22964800</v>
      </c>
      <c r="W94" s="2407">
        <v>20</v>
      </c>
      <c r="X94" s="2382" t="s">
        <v>251</v>
      </c>
      <c r="Y94" s="4946">
        <v>701</v>
      </c>
      <c r="Z94" s="4882">
        <v>734</v>
      </c>
      <c r="AA94" s="4882">
        <v>1008</v>
      </c>
      <c r="AB94" s="4882">
        <v>998</v>
      </c>
      <c r="AC94" s="4828"/>
      <c r="AD94" s="4828"/>
      <c r="AE94" s="4828"/>
      <c r="AF94" s="4828"/>
      <c r="AG94" s="4828"/>
      <c r="AH94" s="4828"/>
      <c r="AI94" s="4828"/>
      <c r="AJ94" s="4828"/>
      <c r="AK94" s="4828"/>
      <c r="AL94" s="4828"/>
      <c r="AM94" s="4828"/>
      <c r="AN94" s="4828"/>
      <c r="AO94" s="4828"/>
      <c r="AP94" s="4828"/>
      <c r="AQ94" s="4828"/>
      <c r="AR94" s="4828"/>
      <c r="AS94" s="4828"/>
      <c r="AT94" s="4828"/>
      <c r="AU94" s="4828"/>
      <c r="AV94" s="4828"/>
      <c r="AW94" s="4828"/>
      <c r="AX94" s="4828"/>
      <c r="AY94" s="4828"/>
      <c r="AZ94" s="4828"/>
      <c r="BA94" s="4954"/>
      <c r="BB94" s="4828"/>
      <c r="BC94" s="4948">
        <f>+Y94+AA94</f>
        <v>1709</v>
      </c>
      <c r="BD94" s="4948">
        <f>+Z94+AB94</f>
        <v>1732</v>
      </c>
      <c r="BE94" s="4951">
        <v>4</v>
      </c>
      <c r="BF94" s="4868">
        <f>SUM(U94:U97)</f>
        <v>69741033</v>
      </c>
      <c r="BG94" s="4868">
        <f>SUM(V94:V97)</f>
        <v>22964800</v>
      </c>
      <c r="BH94" s="4897">
        <f>+BG94/BF94</f>
        <v>0.32928677726927275</v>
      </c>
      <c r="BI94" s="4951" t="s">
        <v>668</v>
      </c>
      <c r="BJ94" s="4957" t="s">
        <v>2251</v>
      </c>
      <c r="BK94" s="4844">
        <v>43467</v>
      </c>
      <c r="BL94" s="4845">
        <v>43467</v>
      </c>
      <c r="BM94" s="4844">
        <v>43809</v>
      </c>
      <c r="BN94" s="4845">
        <v>43809</v>
      </c>
      <c r="BO94" s="4826" t="s">
        <v>2105</v>
      </c>
    </row>
    <row r="95" spans="1:67" ht="52.5" customHeight="1" x14ac:dyDescent="0.2">
      <c r="A95" s="2325"/>
      <c r="B95" s="2326"/>
      <c r="C95" s="2359"/>
      <c r="D95" s="2360"/>
      <c r="E95" s="2359"/>
      <c r="F95" s="2360"/>
      <c r="G95" s="4928"/>
      <c r="H95" s="4789"/>
      <c r="I95" s="4837"/>
      <c r="J95" s="4936"/>
      <c r="K95" s="4938"/>
      <c r="L95" s="4799"/>
      <c r="M95" s="4896"/>
      <c r="N95" s="4789"/>
      <c r="O95" s="4895"/>
      <c r="P95" s="4824"/>
      <c r="Q95" s="4880"/>
      <c r="R95" s="4826"/>
      <c r="S95" s="2400" t="s">
        <v>2252</v>
      </c>
      <c r="T95" s="2350">
        <v>0</v>
      </c>
      <c r="U95" s="2350">
        <v>0</v>
      </c>
      <c r="V95" s="2350">
        <v>0</v>
      </c>
      <c r="W95" s="2407">
        <v>20</v>
      </c>
      <c r="X95" s="2382" t="s">
        <v>251</v>
      </c>
      <c r="Y95" s="4946"/>
      <c r="Z95" s="4883"/>
      <c r="AA95" s="4883"/>
      <c r="AB95" s="4883"/>
      <c r="AC95" s="4829"/>
      <c r="AD95" s="4829"/>
      <c r="AE95" s="4829"/>
      <c r="AF95" s="4829"/>
      <c r="AG95" s="4829"/>
      <c r="AH95" s="4829"/>
      <c r="AI95" s="4829"/>
      <c r="AJ95" s="4829"/>
      <c r="AK95" s="4829"/>
      <c r="AL95" s="4829"/>
      <c r="AM95" s="4829"/>
      <c r="AN95" s="4829"/>
      <c r="AO95" s="4829"/>
      <c r="AP95" s="4829"/>
      <c r="AQ95" s="4829"/>
      <c r="AR95" s="4829"/>
      <c r="AS95" s="4829"/>
      <c r="AT95" s="4829"/>
      <c r="AU95" s="4829"/>
      <c r="AV95" s="4829"/>
      <c r="AW95" s="4829"/>
      <c r="AX95" s="4829"/>
      <c r="AY95" s="4829"/>
      <c r="AZ95" s="4829"/>
      <c r="BA95" s="4829"/>
      <c r="BB95" s="4829"/>
      <c r="BC95" s="4949"/>
      <c r="BD95" s="4949"/>
      <c r="BE95" s="4952"/>
      <c r="BF95" s="4869"/>
      <c r="BG95" s="4869"/>
      <c r="BH95" s="4898"/>
      <c r="BI95" s="4952"/>
      <c r="BJ95" s="4958"/>
      <c r="BK95" s="4844"/>
      <c r="BL95" s="4846"/>
      <c r="BM95" s="4844"/>
      <c r="BN95" s="4846"/>
      <c r="BO95" s="4826"/>
    </row>
    <row r="96" spans="1:67" ht="43.5" customHeight="1" x14ac:dyDescent="0.2">
      <c r="A96" s="2325"/>
      <c r="B96" s="2326"/>
      <c r="C96" s="2359"/>
      <c r="D96" s="2360"/>
      <c r="E96" s="2359"/>
      <c r="F96" s="2360"/>
      <c r="G96" s="4928"/>
      <c r="H96" s="4789"/>
      <c r="I96" s="4837"/>
      <c r="J96" s="4936"/>
      <c r="K96" s="4938"/>
      <c r="L96" s="4799"/>
      <c r="M96" s="4896"/>
      <c r="N96" s="4789"/>
      <c r="O96" s="4895"/>
      <c r="P96" s="4824"/>
      <c r="Q96" s="4880"/>
      <c r="R96" s="4826"/>
      <c r="S96" s="2307" t="s">
        <v>2253</v>
      </c>
      <c r="T96" s="2350">
        <v>0</v>
      </c>
      <c r="U96" s="2350">
        <v>0</v>
      </c>
      <c r="V96" s="2350">
        <v>0</v>
      </c>
      <c r="W96" s="2407">
        <v>20</v>
      </c>
      <c r="X96" s="2382" t="s">
        <v>251</v>
      </c>
      <c r="Y96" s="4946"/>
      <c r="Z96" s="4883"/>
      <c r="AA96" s="4883"/>
      <c r="AB96" s="4883"/>
      <c r="AC96" s="4829"/>
      <c r="AD96" s="4829"/>
      <c r="AE96" s="4829"/>
      <c r="AF96" s="4829"/>
      <c r="AG96" s="4829"/>
      <c r="AH96" s="4829"/>
      <c r="AI96" s="4829"/>
      <c r="AJ96" s="4829"/>
      <c r="AK96" s="4829"/>
      <c r="AL96" s="4829"/>
      <c r="AM96" s="4829"/>
      <c r="AN96" s="4829"/>
      <c r="AO96" s="4829"/>
      <c r="AP96" s="4829"/>
      <c r="AQ96" s="4829"/>
      <c r="AR96" s="4829"/>
      <c r="AS96" s="4829"/>
      <c r="AT96" s="4829"/>
      <c r="AU96" s="4829"/>
      <c r="AV96" s="4829"/>
      <c r="AW96" s="4829"/>
      <c r="AX96" s="4829"/>
      <c r="AY96" s="4829"/>
      <c r="AZ96" s="4829"/>
      <c r="BA96" s="4829"/>
      <c r="BB96" s="4829"/>
      <c r="BC96" s="4949"/>
      <c r="BD96" s="4949"/>
      <c r="BE96" s="4952"/>
      <c r="BF96" s="4869"/>
      <c r="BG96" s="4869"/>
      <c r="BH96" s="4898"/>
      <c r="BI96" s="4952"/>
      <c r="BJ96" s="4958"/>
      <c r="BK96" s="4844"/>
      <c r="BL96" s="4846"/>
      <c r="BM96" s="4844"/>
      <c r="BN96" s="4846"/>
      <c r="BO96" s="4826"/>
    </row>
    <row r="97" spans="1:67" ht="49.5" customHeight="1" x14ac:dyDescent="0.2">
      <c r="A97" s="2325"/>
      <c r="B97" s="2326"/>
      <c r="C97" s="2359"/>
      <c r="D97" s="2360"/>
      <c r="E97" s="2408"/>
      <c r="F97" s="2360"/>
      <c r="G97" s="4928"/>
      <c r="H97" s="4790"/>
      <c r="I97" s="4889"/>
      <c r="J97" s="4936"/>
      <c r="K97" s="4939"/>
      <c r="L97" s="4800"/>
      <c r="M97" s="4943"/>
      <c r="N97" s="4790"/>
      <c r="O97" s="4895"/>
      <c r="P97" s="4824"/>
      <c r="Q97" s="4880"/>
      <c r="R97" s="4827"/>
      <c r="S97" s="2347" t="s">
        <v>2254</v>
      </c>
      <c r="T97" s="2350">
        <v>35000000</v>
      </c>
      <c r="U97" s="2350">
        <v>35000000</v>
      </c>
      <c r="V97" s="2350">
        <v>0</v>
      </c>
      <c r="W97" s="2407">
        <v>20</v>
      </c>
      <c r="X97" s="2382" t="s">
        <v>251</v>
      </c>
      <c r="Y97" s="4947"/>
      <c r="Z97" s="4884"/>
      <c r="AA97" s="4884"/>
      <c r="AB97" s="4884"/>
      <c r="AC97" s="4829"/>
      <c r="AD97" s="4830"/>
      <c r="AE97" s="4829"/>
      <c r="AF97" s="4830"/>
      <c r="AG97" s="4829"/>
      <c r="AH97" s="4830"/>
      <c r="AI97" s="4829"/>
      <c r="AJ97" s="4830"/>
      <c r="AK97" s="4829"/>
      <c r="AL97" s="4830"/>
      <c r="AM97" s="4829"/>
      <c r="AN97" s="4830"/>
      <c r="AO97" s="4829"/>
      <c r="AP97" s="4830"/>
      <c r="AQ97" s="4829"/>
      <c r="AR97" s="4830"/>
      <c r="AS97" s="4829"/>
      <c r="AT97" s="4830"/>
      <c r="AU97" s="4829"/>
      <c r="AV97" s="4830"/>
      <c r="AW97" s="4829"/>
      <c r="AX97" s="4830"/>
      <c r="AY97" s="4829"/>
      <c r="AZ97" s="4830"/>
      <c r="BA97" s="4829"/>
      <c r="BB97" s="4830"/>
      <c r="BC97" s="4829"/>
      <c r="BD97" s="4950"/>
      <c r="BE97" s="4953"/>
      <c r="BF97" s="4870"/>
      <c r="BG97" s="4870"/>
      <c r="BH97" s="4899"/>
      <c r="BI97" s="4953"/>
      <c r="BJ97" s="4959"/>
      <c r="BK97" s="4940"/>
      <c r="BL97" s="4843"/>
      <c r="BM97" s="4940"/>
      <c r="BN97" s="4843"/>
      <c r="BO97" s="4826"/>
    </row>
    <row r="98" spans="1:67" ht="15" x14ac:dyDescent="0.2">
      <c r="A98" s="2325"/>
      <c r="B98" s="2326"/>
      <c r="C98" s="2359"/>
      <c r="D98" s="2360"/>
      <c r="E98" s="2409">
        <v>63</v>
      </c>
      <c r="F98" s="2410" t="s">
        <v>2255</v>
      </c>
      <c r="G98" s="2411"/>
      <c r="H98" s="2412"/>
      <c r="I98" s="2412"/>
      <c r="J98" s="2411"/>
      <c r="K98" s="2413"/>
      <c r="L98" s="2411"/>
      <c r="M98" s="2411"/>
      <c r="N98" s="2414"/>
      <c r="O98" s="2411"/>
      <c r="P98" s="2415"/>
      <c r="Q98" s="2412"/>
      <c r="R98" s="2412"/>
      <c r="S98" s="2412"/>
      <c r="T98" s="2415"/>
      <c r="U98" s="2415"/>
      <c r="V98" s="2416"/>
      <c r="W98" s="2417"/>
      <c r="X98" s="2414"/>
      <c r="Y98" s="1456"/>
      <c r="Z98" s="1456"/>
      <c r="AA98" s="1456"/>
      <c r="AB98" s="1456"/>
      <c r="AC98" s="1456"/>
      <c r="AD98" s="1456"/>
      <c r="AE98" s="1456"/>
      <c r="AF98" s="1456"/>
      <c r="AG98" s="1456"/>
      <c r="AH98" s="1456"/>
      <c r="AI98" s="1456"/>
      <c r="AJ98" s="1456"/>
      <c r="AK98" s="1456"/>
      <c r="AL98" s="1456"/>
      <c r="AM98" s="1456"/>
      <c r="AN98" s="1456"/>
      <c r="AO98" s="1456"/>
      <c r="AP98" s="1456"/>
      <c r="AQ98" s="1456"/>
      <c r="AR98" s="1456"/>
      <c r="AS98" s="1456"/>
      <c r="AT98" s="1456"/>
      <c r="AU98" s="1456"/>
      <c r="AV98" s="1456"/>
      <c r="AW98" s="1456"/>
      <c r="AX98" s="1456"/>
      <c r="AY98" s="1456"/>
      <c r="AZ98" s="1456"/>
      <c r="BA98" s="1456"/>
      <c r="BB98" s="1456"/>
      <c r="BC98" s="1456"/>
      <c r="BD98" s="2414"/>
      <c r="BE98" s="2411"/>
      <c r="BF98" s="2415"/>
      <c r="BG98" s="2415"/>
      <c r="BH98" s="2411"/>
      <c r="BI98" s="2411"/>
      <c r="BJ98" s="2411"/>
      <c r="BK98" s="2411"/>
      <c r="BL98" s="2411"/>
      <c r="BM98" s="2411"/>
      <c r="BN98" s="2411"/>
      <c r="BO98" s="2418"/>
    </row>
    <row r="99" spans="1:67" ht="72" customHeight="1" x14ac:dyDescent="0.2">
      <c r="A99" s="2325"/>
      <c r="B99" s="2326"/>
      <c r="C99" s="2359"/>
      <c r="D99" s="2360"/>
      <c r="E99" s="2370"/>
      <c r="F99" s="2360"/>
      <c r="G99" s="4955">
        <v>193</v>
      </c>
      <c r="H99" s="4837" t="s">
        <v>2256</v>
      </c>
      <c r="I99" s="4837" t="s">
        <v>2257</v>
      </c>
      <c r="J99" s="3951">
        <v>1</v>
      </c>
      <c r="K99" s="4929">
        <v>1</v>
      </c>
      <c r="L99" s="4798" t="s">
        <v>2258</v>
      </c>
      <c r="M99" s="4896" t="s">
        <v>2259</v>
      </c>
      <c r="N99" s="3929" t="s">
        <v>2260</v>
      </c>
      <c r="O99" s="4895">
        <f>SUM(T99:T101)/P99</f>
        <v>1</v>
      </c>
      <c r="P99" s="4823">
        <f>SUM(T99:T101)</f>
        <v>29800000</v>
      </c>
      <c r="Q99" s="4880" t="s">
        <v>2261</v>
      </c>
      <c r="R99" s="4825" t="s">
        <v>2262</v>
      </c>
      <c r="S99" s="2307" t="s">
        <v>2263</v>
      </c>
      <c r="T99" s="2384">
        <v>7450000</v>
      </c>
      <c r="U99" s="2350">
        <v>7450000</v>
      </c>
      <c r="V99" s="2350">
        <v>7450000</v>
      </c>
      <c r="W99" s="2372">
        <v>20</v>
      </c>
      <c r="X99" s="2382" t="s">
        <v>251</v>
      </c>
      <c r="Y99" s="4874">
        <v>16</v>
      </c>
      <c r="Z99" s="4874">
        <v>16</v>
      </c>
      <c r="AA99" s="4874">
        <v>16</v>
      </c>
      <c r="AB99" s="4874">
        <v>16</v>
      </c>
      <c r="AC99" s="4960"/>
      <c r="AD99" s="4960"/>
      <c r="AE99" s="4960"/>
      <c r="AF99" s="4960"/>
      <c r="AG99" s="4960"/>
      <c r="AH99" s="4960"/>
      <c r="AI99" s="4960"/>
      <c r="AJ99" s="4960"/>
      <c r="AK99" s="4882">
        <v>32</v>
      </c>
      <c r="AL99" s="4882"/>
      <c r="AM99" s="4960"/>
      <c r="AN99" s="4960"/>
      <c r="AO99" s="4963"/>
      <c r="AP99" s="4963"/>
      <c r="AQ99" s="4963"/>
      <c r="AR99" s="4963"/>
      <c r="AS99" s="4963"/>
      <c r="AT99" s="4963"/>
      <c r="AU99" s="4963"/>
      <c r="AV99" s="4963"/>
      <c r="AW99" s="4941"/>
      <c r="AX99" s="4941"/>
      <c r="AY99" s="4941"/>
      <c r="AZ99" s="4941"/>
      <c r="BA99" s="4941"/>
      <c r="BB99" s="4941"/>
      <c r="BC99" s="4948">
        <f>SUM(AC99:AW101)</f>
        <v>32</v>
      </c>
      <c r="BD99" s="4948">
        <f>+Z99+AB99</f>
        <v>32</v>
      </c>
      <c r="BE99" s="4951">
        <v>1</v>
      </c>
      <c r="BF99" s="4868">
        <f>SUM(U99:U101)</f>
        <v>29800000</v>
      </c>
      <c r="BG99" s="4868">
        <f>SUM(V99:V101)</f>
        <v>29800000</v>
      </c>
      <c r="BH99" s="4897">
        <f>+BG99/BF99</f>
        <v>1</v>
      </c>
      <c r="BI99" s="4951" t="s">
        <v>668</v>
      </c>
      <c r="BJ99" s="4957" t="s">
        <v>2251</v>
      </c>
      <c r="BK99" s="4845">
        <v>43467</v>
      </c>
      <c r="BL99" s="4845">
        <v>43467</v>
      </c>
      <c r="BM99" s="4845">
        <v>43809</v>
      </c>
      <c r="BN99" s="4845">
        <v>43809</v>
      </c>
      <c r="BO99" s="4826" t="s">
        <v>2105</v>
      </c>
    </row>
    <row r="100" spans="1:67" ht="72" customHeight="1" x14ac:dyDescent="0.2">
      <c r="A100" s="2325"/>
      <c r="B100" s="2326"/>
      <c r="C100" s="2359"/>
      <c r="D100" s="2360"/>
      <c r="E100" s="2359"/>
      <c r="F100" s="2360"/>
      <c r="G100" s="4955"/>
      <c r="H100" s="4837"/>
      <c r="I100" s="4837"/>
      <c r="J100" s="3951"/>
      <c r="K100" s="4930"/>
      <c r="L100" s="4799"/>
      <c r="M100" s="4896"/>
      <c r="N100" s="3929"/>
      <c r="O100" s="4895"/>
      <c r="P100" s="4823"/>
      <c r="Q100" s="4880"/>
      <c r="R100" s="4827"/>
      <c r="S100" s="2307" t="s">
        <v>2264</v>
      </c>
      <c r="T100" s="2384">
        <v>7450000</v>
      </c>
      <c r="U100" s="2350">
        <v>7450000</v>
      </c>
      <c r="V100" s="2350">
        <v>7450000</v>
      </c>
      <c r="W100" s="2372">
        <v>20</v>
      </c>
      <c r="X100" s="2382" t="s">
        <v>251</v>
      </c>
      <c r="Y100" s="4874"/>
      <c r="Z100" s="4874"/>
      <c r="AA100" s="4874"/>
      <c r="AB100" s="4874"/>
      <c r="AC100" s="4961"/>
      <c r="AD100" s="4961"/>
      <c r="AE100" s="4961"/>
      <c r="AF100" s="4961"/>
      <c r="AG100" s="4961"/>
      <c r="AH100" s="4961"/>
      <c r="AI100" s="4961"/>
      <c r="AJ100" s="4961"/>
      <c r="AK100" s="4883"/>
      <c r="AL100" s="4883"/>
      <c r="AM100" s="4961"/>
      <c r="AN100" s="4961"/>
      <c r="AO100" s="4964"/>
      <c r="AP100" s="4964"/>
      <c r="AQ100" s="4964"/>
      <c r="AR100" s="4964"/>
      <c r="AS100" s="4964"/>
      <c r="AT100" s="4964"/>
      <c r="AU100" s="4964"/>
      <c r="AV100" s="4964"/>
      <c r="AW100" s="4942"/>
      <c r="AX100" s="4942"/>
      <c r="AY100" s="4942"/>
      <c r="AZ100" s="4942"/>
      <c r="BA100" s="4942"/>
      <c r="BB100" s="4942"/>
      <c r="BC100" s="4949"/>
      <c r="BD100" s="4949"/>
      <c r="BE100" s="4952"/>
      <c r="BF100" s="4869"/>
      <c r="BG100" s="4869"/>
      <c r="BH100" s="4898"/>
      <c r="BI100" s="4952"/>
      <c r="BJ100" s="4958"/>
      <c r="BK100" s="4846"/>
      <c r="BL100" s="4846"/>
      <c r="BM100" s="4846"/>
      <c r="BN100" s="4846"/>
      <c r="BO100" s="4826"/>
    </row>
    <row r="101" spans="1:67" ht="63.75" customHeight="1" x14ac:dyDescent="0.2">
      <c r="A101" s="2325"/>
      <c r="B101" s="2326"/>
      <c r="C101" s="2359"/>
      <c r="D101" s="2360"/>
      <c r="E101" s="2359"/>
      <c r="F101" s="2360"/>
      <c r="G101" s="4956"/>
      <c r="H101" s="4889"/>
      <c r="I101" s="4889"/>
      <c r="J101" s="3972"/>
      <c r="K101" s="4931"/>
      <c r="L101" s="4800"/>
      <c r="M101" s="4943"/>
      <c r="N101" s="3943"/>
      <c r="O101" s="4895"/>
      <c r="P101" s="4824"/>
      <c r="Q101" s="4880"/>
      <c r="R101" s="2306" t="s">
        <v>2265</v>
      </c>
      <c r="S101" s="2307" t="s">
        <v>2266</v>
      </c>
      <c r="T101" s="2383">
        <v>14900000</v>
      </c>
      <c r="U101" s="2350">
        <v>14900000</v>
      </c>
      <c r="V101" s="2350">
        <v>14900000</v>
      </c>
      <c r="W101" s="2372">
        <v>20</v>
      </c>
      <c r="X101" s="2382" t="s">
        <v>251</v>
      </c>
      <c r="Y101" s="4874"/>
      <c r="Z101" s="4874"/>
      <c r="AA101" s="4874"/>
      <c r="AB101" s="4874"/>
      <c r="AC101" s="4962"/>
      <c r="AD101" s="4962"/>
      <c r="AE101" s="4962"/>
      <c r="AF101" s="4962"/>
      <c r="AG101" s="4962"/>
      <c r="AH101" s="4962"/>
      <c r="AI101" s="4962"/>
      <c r="AJ101" s="4962"/>
      <c r="AK101" s="4884"/>
      <c r="AL101" s="4884"/>
      <c r="AM101" s="4962"/>
      <c r="AN101" s="4962"/>
      <c r="AO101" s="4965"/>
      <c r="AP101" s="4965"/>
      <c r="AQ101" s="4965"/>
      <c r="AR101" s="4965"/>
      <c r="AS101" s="4965"/>
      <c r="AT101" s="4965"/>
      <c r="AU101" s="4965"/>
      <c r="AV101" s="4965"/>
      <c r="AW101" s="4942"/>
      <c r="AX101" s="4966"/>
      <c r="AY101" s="4942"/>
      <c r="AZ101" s="4966"/>
      <c r="BA101" s="4942"/>
      <c r="BB101" s="4966"/>
      <c r="BC101" s="4829"/>
      <c r="BD101" s="4950"/>
      <c r="BE101" s="4953"/>
      <c r="BF101" s="4870"/>
      <c r="BG101" s="4870"/>
      <c r="BH101" s="4898"/>
      <c r="BI101" s="4953"/>
      <c r="BJ101" s="4959"/>
      <c r="BK101" s="4843"/>
      <c r="BL101" s="4843"/>
      <c r="BM101" s="4843"/>
      <c r="BN101" s="4843"/>
      <c r="BO101" s="4826"/>
    </row>
    <row r="102" spans="1:67" ht="60" customHeight="1" x14ac:dyDescent="0.2">
      <c r="A102" s="2325"/>
      <c r="B102" s="2326"/>
      <c r="C102" s="2359"/>
      <c r="D102" s="2360"/>
      <c r="E102" s="2359"/>
      <c r="F102" s="2360"/>
      <c r="G102" s="4967">
        <v>194</v>
      </c>
      <c r="H102" s="4888" t="s">
        <v>2267</v>
      </c>
      <c r="I102" s="4968" t="s">
        <v>2268</v>
      </c>
      <c r="J102" s="3972">
        <v>1</v>
      </c>
      <c r="K102" s="4929">
        <v>0.8</v>
      </c>
      <c r="L102" s="4798" t="s">
        <v>2269</v>
      </c>
      <c r="M102" s="4925" t="s">
        <v>2270</v>
      </c>
      <c r="N102" s="4788" t="s">
        <v>2271</v>
      </c>
      <c r="O102" s="4895">
        <f>SUM(T102:T103)/P102</f>
        <v>1</v>
      </c>
      <c r="P102" s="4824">
        <f>SUM(T102:T103)</f>
        <v>69560000</v>
      </c>
      <c r="Q102" s="4788" t="s">
        <v>2272</v>
      </c>
      <c r="R102" s="2306" t="s">
        <v>2273</v>
      </c>
      <c r="S102" s="2307" t="s">
        <v>2274</v>
      </c>
      <c r="T102" s="2172">
        <v>64560000</v>
      </c>
      <c r="U102" s="374">
        <v>55989886</v>
      </c>
      <c r="V102" s="374">
        <v>36920500</v>
      </c>
      <c r="W102" s="2372">
        <v>20</v>
      </c>
      <c r="X102" s="2382" t="s">
        <v>251</v>
      </c>
      <c r="Y102" s="4969">
        <v>472</v>
      </c>
      <c r="Z102" s="4828">
        <v>699</v>
      </c>
      <c r="AA102" s="4828">
        <v>437</v>
      </c>
      <c r="AB102" s="4828">
        <v>646</v>
      </c>
      <c r="AC102" s="4941"/>
      <c r="AD102" s="4941"/>
      <c r="AE102" s="4941"/>
      <c r="AF102" s="4941"/>
      <c r="AG102" s="4941"/>
      <c r="AH102" s="4941"/>
      <c r="AI102" s="4941"/>
      <c r="AJ102" s="4941"/>
      <c r="AK102" s="4828">
        <v>909</v>
      </c>
      <c r="AL102" s="4828">
        <f>+Z102+AB102</f>
        <v>1345</v>
      </c>
      <c r="AM102" s="4941"/>
      <c r="AN102" s="4941"/>
      <c r="AO102" s="4941"/>
      <c r="AP102" s="4941"/>
      <c r="AQ102" s="4941"/>
      <c r="AR102" s="4941"/>
      <c r="AS102" s="4941"/>
      <c r="AT102" s="4941"/>
      <c r="AU102" s="4941"/>
      <c r="AV102" s="4941"/>
      <c r="AW102" s="4941"/>
      <c r="AX102" s="4941"/>
      <c r="AY102" s="4941"/>
      <c r="AZ102" s="4941"/>
      <c r="BA102" s="4941"/>
      <c r="BB102" s="4941"/>
      <c r="BC102" s="4828">
        <f>+AK102</f>
        <v>909</v>
      </c>
      <c r="BD102" s="4828">
        <f>+Z102+AB102</f>
        <v>1345</v>
      </c>
      <c r="BE102" s="4902">
        <v>8</v>
      </c>
      <c r="BF102" s="4868">
        <f>SUM(U102:U103)</f>
        <v>60989886</v>
      </c>
      <c r="BG102" s="4868">
        <f>SUM(V102:V103)</f>
        <v>39520500</v>
      </c>
      <c r="BH102" s="4897">
        <f>+BG102/BF102</f>
        <v>0.64798448713283374</v>
      </c>
      <c r="BI102" s="4975" t="s">
        <v>668</v>
      </c>
      <c r="BJ102" s="4908" t="s">
        <v>2275</v>
      </c>
      <c r="BK102" s="4845">
        <v>43467</v>
      </c>
      <c r="BL102" s="4845">
        <v>43467</v>
      </c>
      <c r="BM102" s="4845">
        <v>43809</v>
      </c>
      <c r="BN102" s="4845">
        <v>43809</v>
      </c>
      <c r="BO102" s="3069" t="s">
        <v>2105</v>
      </c>
    </row>
    <row r="103" spans="1:67" ht="52.5" customHeight="1" x14ac:dyDescent="0.2">
      <c r="A103" s="2325"/>
      <c r="B103" s="2326"/>
      <c r="C103" s="2359"/>
      <c r="D103" s="2360"/>
      <c r="E103" s="2359"/>
      <c r="F103" s="2360"/>
      <c r="G103" s="4955"/>
      <c r="H103" s="4837"/>
      <c r="I103" s="4968"/>
      <c r="J103" s="3972"/>
      <c r="K103" s="4931"/>
      <c r="L103" s="4800"/>
      <c r="M103" s="4896"/>
      <c r="N103" s="4789"/>
      <c r="O103" s="4895"/>
      <c r="P103" s="4824"/>
      <c r="Q103" s="4790"/>
      <c r="R103" s="2419" t="s">
        <v>2276</v>
      </c>
      <c r="S103" s="2307" t="s">
        <v>2277</v>
      </c>
      <c r="T103" s="2383">
        <v>5000000</v>
      </c>
      <c r="U103" s="2350">
        <v>5000000</v>
      </c>
      <c r="V103" s="2350">
        <v>2600000</v>
      </c>
      <c r="W103" s="2372">
        <v>20</v>
      </c>
      <c r="X103" s="2382" t="s">
        <v>251</v>
      </c>
      <c r="Y103" s="4970"/>
      <c r="Z103" s="4830"/>
      <c r="AA103" s="4830"/>
      <c r="AB103" s="4830"/>
      <c r="AC103" s="4942"/>
      <c r="AD103" s="4966"/>
      <c r="AE103" s="4942"/>
      <c r="AF103" s="4966"/>
      <c r="AG103" s="4942"/>
      <c r="AH103" s="4966"/>
      <c r="AI103" s="4942"/>
      <c r="AJ103" s="4966"/>
      <c r="AK103" s="4829"/>
      <c r="AL103" s="4830"/>
      <c r="AM103" s="4942"/>
      <c r="AN103" s="4966"/>
      <c r="AO103" s="4942"/>
      <c r="AP103" s="4966"/>
      <c r="AQ103" s="4942"/>
      <c r="AR103" s="4966"/>
      <c r="AS103" s="4942"/>
      <c r="AT103" s="4966"/>
      <c r="AU103" s="4942"/>
      <c r="AV103" s="4966"/>
      <c r="AW103" s="4942"/>
      <c r="AX103" s="4966"/>
      <c r="AY103" s="4942"/>
      <c r="AZ103" s="4966"/>
      <c r="BA103" s="4942"/>
      <c r="BB103" s="4966"/>
      <c r="BC103" s="4829"/>
      <c r="BD103" s="4830"/>
      <c r="BE103" s="4904"/>
      <c r="BF103" s="4870"/>
      <c r="BG103" s="4870"/>
      <c r="BH103" s="4899"/>
      <c r="BI103" s="4976"/>
      <c r="BJ103" s="4910"/>
      <c r="BK103" s="4846"/>
      <c r="BL103" s="4843"/>
      <c r="BM103" s="4846"/>
      <c r="BN103" s="4843"/>
      <c r="BO103" s="3069"/>
    </row>
    <row r="104" spans="1:67" ht="15" x14ac:dyDescent="0.2">
      <c r="A104" s="2325"/>
      <c r="B104" s="2326"/>
      <c r="C104" s="2359"/>
      <c r="D104" s="2360"/>
      <c r="E104" s="2336">
        <v>64</v>
      </c>
      <c r="F104" s="2420" t="s">
        <v>2278</v>
      </c>
      <c r="G104" s="2421"/>
      <c r="H104" s="2412"/>
      <c r="I104" s="2412"/>
      <c r="J104" s="2421"/>
      <c r="K104" s="2422"/>
      <c r="L104" s="2421"/>
      <c r="M104" s="2421"/>
      <c r="N104" s="2414"/>
      <c r="O104" s="2421"/>
      <c r="P104" s="2423"/>
      <c r="Q104" s="2412"/>
      <c r="R104" s="2412"/>
      <c r="S104" s="2412"/>
      <c r="T104" s="2423"/>
      <c r="U104" s="2423"/>
      <c r="V104" s="2416"/>
      <c r="W104" s="2417"/>
      <c r="X104" s="2414"/>
      <c r="Y104" s="1456"/>
      <c r="Z104" s="1456"/>
      <c r="AA104" s="1456"/>
      <c r="AB104" s="1456"/>
      <c r="AC104" s="1456"/>
      <c r="AD104" s="1456"/>
      <c r="AE104" s="1456"/>
      <c r="AF104" s="1456"/>
      <c r="AG104" s="1456"/>
      <c r="AH104" s="1456"/>
      <c r="AI104" s="1456"/>
      <c r="AJ104" s="1456"/>
      <c r="AK104" s="1456"/>
      <c r="AL104" s="1456"/>
      <c r="AM104" s="1456"/>
      <c r="AN104" s="1456"/>
      <c r="AO104" s="1456"/>
      <c r="AP104" s="1456"/>
      <c r="AQ104" s="1456"/>
      <c r="AR104" s="1456"/>
      <c r="AS104" s="1456"/>
      <c r="AT104" s="1456"/>
      <c r="AU104" s="1456"/>
      <c r="AV104" s="1456"/>
      <c r="AW104" s="1456"/>
      <c r="AX104" s="1456"/>
      <c r="AY104" s="1456"/>
      <c r="AZ104" s="1456"/>
      <c r="BA104" s="1456"/>
      <c r="BB104" s="1456"/>
      <c r="BC104" s="1456"/>
      <c r="BD104" s="2414"/>
      <c r="BE104" s="2421"/>
      <c r="BF104" s="2423"/>
      <c r="BG104" s="2423"/>
      <c r="BH104" s="2421"/>
      <c r="BI104" s="2421"/>
      <c r="BJ104" s="2421"/>
      <c r="BK104" s="2421"/>
      <c r="BL104" s="2421"/>
      <c r="BM104" s="2421"/>
      <c r="BN104" s="2421"/>
      <c r="BO104" s="2418"/>
    </row>
    <row r="105" spans="1:67" ht="39" customHeight="1" x14ac:dyDescent="0.2">
      <c r="A105" s="2325"/>
      <c r="B105" s="2326"/>
      <c r="C105" s="2359"/>
      <c r="D105" s="2360"/>
      <c r="E105" s="2335"/>
      <c r="F105" s="2326"/>
      <c r="G105" s="4967">
        <v>195</v>
      </c>
      <c r="H105" s="4888" t="s">
        <v>2279</v>
      </c>
      <c r="I105" s="4971" t="s">
        <v>2280</v>
      </c>
      <c r="J105" s="4974">
        <v>1</v>
      </c>
      <c r="K105" s="4847">
        <v>0.5</v>
      </c>
      <c r="L105" s="4798" t="s">
        <v>2281</v>
      </c>
      <c r="M105" s="4925" t="s">
        <v>2282</v>
      </c>
      <c r="N105" s="3928" t="s">
        <v>2283</v>
      </c>
      <c r="O105" s="4895">
        <f>SUM(T105:T107)/P105</f>
        <v>1</v>
      </c>
      <c r="P105" s="4824">
        <f>SUM(T105:T107)</f>
        <v>100000000</v>
      </c>
      <c r="Q105" s="4788" t="s">
        <v>2284</v>
      </c>
      <c r="R105" s="3069" t="s">
        <v>2285</v>
      </c>
      <c r="S105" s="2347" t="s">
        <v>2286</v>
      </c>
      <c r="T105" s="2350">
        <v>40000000</v>
      </c>
      <c r="U105" s="2350">
        <v>9681333</v>
      </c>
      <c r="V105" s="2350">
        <v>4240000</v>
      </c>
      <c r="W105" s="2407">
        <v>20</v>
      </c>
      <c r="X105" s="2382" t="s">
        <v>251</v>
      </c>
      <c r="Y105" s="4874">
        <v>3698</v>
      </c>
      <c r="Z105" s="4874">
        <v>52</v>
      </c>
      <c r="AA105" s="4874">
        <v>3552</v>
      </c>
      <c r="AB105" s="4874">
        <v>48</v>
      </c>
      <c r="AC105" s="4941"/>
      <c r="AD105" s="4941"/>
      <c r="AE105" s="4941"/>
      <c r="AF105" s="4941"/>
      <c r="AG105" s="4941"/>
      <c r="AH105" s="4941"/>
      <c r="AI105" s="4941"/>
      <c r="AJ105" s="4941"/>
      <c r="AK105" s="4941"/>
      <c r="AL105" s="4941"/>
      <c r="AM105" s="4828">
        <v>7250</v>
      </c>
      <c r="AN105" s="4828">
        <f>+Z105+AB105</f>
        <v>100</v>
      </c>
      <c r="AO105" s="4941"/>
      <c r="AP105" s="4941"/>
      <c r="AQ105" s="4941"/>
      <c r="AR105" s="4941"/>
      <c r="AS105" s="4941"/>
      <c r="AT105" s="4941"/>
      <c r="AU105" s="4941"/>
      <c r="AV105" s="4941"/>
      <c r="AW105" s="4941"/>
      <c r="AX105" s="4941"/>
      <c r="AY105" s="4941"/>
      <c r="AZ105" s="4941"/>
      <c r="BA105" s="4941"/>
      <c r="BB105" s="4941"/>
      <c r="BC105" s="4828">
        <f>SUM(AM105:BA107)</f>
        <v>7350</v>
      </c>
      <c r="BD105" s="4828">
        <v>7250</v>
      </c>
      <c r="BE105" s="4902">
        <v>5</v>
      </c>
      <c r="BF105" s="4868">
        <f>SUM(U105:U107)</f>
        <v>43942833</v>
      </c>
      <c r="BG105" s="4868">
        <f>SUM(V105:V107)</f>
        <v>16631500</v>
      </c>
      <c r="BH105" s="4981">
        <f>+BG105/BF105</f>
        <v>0.37848037699344511</v>
      </c>
      <c r="BI105" s="4951" t="s">
        <v>668</v>
      </c>
      <c r="BJ105" s="4908" t="s">
        <v>2275</v>
      </c>
      <c r="BK105" s="4984">
        <v>43467</v>
      </c>
      <c r="BL105" s="4984">
        <v>43467</v>
      </c>
      <c r="BM105" s="4845">
        <v>43809</v>
      </c>
      <c r="BN105" s="4845">
        <v>43809</v>
      </c>
      <c r="BO105" s="3069" t="s">
        <v>2105</v>
      </c>
    </row>
    <row r="106" spans="1:67" ht="63.75" customHeight="1" x14ac:dyDescent="0.2">
      <c r="A106" s="2325"/>
      <c r="B106" s="2326"/>
      <c r="C106" s="2359"/>
      <c r="D106" s="2360"/>
      <c r="E106" s="2335"/>
      <c r="F106" s="2326"/>
      <c r="G106" s="4955"/>
      <c r="H106" s="4837"/>
      <c r="I106" s="4972"/>
      <c r="J106" s="4974"/>
      <c r="K106" s="4848"/>
      <c r="L106" s="4799"/>
      <c r="M106" s="4896"/>
      <c r="N106" s="3929"/>
      <c r="O106" s="4895"/>
      <c r="P106" s="4824"/>
      <c r="Q106" s="4789"/>
      <c r="R106" s="3069"/>
      <c r="S106" s="2347" t="s">
        <v>2287</v>
      </c>
      <c r="T106" s="2350">
        <v>55000000</v>
      </c>
      <c r="U106" s="2350">
        <f>10600000+1791500+16870000</f>
        <v>29261500</v>
      </c>
      <c r="V106" s="2350">
        <f>10600000+1791500</f>
        <v>12391500</v>
      </c>
      <c r="W106" s="2407">
        <v>20</v>
      </c>
      <c r="X106" s="2382" t="s">
        <v>251</v>
      </c>
      <c r="Y106" s="4874"/>
      <c r="Z106" s="4874"/>
      <c r="AA106" s="4874"/>
      <c r="AB106" s="4874"/>
      <c r="AC106" s="4942"/>
      <c r="AD106" s="4942"/>
      <c r="AE106" s="4942"/>
      <c r="AF106" s="4942"/>
      <c r="AG106" s="4942"/>
      <c r="AH106" s="4942"/>
      <c r="AI106" s="4942"/>
      <c r="AJ106" s="4942"/>
      <c r="AK106" s="4942"/>
      <c r="AL106" s="4942"/>
      <c r="AM106" s="4829"/>
      <c r="AN106" s="4829"/>
      <c r="AO106" s="4942"/>
      <c r="AP106" s="4942"/>
      <c r="AQ106" s="4942"/>
      <c r="AR106" s="4942"/>
      <c r="AS106" s="4942"/>
      <c r="AT106" s="4942"/>
      <c r="AU106" s="4942"/>
      <c r="AV106" s="4942"/>
      <c r="AW106" s="4942"/>
      <c r="AX106" s="4942"/>
      <c r="AY106" s="4942"/>
      <c r="AZ106" s="4942"/>
      <c r="BA106" s="4942"/>
      <c r="BB106" s="4942"/>
      <c r="BC106" s="4829"/>
      <c r="BD106" s="4829"/>
      <c r="BE106" s="4903"/>
      <c r="BF106" s="4869"/>
      <c r="BG106" s="4869"/>
      <c r="BH106" s="4982"/>
      <c r="BI106" s="4952"/>
      <c r="BJ106" s="4909"/>
      <c r="BK106" s="4985"/>
      <c r="BL106" s="4985"/>
      <c r="BM106" s="4846"/>
      <c r="BN106" s="4846"/>
      <c r="BO106" s="3069"/>
    </row>
    <row r="107" spans="1:67" ht="74.25" customHeight="1" x14ac:dyDescent="0.2">
      <c r="A107" s="2325"/>
      <c r="B107" s="2326"/>
      <c r="C107" s="2359"/>
      <c r="D107" s="2360"/>
      <c r="E107" s="2348"/>
      <c r="F107" s="2349"/>
      <c r="G107" s="4956"/>
      <c r="H107" s="4889"/>
      <c r="I107" s="4973"/>
      <c r="J107" s="4974"/>
      <c r="K107" s="4849"/>
      <c r="L107" s="4800"/>
      <c r="M107" s="4943"/>
      <c r="N107" s="3943"/>
      <c r="O107" s="4895"/>
      <c r="P107" s="4824"/>
      <c r="Q107" s="4790"/>
      <c r="R107" s="2419" t="s">
        <v>2288</v>
      </c>
      <c r="S107" s="2347" t="s">
        <v>2289</v>
      </c>
      <c r="T107" s="2350">
        <v>5000000</v>
      </c>
      <c r="U107" s="2350">
        <v>5000000</v>
      </c>
      <c r="V107" s="2350">
        <v>0</v>
      </c>
      <c r="W107" s="2407">
        <v>20</v>
      </c>
      <c r="X107" s="2382" t="s">
        <v>251</v>
      </c>
      <c r="Y107" s="4874"/>
      <c r="Z107" s="4874"/>
      <c r="AA107" s="4874"/>
      <c r="AB107" s="4874"/>
      <c r="AC107" s="4966"/>
      <c r="AD107" s="4966"/>
      <c r="AE107" s="4966"/>
      <c r="AF107" s="4966"/>
      <c r="AG107" s="4966"/>
      <c r="AH107" s="4966"/>
      <c r="AI107" s="4966"/>
      <c r="AJ107" s="4966"/>
      <c r="AK107" s="4966"/>
      <c r="AL107" s="4966"/>
      <c r="AM107" s="4830"/>
      <c r="AN107" s="4830"/>
      <c r="AO107" s="4966"/>
      <c r="AP107" s="4966"/>
      <c r="AQ107" s="4966"/>
      <c r="AR107" s="4966"/>
      <c r="AS107" s="4966"/>
      <c r="AT107" s="4966"/>
      <c r="AU107" s="4966"/>
      <c r="AV107" s="4966"/>
      <c r="AW107" s="4966"/>
      <c r="AX107" s="4966"/>
      <c r="AY107" s="4966"/>
      <c r="AZ107" s="4966"/>
      <c r="BA107" s="4966"/>
      <c r="BB107" s="4966"/>
      <c r="BC107" s="4830"/>
      <c r="BD107" s="4830"/>
      <c r="BE107" s="4904"/>
      <c r="BF107" s="4870"/>
      <c r="BG107" s="4870"/>
      <c r="BH107" s="4983"/>
      <c r="BI107" s="4953"/>
      <c r="BJ107" s="4910"/>
      <c r="BK107" s="4986"/>
      <c r="BL107" s="4986"/>
      <c r="BM107" s="4843"/>
      <c r="BN107" s="4843"/>
      <c r="BO107" s="3069"/>
    </row>
    <row r="108" spans="1:67" ht="15" x14ac:dyDescent="0.2">
      <c r="A108" s="2325"/>
      <c r="B108" s="2326"/>
      <c r="C108" s="2359"/>
      <c r="D108" s="2360"/>
      <c r="E108" s="2387">
        <v>65</v>
      </c>
      <c r="F108" s="2410" t="s">
        <v>2290</v>
      </c>
      <c r="G108" s="2411"/>
      <c r="H108" s="2412"/>
      <c r="I108" s="2412"/>
      <c r="J108" s="2411"/>
      <c r="K108" s="2413"/>
      <c r="L108" s="2411"/>
      <c r="M108" s="2411"/>
      <c r="N108" s="2414"/>
      <c r="O108" s="2411"/>
      <c r="P108" s="2415"/>
      <c r="Q108" s="2412"/>
      <c r="R108" s="2412"/>
      <c r="S108" s="2412"/>
      <c r="T108" s="2415"/>
      <c r="U108" s="2415"/>
      <c r="V108" s="2416"/>
      <c r="W108" s="2417"/>
      <c r="X108" s="2414"/>
      <c r="Y108" s="1456"/>
      <c r="Z108" s="1456"/>
      <c r="AA108" s="1456"/>
      <c r="AB108" s="1456"/>
      <c r="AC108" s="1456"/>
      <c r="AD108" s="1456"/>
      <c r="AE108" s="1456"/>
      <c r="AF108" s="1456"/>
      <c r="AG108" s="1456"/>
      <c r="AH108" s="1456"/>
      <c r="AI108" s="1456"/>
      <c r="AJ108" s="1456"/>
      <c r="AK108" s="1456"/>
      <c r="AL108" s="1456"/>
      <c r="AM108" s="1456"/>
      <c r="AN108" s="1456"/>
      <c r="AO108" s="1456"/>
      <c r="AP108" s="1456"/>
      <c r="AQ108" s="1456"/>
      <c r="AR108" s="1456"/>
      <c r="AS108" s="1456"/>
      <c r="AT108" s="1456"/>
      <c r="AU108" s="1456"/>
      <c r="AV108" s="1456"/>
      <c r="AW108" s="1456"/>
      <c r="AX108" s="1456"/>
      <c r="AY108" s="1456"/>
      <c r="AZ108" s="1456"/>
      <c r="BA108" s="1456"/>
      <c r="BB108" s="1456"/>
      <c r="BC108" s="1456"/>
      <c r="BD108" s="2414"/>
      <c r="BE108" s="2411"/>
      <c r="BF108" s="2415"/>
      <c r="BG108" s="2415"/>
      <c r="BH108" s="2411"/>
      <c r="BI108" s="2411"/>
      <c r="BJ108" s="2411"/>
      <c r="BK108" s="2411"/>
      <c r="BL108" s="2411"/>
      <c r="BM108" s="2411"/>
      <c r="BN108" s="2411"/>
      <c r="BO108" s="2418"/>
    </row>
    <row r="109" spans="1:67" ht="43.5" customHeight="1" x14ac:dyDescent="0.2">
      <c r="A109" s="2325"/>
      <c r="B109" s="2326"/>
      <c r="C109" s="2359"/>
      <c r="D109" s="2360"/>
      <c r="E109" s="2370"/>
      <c r="F109" s="2371"/>
      <c r="G109" s="4967">
        <v>196</v>
      </c>
      <c r="H109" s="4888" t="s">
        <v>2291</v>
      </c>
      <c r="I109" s="4888" t="s">
        <v>2292</v>
      </c>
      <c r="J109" s="4977">
        <v>1</v>
      </c>
      <c r="K109" s="4978">
        <v>0.8</v>
      </c>
      <c r="L109" s="4798" t="s">
        <v>2293</v>
      </c>
      <c r="M109" s="4925" t="s">
        <v>2294</v>
      </c>
      <c r="N109" s="4788" t="s">
        <v>2295</v>
      </c>
      <c r="O109" s="4895">
        <f>SUM(T109:T112)/P109</f>
        <v>1</v>
      </c>
      <c r="P109" s="4824">
        <f>SUM(T109:T112)</f>
        <v>30000000</v>
      </c>
      <c r="Q109" s="4788" t="s">
        <v>2296</v>
      </c>
      <c r="R109" s="3069" t="s">
        <v>2297</v>
      </c>
      <c r="S109" s="2341" t="s">
        <v>2298</v>
      </c>
      <c r="T109" s="2424">
        <v>12000000</v>
      </c>
      <c r="U109" s="2424">
        <v>12000000</v>
      </c>
      <c r="V109" s="2350">
        <v>12000000</v>
      </c>
      <c r="W109" s="2372">
        <v>20</v>
      </c>
      <c r="X109" s="2382" t="s">
        <v>251</v>
      </c>
      <c r="Y109" s="4948">
        <v>900</v>
      </c>
      <c r="Z109" s="4948">
        <v>913</v>
      </c>
      <c r="AA109" s="4948">
        <v>1480</v>
      </c>
      <c r="AB109" s="4948">
        <v>1494</v>
      </c>
      <c r="AC109" s="4948">
        <v>0</v>
      </c>
      <c r="AD109" s="4948">
        <v>0</v>
      </c>
      <c r="AE109" s="4948">
        <v>755</v>
      </c>
      <c r="AF109" s="4948">
        <v>755</v>
      </c>
      <c r="AG109" s="4948">
        <v>1500</v>
      </c>
      <c r="AH109" s="4948">
        <v>1527</v>
      </c>
      <c r="AI109" s="4948">
        <v>95</v>
      </c>
      <c r="AJ109" s="4948">
        <v>95</v>
      </c>
      <c r="AK109" s="4882">
        <v>10</v>
      </c>
      <c r="AL109" s="4881">
        <v>10</v>
      </c>
      <c r="AM109" s="4882">
        <v>20</v>
      </c>
      <c r="AN109" s="4882">
        <v>20</v>
      </c>
      <c r="AO109" s="4987"/>
      <c r="AP109" s="2425"/>
      <c r="AQ109" s="4987"/>
      <c r="AR109" s="2425"/>
      <c r="AS109" s="4987"/>
      <c r="AT109" s="2425"/>
      <c r="AU109" s="4987"/>
      <c r="AV109" s="2425"/>
      <c r="AW109" s="4987"/>
      <c r="AX109" s="2425"/>
      <c r="AY109" s="4987"/>
      <c r="AZ109" s="2425"/>
      <c r="BA109" s="4948"/>
      <c r="BB109" s="2426"/>
      <c r="BC109" s="4948">
        <f>+AE109+AG109+AI109+AK109+AM109</f>
        <v>2380</v>
      </c>
      <c r="BD109" s="4948">
        <f>+AF109+AH109+AJ109+AL109+AN109</f>
        <v>2407</v>
      </c>
      <c r="BE109" s="4951">
        <v>6</v>
      </c>
      <c r="BF109" s="4868">
        <f>SUM(U109:U112)</f>
        <v>27000000</v>
      </c>
      <c r="BG109" s="4868">
        <f>SUM(V109:V112)</f>
        <v>22537360</v>
      </c>
      <c r="BH109" s="4911">
        <f>+BG109/BF109</f>
        <v>0.83471703703703704</v>
      </c>
      <c r="BI109" s="4951" t="s">
        <v>668</v>
      </c>
      <c r="BJ109" s="4957" t="s">
        <v>2299</v>
      </c>
      <c r="BK109" s="4845">
        <v>43467</v>
      </c>
      <c r="BL109" s="4845">
        <v>43467</v>
      </c>
      <c r="BM109" s="4845">
        <v>43809</v>
      </c>
      <c r="BN109" s="4845">
        <v>43809</v>
      </c>
      <c r="BO109" s="4826" t="s">
        <v>2105</v>
      </c>
    </row>
    <row r="110" spans="1:67" ht="43.5" customHeight="1" x14ac:dyDescent="0.2">
      <c r="A110" s="2325"/>
      <c r="B110" s="2326"/>
      <c r="C110" s="2359"/>
      <c r="D110" s="2360"/>
      <c r="E110" s="2359"/>
      <c r="F110" s="2360"/>
      <c r="G110" s="4955"/>
      <c r="H110" s="4837"/>
      <c r="I110" s="4837"/>
      <c r="J110" s="4977"/>
      <c r="K110" s="4979"/>
      <c r="L110" s="4799"/>
      <c r="M110" s="4896"/>
      <c r="N110" s="4789"/>
      <c r="O110" s="4895"/>
      <c r="P110" s="4824"/>
      <c r="Q110" s="4789"/>
      <c r="R110" s="3069"/>
      <c r="S110" s="2341" t="s">
        <v>2300</v>
      </c>
      <c r="T110" s="2424">
        <v>10000000</v>
      </c>
      <c r="U110" s="2424">
        <v>10000000</v>
      </c>
      <c r="V110" s="2350">
        <v>7586000</v>
      </c>
      <c r="W110" s="2372">
        <v>20</v>
      </c>
      <c r="X110" s="2382" t="s">
        <v>251</v>
      </c>
      <c r="Y110" s="4949"/>
      <c r="Z110" s="4949"/>
      <c r="AA110" s="4949"/>
      <c r="AB110" s="4949"/>
      <c r="AC110" s="4949"/>
      <c r="AD110" s="4949"/>
      <c r="AE110" s="4949"/>
      <c r="AF110" s="4949"/>
      <c r="AG110" s="4949"/>
      <c r="AH110" s="4949"/>
      <c r="AI110" s="4949"/>
      <c r="AJ110" s="4949"/>
      <c r="AK110" s="4883"/>
      <c r="AL110" s="4881"/>
      <c r="AM110" s="4883"/>
      <c r="AN110" s="4883"/>
      <c r="AO110" s="4988"/>
      <c r="AP110" s="2427"/>
      <c r="AQ110" s="4988"/>
      <c r="AR110" s="2427"/>
      <c r="AS110" s="4988"/>
      <c r="AT110" s="2427"/>
      <c r="AU110" s="4988"/>
      <c r="AV110" s="2427"/>
      <c r="AW110" s="4988"/>
      <c r="AX110" s="2427"/>
      <c r="AY110" s="4988"/>
      <c r="AZ110" s="2427"/>
      <c r="BA110" s="4949"/>
      <c r="BB110" s="2428"/>
      <c r="BC110" s="4949"/>
      <c r="BD110" s="4949"/>
      <c r="BE110" s="4952"/>
      <c r="BF110" s="4869"/>
      <c r="BG110" s="4869"/>
      <c r="BH110" s="4912"/>
      <c r="BI110" s="4952"/>
      <c r="BJ110" s="4958"/>
      <c r="BK110" s="4846"/>
      <c r="BL110" s="4846"/>
      <c r="BM110" s="4846"/>
      <c r="BN110" s="4846"/>
      <c r="BO110" s="4826"/>
    </row>
    <row r="111" spans="1:67" ht="36.75" customHeight="1" x14ac:dyDescent="0.2">
      <c r="A111" s="2325"/>
      <c r="B111" s="2326"/>
      <c r="C111" s="2359"/>
      <c r="D111" s="2360"/>
      <c r="E111" s="2359"/>
      <c r="F111" s="2360"/>
      <c r="G111" s="4955"/>
      <c r="H111" s="4837"/>
      <c r="I111" s="4837"/>
      <c r="J111" s="4977"/>
      <c r="K111" s="4979"/>
      <c r="L111" s="4799"/>
      <c r="M111" s="4896"/>
      <c r="N111" s="4789"/>
      <c r="O111" s="4895"/>
      <c r="P111" s="4824"/>
      <c r="Q111" s="4789"/>
      <c r="R111" s="4826" t="s">
        <v>2301</v>
      </c>
      <c r="S111" s="2341" t="s">
        <v>2302</v>
      </c>
      <c r="T111" s="2424">
        <v>3000000</v>
      </c>
      <c r="U111" s="2424">
        <v>2000000</v>
      </c>
      <c r="V111" s="2350">
        <v>997360</v>
      </c>
      <c r="W111" s="2372">
        <v>20</v>
      </c>
      <c r="X111" s="2382" t="s">
        <v>251</v>
      </c>
      <c r="Y111" s="4949"/>
      <c r="Z111" s="4949"/>
      <c r="AA111" s="4949"/>
      <c r="AB111" s="4949"/>
      <c r="AC111" s="4949"/>
      <c r="AD111" s="4949"/>
      <c r="AE111" s="4949"/>
      <c r="AF111" s="4949"/>
      <c r="AG111" s="4949"/>
      <c r="AH111" s="4949"/>
      <c r="AI111" s="4949"/>
      <c r="AJ111" s="4949"/>
      <c r="AK111" s="4883"/>
      <c r="AL111" s="4881"/>
      <c r="AM111" s="4883"/>
      <c r="AN111" s="4883"/>
      <c r="AO111" s="4988"/>
      <c r="AP111" s="2427"/>
      <c r="AQ111" s="4988"/>
      <c r="AR111" s="2427"/>
      <c r="AS111" s="4988"/>
      <c r="AT111" s="2427"/>
      <c r="AU111" s="4988"/>
      <c r="AV111" s="2427"/>
      <c r="AW111" s="4988"/>
      <c r="AX111" s="2427"/>
      <c r="AY111" s="4988"/>
      <c r="AZ111" s="2427"/>
      <c r="BA111" s="4949"/>
      <c r="BB111" s="2428"/>
      <c r="BC111" s="4949"/>
      <c r="BD111" s="4949"/>
      <c r="BE111" s="4952"/>
      <c r="BF111" s="4869"/>
      <c r="BG111" s="4869"/>
      <c r="BH111" s="4912"/>
      <c r="BI111" s="4952"/>
      <c r="BJ111" s="4958"/>
      <c r="BK111" s="4846"/>
      <c r="BL111" s="4846"/>
      <c r="BM111" s="4846"/>
      <c r="BN111" s="4846"/>
      <c r="BO111" s="4826"/>
    </row>
    <row r="112" spans="1:67" ht="50.25" customHeight="1" x14ac:dyDescent="0.2">
      <c r="A112" s="2325"/>
      <c r="B112" s="2326"/>
      <c r="C112" s="2359"/>
      <c r="D112" s="2360"/>
      <c r="E112" s="2359"/>
      <c r="F112" s="2360"/>
      <c r="G112" s="4955"/>
      <c r="H112" s="4837"/>
      <c r="I112" s="4837"/>
      <c r="J112" s="4977"/>
      <c r="K112" s="4980"/>
      <c r="L112" s="4800"/>
      <c r="M112" s="4896"/>
      <c r="N112" s="4789"/>
      <c r="O112" s="4895"/>
      <c r="P112" s="4824"/>
      <c r="Q112" s="4789"/>
      <c r="R112" s="4827"/>
      <c r="S112" s="2341" t="s">
        <v>2303</v>
      </c>
      <c r="T112" s="2424">
        <v>5000000</v>
      </c>
      <c r="U112" s="2424">
        <v>3000000</v>
      </c>
      <c r="V112" s="2350">
        <v>1954000</v>
      </c>
      <c r="W112" s="2372">
        <v>20</v>
      </c>
      <c r="X112" s="2382" t="s">
        <v>251</v>
      </c>
      <c r="Y112" s="4950"/>
      <c r="Z112" s="4950"/>
      <c r="AA112" s="4950"/>
      <c r="AB112" s="4950"/>
      <c r="AC112" s="4950"/>
      <c r="AD112" s="4950"/>
      <c r="AE112" s="4950"/>
      <c r="AF112" s="4950"/>
      <c r="AG112" s="4950"/>
      <c r="AH112" s="4950"/>
      <c r="AI112" s="4950"/>
      <c r="AJ112" s="4950"/>
      <c r="AK112" s="4884"/>
      <c r="AL112" s="4881"/>
      <c r="AM112" s="4884"/>
      <c r="AN112" s="4884"/>
      <c r="AO112" s="4989"/>
      <c r="AP112" s="2429"/>
      <c r="AQ112" s="4989"/>
      <c r="AR112" s="2429"/>
      <c r="AS112" s="4989"/>
      <c r="AT112" s="2429"/>
      <c r="AU112" s="4989"/>
      <c r="AV112" s="2429"/>
      <c r="AW112" s="4989"/>
      <c r="AX112" s="2429"/>
      <c r="AY112" s="4989"/>
      <c r="AZ112" s="2429"/>
      <c r="BA112" s="4950"/>
      <c r="BB112" s="2428"/>
      <c r="BC112" s="4829"/>
      <c r="BD112" s="4950"/>
      <c r="BE112" s="4953"/>
      <c r="BF112" s="4870"/>
      <c r="BG112" s="4870"/>
      <c r="BH112" s="4913"/>
      <c r="BI112" s="4953"/>
      <c r="BJ112" s="4959"/>
      <c r="BK112" s="4843"/>
      <c r="BL112" s="4843"/>
      <c r="BM112" s="4843"/>
      <c r="BN112" s="4843"/>
      <c r="BO112" s="4826"/>
    </row>
    <row r="113" spans="1:67" ht="15" x14ac:dyDescent="0.2">
      <c r="A113" s="2325"/>
      <c r="B113" s="2326"/>
      <c r="C113" s="2359"/>
      <c r="D113" s="2360"/>
      <c r="E113" s="1454">
        <v>66</v>
      </c>
      <c r="F113" s="2410" t="s">
        <v>2304</v>
      </c>
      <c r="G113" s="2411"/>
      <c r="H113" s="2412"/>
      <c r="I113" s="2412"/>
      <c r="J113" s="2411"/>
      <c r="K113" s="2413"/>
      <c r="L113" s="2411"/>
      <c r="M113" s="2411"/>
      <c r="N113" s="2414"/>
      <c r="O113" s="2411"/>
      <c r="P113" s="2415"/>
      <c r="Q113" s="2412"/>
      <c r="R113" s="2412"/>
      <c r="S113" s="2412"/>
      <c r="T113" s="2415"/>
      <c r="U113" s="2415"/>
      <c r="V113" s="2416"/>
      <c r="W113" s="2417"/>
      <c r="X113" s="2414"/>
      <c r="Y113" s="1456"/>
      <c r="Z113" s="1456"/>
      <c r="AA113" s="1456"/>
      <c r="AB113" s="1456"/>
      <c r="AC113" s="1456"/>
      <c r="AD113" s="1456"/>
      <c r="AE113" s="1456"/>
      <c r="AF113" s="1456"/>
      <c r="AG113" s="1456"/>
      <c r="AH113" s="1456"/>
      <c r="AI113" s="1456"/>
      <c r="AJ113" s="1456"/>
      <c r="AK113" s="1456"/>
      <c r="AL113" s="1456"/>
      <c r="AM113" s="1456"/>
      <c r="AN113" s="1456"/>
      <c r="AO113" s="1456"/>
      <c r="AP113" s="1456"/>
      <c r="AQ113" s="1456"/>
      <c r="AR113" s="1456"/>
      <c r="AS113" s="1456"/>
      <c r="AT113" s="1456"/>
      <c r="AU113" s="1456"/>
      <c r="AV113" s="1456"/>
      <c r="AW113" s="1456"/>
      <c r="AX113" s="1456"/>
      <c r="AY113" s="1456"/>
      <c r="AZ113" s="1456"/>
      <c r="BA113" s="1456"/>
      <c r="BB113" s="1456"/>
      <c r="BC113" s="1456"/>
      <c r="BD113" s="2414"/>
      <c r="BE113" s="2411"/>
      <c r="BF113" s="2415"/>
      <c r="BG113" s="2415"/>
      <c r="BH113" s="2411"/>
      <c r="BI113" s="2411"/>
      <c r="BJ113" s="2411"/>
      <c r="BK113" s="2411"/>
      <c r="BL113" s="2411"/>
      <c r="BM113" s="2411"/>
      <c r="BN113" s="2411"/>
      <c r="BO113" s="2418"/>
    </row>
    <row r="114" spans="1:67" ht="55.5" customHeight="1" x14ac:dyDescent="0.2">
      <c r="A114" s="2325"/>
      <c r="B114" s="2326"/>
      <c r="C114" s="2359"/>
      <c r="D114" s="2360"/>
      <c r="E114" s="2359"/>
      <c r="F114" s="2360"/>
      <c r="G114" s="4967">
        <v>197</v>
      </c>
      <c r="H114" s="3914" t="s">
        <v>2305</v>
      </c>
      <c r="I114" s="4888" t="s">
        <v>2306</v>
      </c>
      <c r="J114" s="4974">
        <v>1</v>
      </c>
      <c r="K114" s="4847">
        <v>1</v>
      </c>
      <c r="L114" s="2430"/>
      <c r="M114" s="4896" t="s">
        <v>2307</v>
      </c>
      <c r="N114" s="4788" t="s">
        <v>2308</v>
      </c>
      <c r="O114" s="4820">
        <f>SUM(T114:T120)/P114</f>
        <v>1</v>
      </c>
      <c r="P114" s="4824">
        <f>SUM(T114:T120)</f>
        <v>290000000</v>
      </c>
      <c r="Q114" s="4788" t="s">
        <v>2309</v>
      </c>
      <c r="R114" s="3069" t="s">
        <v>2310</v>
      </c>
      <c r="S114" s="2307" t="s">
        <v>2311</v>
      </c>
      <c r="T114" s="2350">
        <f>5000000-5000000</f>
        <v>0</v>
      </c>
      <c r="U114" s="2350">
        <v>0</v>
      </c>
      <c r="V114" s="2350">
        <v>0</v>
      </c>
      <c r="W114" s="2372">
        <v>20</v>
      </c>
      <c r="X114" s="2382" t="s">
        <v>251</v>
      </c>
      <c r="Y114" s="4882">
        <v>10000</v>
      </c>
      <c r="Z114" s="5006">
        <v>10114</v>
      </c>
      <c r="AA114" s="4987"/>
      <c r="AB114" s="2425"/>
      <c r="AC114" s="4987">
        <v>1375</v>
      </c>
      <c r="AD114" s="4987">
        <v>1375</v>
      </c>
      <c r="AE114" s="4987">
        <v>3900</v>
      </c>
      <c r="AF114" s="4987">
        <v>4014</v>
      </c>
      <c r="AG114" s="4987">
        <v>3200</v>
      </c>
      <c r="AH114" s="4987">
        <v>3200</v>
      </c>
      <c r="AI114" s="4987">
        <v>1220</v>
      </c>
      <c r="AJ114" s="4987">
        <v>1220</v>
      </c>
      <c r="AK114" s="4828">
        <v>103</v>
      </c>
      <c r="AL114" s="4828">
        <v>103</v>
      </c>
      <c r="AM114" s="4987">
        <v>202</v>
      </c>
      <c r="AN114" s="4987">
        <v>202</v>
      </c>
      <c r="AO114" s="4987"/>
      <c r="AP114" s="2425"/>
      <c r="AQ114" s="4828"/>
      <c r="AR114" s="2344"/>
      <c r="AS114" s="4987"/>
      <c r="AT114" s="2425"/>
      <c r="AU114" s="4987"/>
      <c r="AV114" s="2425"/>
      <c r="AW114" s="4987"/>
      <c r="AX114" s="2425"/>
      <c r="AY114" s="4987"/>
      <c r="AZ114" s="2425"/>
      <c r="BA114" s="4987"/>
      <c r="BB114" s="2425"/>
      <c r="BC114" s="4987">
        <f>+AC114+AE114+AG114+AI114+AK114+AM114</f>
        <v>10000</v>
      </c>
      <c r="BD114" s="4987">
        <f>+AD114+AF114+AH114+AJ114+AL114+AN114</f>
        <v>10114</v>
      </c>
      <c r="BE114" s="4992">
        <v>8</v>
      </c>
      <c r="BF114" s="4868">
        <f>SUM(U114:U120)</f>
        <v>50000000</v>
      </c>
      <c r="BG114" s="4868">
        <f>SUM(V114:V120)</f>
        <v>43944750</v>
      </c>
      <c r="BH114" s="4871">
        <f>+BG114/BF114</f>
        <v>0.87889499999999998</v>
      </c>
      <c r="BI114" s="4992" t="s">
        <v>668</v>
      </c>
      <c r="BJ114" s="4995" t="s">
        <v>2299</v>
      </c>
      <c r="BK114" s="4844">
        <v>43467</v>
      </c>
      <c r="BL114" s="4845">
        <v>43467</v>
      </c>
      <c r="BM114" s="4844">
        <v>43809</v>
      </c>
      <c r="BN114" s="4845">
        <v>43809</v>
      </c>
      <c r="BO114" s="3069" t="s">
        <v>2105</v>
      </c>
    </row>
    <row r="115" spans="1:67" ht="54" customHeight="1" x14ac:dyDescent="0.2">
      <c r="A115" s="2325"/>
      <c r="B115" s="2326"/>
      <c r="C115" s="2359"/>
      <c r="D115" s="2360"/>
      <c r="E115" s="2359"/>
      <c r="F115" s="2360"/>
      <c r="G115" s="4955"/>
      <c r="H115" s="3915"/>
      <c r="I115" s="4837"/>
      <c r="J115" s="4974"/>
      <c r="K115" s="4848"/>
      <c r="L115" s="2431"/>
      <c r="M115" s="4896"/>
      <c r="N115" s="4789"/>
      <c r="O115" s="4821"/>
      <c r="P115" s="4824"/>
      <c r="Q115" s="4789"/>
      <c r="R115" s="3069"/>
      <c r="S115" s="2307" t="s">
        <v>2312</v>
      </c>
      <c r="T115" s="2350">
        <f>5000000-5000000</f>
        <v>0</v>
      </c>
      <c r="U115" s="2350">
        <v>0</v>
      </c>
      <c r="V115" s="2350">
        <v>0</v>
      </c>
      <c r="W115" s="2372">
        <v>20</v>
      </c>
      <c r="X115" s="2382" t="s">
        <v>251</v>
      </c>
      <c r="Y115" s="4883"/>
      <c r="Z115" s="4946"/>
      <c r="AA115" s="4988"/>
      <c r="AB115" s="2427"/>
      <c r="AC115" s="4988"/>
      <c r="AD115" s="4988"/>
      <c r="AE115" s="4988"/>
      <c r="AF115" s="4988"/>
      <c r="AG115" s="4988"/>
      <c r="AH115" s="4988"/>
      <c r="AI115" s="4988"/>
      <c r="AJ115" s="4988"/>
      <c r="AK115" s="4829"/>
      <c r="AL115" s="4829"/>
      <c r="AM115" s="4988"/>
      <c r="AN115" s="4988"/>
      <c r="AO115" s="4988"/>
      <c r="AP115" s="2427"/>
      <c r="AQ115" s="4829"/>
      <c r="AR115" s="2346"/>
      <c r="AS115" s="4988"/>
      <c r="AT115" s="2427"/>
      <c r="AU115" s="4988"/>
      <c r="AV115" s="2427"/>
      <c r="AW115" s="4988"/>
      <c r="AX115" s="2427"/>
      <c r="AY115" s="4988"/>
      <c r="AZ115" s="2427"/>
      <c r="BA115" s="4988"/>
      <c r="BB115" s="2427"/>
      <c r="BC115" s="4988"/>
      <c r="BD115" s="4988"/>
      <c r="BE115" s="4993"/>
      <c r="BF115" s="4869"/>
      <c r="BG115" s="4869"/>
      <c r="BH115" s="4872"/>
      <c r="BI115" s="4993"/>
      <c r="BJ115" s="4996"/>
      <c r="BK115" s="4844"/>
      <c r="BL115" s="4846"/>
      <c r="BM115" s="4844"/>
      <c r="BN115" s="4846"/>
      <c r="BO115" s="3069"/>
    </row>
    <row r="116" spans="1:67" ht="52.5" customHeight="1" x14ac:dyDescent="0.2">
      <c r="A116" s="2325"/>
      <c r="B116" s="2326"/>
      <c r="C116" s="2359"/>
      <c r="D116" s="2360"/>
      <c r="E116" s="2359"/>
      <c r="F116" s="2360"/>
      <c r="G116" s="4955"/>
      <c r="H116" s="3915"/>
      <c r="I116" s="4837"/>
      <c r="J116" s="4974"/>
      <c r="K116" s="4848"/>
      <c r="L116" s="2431"/>
      <c r="M116" s="4896"/>
      <c r="N116" s="4789"/>
      <c r="O116" s="4821"/>
      <c r="P116" s="4824"/>
      <c r="Q116" s="4789"/>
      <c r="R116" s="3069"/>
      <c r="S116" s="2347" t="s">
        <v>2313</v>
      </c>
      <c r="T116" s="2350">
        <v>0</v>
      </c>
      <c r="U116" s="2350">
        <v>0</v>
      </c>
      <c r="V116" s="2350">
        <v>0</v>
      </c>
      <c r="W116" s="2372">
        <v>20</v>
      </c>
      <c r="X116" s="2382" t="s">
        <v>251</v>
      </c>
      <c r="Y116" s="4883"/>
      <c r="Z116" s="4946"/>
      <c r="AA116" s="4988"/>
      <c r="AB116" s="2427"/>
      <c r="AC116" s="4988"/>
      <c r="AD116" s="4988"/>
      <c r="AE116" s="4988"/>
      <c r="AF116" s="4988"/>
      <c r="AG116" s="4988"/>
      <c r="AH116" s="4988"/>
      <c r="AI116" s="4988"/>
      <c r="AJ116" s="4988"/>
      <c r="AK116" s="4829"/>
      <c r="AL116" s="4829"/>
      <c r="AM116" s="4988"/>
      <c r="AN116" s="4988"/>
      <c r="AO116" s="4988"/>
      <c r="AP116" s="2427"/>
      <c r="AQ116" s="4829"/>
      <c r="AR116" s="2346"/>
      <c r="AS116" s="4988"/>
      <c r="AT116" s="2427"/>
      <c r="AU116" s="4988"/>
      <c r="AV116" s="2427"/>
      <c r="AW116" s="4988"/>
      <c r="AX116" s="2427"/>
      <c r="AY116" s="4988"/>
      <c r="AZ116" s="2427"/>
      <c r="BA116" s="4988"/>
      <c r="BB116" s="2427"/>
      <c r="BC116" s="4988"/>
      <c r="BD116" s="4988"/>
      <c r="BE116" s="4993"/>
      <c r="BF116" s="4869"/>
      <c r="BG116" s="4869"/>
      <c r="BH116" s="4872"/>
      <c r="BI116" s="4993"/>
      <c r="BJ116" s="4996"/>
      <c r="BK116" s="4940"/>
      <c r="BL116" s="4846"/>
      <c r="BM116" s="4940"/>
      <c r="BN116" s="4846"/>
      <c r="BO116" s="3069"/>
    </row>
    <row r="117" spans="1:67" ht="60" customHeight="1" x14ac:dyDescent="0.2">
      <c r="A117" s="2325"/>
      <c r="B117" s="2326"/>
      <c r="C117" s="2359"/>
      <c r="D117" s="2360"/>
      <c r="E117" s="2359"/>
      <c r="F117" s="2360"/>
      <c r="G117" s="4955"/>
      <c r="H117" s="3915"/>
      <c r="I117" s="4837"/>
      <c r="J117" s="4974"/>
      <c r="K117" s="4848"/>
      <c r="L117" s="2431" t="s">
        <v>2314</v>
      </c>
      <c r="M117" s="4896"/>
      <c r="N117" s="4789"/>
      <c r="O117" s="4821"/>
      <c r="P117" s="4824"/>
      <c r="Q117" s="4789"/>
      <c r="R117" s="3069" t="s">
        <v>2315</v>
      </c>
      <c r="S117" s="2307" t="s">
        <v>2316</v>
      </c>
      <c r="T117" s="2350">
        <f>30000000+10000000+240000000</f>
        <v>280000000</v>
      </c>
      <c r="U117" s="2350">
        <v>40000000</v>
      </c>
      <c r="V117" s="2350">
        <v>35299000</v>
      </c>
      <c r="W117" s="2372">
        <v>20</v>
      </c>
      <c r="X117" s="2382" t="s">
        <v>251</v>
      </c>
      <c r="Y117" s="4883"/>
      <c r="Z117" s="4946"/>
      <c r="AA117" s="4988"/>
      <c r="AB117" s="2427"/>
      <c r="AC117" s="4988"/>
      <c r="AD117" s="4988"/>
      <c r="AE117" s="4988"/>
      <c r="AF117" s="4988"/>
      <c r="AG117" s="4988"/>
      <c r="AH117" s="4988"/>
      <c r="AI117" s="4988"/>
      <c r="AJ117" s="4988"/>
      <c r="AK117" s="4829"/>
      <c r="AL117" s="4829"/>
      <c r="AM117" s="4988"/>
      <c r="AN117" s="4988"/>
      <c r="AO117" s="4988"/>
      <c r="AP117" s="2427"/>
      <c r="AQ117" s="4829"/>
      <c r="AR117" s="2346"/>
      <c r="AS117" s="4988"/>
      <c r="AT117" s="2427"/>
      <c r="AU117" s="4988"/>
      <c r="AV117" s="2427"/>
      <c r="AW117" s="4988"/>
      <c r="AX117" s="2427"/>
      <c r="AY117" s="4988"/>
      <c r="AZ117" s="2427"/>
      <c r="BA117" s="4988"/>
      <c r="BB117" s="2427"/>
      <c r="BC117" s="4988"/>
      <c r="BD117" s="4988"/>
      <c r="BE117" s="4993"/>
      <c r="BF117" s="4869"/>
      <c r="BG117" s="4869"/>
      <c r="BH117" s="4872"/>
      <c r="BI117" s="4993"/>
      <c r="BJ117" s="4996"/>
      <c r="BK117" s="4940"/>
      <c r="BL117" s="4846"/>
      <c r="BM117" s="4940"/>
      <c r="BN117" s="4846"/>
      <c r="BO117" s="3069"/>
    </row>
    <row r="118" spans="1:67" ht="57" x14ac:dyDescent="0.2">
      <c r="A118" s="2325"/>
      <c r="B118" s="2326"/>
      <c r="C118" s="2359"/>
      <c r="D118" s="2360"/>
      <c r="E118" s="2359"/>
      <c r="F118" s="2360"/>
      <c r="G118" s="4955"/>
      <c r="H118" s="3915"/>
      <c r="I118" s="4837"/>
      <c r="J118" s="4974"/>
      <c r="K118" s="4848"/>
      <c r="L118" s="2431"/>
      <c r="M118" s="4896"/>
      <c r="N118" s="4789"/>
      <c r="O118" s="4821"/>
      <c r="P118" s="4824"/>
      <c r="Q118" s="4789"/>
      <c r="R118" s="3069"/>
      <c r="S118" s="2307" t="s">
        <v>2317</v>
      </c>
      <c r="T118" s="2350">
        <v>5000000</v>
      </c>
      <c r="U118" s="2350">
        <v>5000000</v>
      </c>
      <c r="V118" s="2350">
        <v>5000000</v>
      </c>
      <c r="W118" s="2372">
        <v>20</v>
      </c>
      <c r="X118" s="2382" t="s">
        <v>251</v>
      </c>
      <c r="Y118" s="4883"/>
      <c r="Z118" s="4946"/>
      <c r="AA118" s="4988"/>
      <c r="AB118" s="2427"/>
      <c r="AC118" s="4988"/>
      <c r="AD118" s="4988"/>
      <c r="AE118" s="4988"/>
      <c r="AF118" s="4988"/>
      <c r="AG118" s="4988"/>
      <c r="AH118" s="4988"/>
      <c r="AI118" s="4988"/>
      <c r="AJ118" s="4988"/>
      <c r="AK118" s="4829"/>
      <c r="AL118" s="4829"/>
      <c r="AM118" s="4988"/>
      <c r="AN118" s="4988"/>
      <c r="AO118" s="4988"/>
      <c r="AP118" s="2427"/>
      <c r="AQ118" s="4829"/>
      <c r="AR118" s="2346"/>
      <c r="AS118" s="4988"/>
      <c r="AT118" s="2427"/>
      <c r="AU118" s="4988"/>
      <c r="AV118" s="2427"/>
      <c r="AW118" s="4988"/>
      <c r="AX118" s="2427"/>
      <c r="AY118" s="4988"/>
      <c r="AZ118" s="2427"/>
      <c r="BA118" s="4988"/>
      <c r="BB118" s="2427"/>
      <c r="BC118" s="4988"/>
      <c r="BD118" s="4988"/>
      <c r="BE118" s="4993"/>
      <c r="BF118" s="4869"/>
      <c r="BG118" s="4869"/>
      <c r="BH118" s="4872"/>
      <c r="BI118" s="4993"/>
      <c r="BJ118" s="4996"/>
      <c r="BK118" s="4940"/>
      <c r="BL118" s="4846"/>
      <c r="BM118" s="4940"/>
      <c r="BN118" s="4846"/>
      <c r="BO118" s="3069"/>
    </row>
    <row r="119" spans="1:67" ht="33" customHeight="1" x14ac:dyDescent="0.2">
      <c r="A119" s="2325"/>
      <c r="B119" s="2326"/>
      <c r="C119" s="2359"/>
      <c r="D119" s="2360"/>
      <c r="E119" s="2359"/>
      <c r="F119" s="2360"/>
      <c r="G119" s="4955"/>
      <c r="H119" s="3915"/>
      <c r="I119" s="4837"/>
      <c r="J119" s="4974"/>
      <c r="K119" s="4848"/>
      <c r="L119" s="2431"/>
      <c r="M119" s="4896"/>
      <c r="N119" s="4789"/>
      <c r="O119" s="4821"/>
      <c r="P119" s="4824"/>
      <c r="Q119" s="4789"/>
      <c r="R119" s="3069"/>
      <c r="S119" s="2307" t="s">
        <v>2302</v>
      </c>
      <c r="T119" s="2350">
        <v>1000000</v>
      </c>
      <c r="U119" s="2350">
        <v>1000000</v>
      </c>
      <c r="V119" s="2350">
        <v>0</v>
      </c>
      <c r="W119" s="2372">
        <v>20</v>
      </c>
      <c r="X119" s="2382" t="s">
        <v>251</v>
      </c>
      <c r="Y119" s="4883"/>
      <c r="Z119" s="4946"/>
      <c r="AA119" s="4988"/>
      <c r="AB119" s="2427"/>
      <c r="AC119" s="4988"/>
      <c r="AD119" s="4988"/>
      <c r="AE119" s="4988"/>
      <c r="AF119" s="4988"/>
      <c r="AG119" s="4988"/>
      <c r="AH119" s="4988"/>
      <c r="AI119" s="4988"/>
      <c r="AJ119" s="4988"/>
      <c r="AK119" s="4829"/>
      <c r="AL119" s="4829"/>
      <c r="AM119" s="4988"/>
      <c r="AN119" s="4988"/>
      <c r="AO119" s="4988"/>
      <c r="AP119" s="2427"/>
      <c r="AQ119" s="4829"/>
      <c r="AR119" s="2346"/>
      <c r="AS119" s="4988"/>
      <c r="AT119" s="2427"/>
      <c r="AU119" s="4988"/>
      <c r="AV119" s="2427"/>
      <c r="AW119" s="4988"/>
      <c r="AX119" s="2427"/>
      <c r="AY119" s="4988"/>
      <c r="AZ119" s="2427"/>
      <c r="BA119" s="4988"/>
      <c r="BB119" s="2427"/>
      <c r="BC119" s="4988"/>
      <c r="BD119" s="4988"/>
      <c r="BE119" s="4993"/>
      <c r="BF119" s="4869"/>
      <c r="BG119" s="4869"/>
      <c r="BH119" s="4872"/>
      <c r="BI119" s="4993"/>
      <c r="BJ119" s="4996"/>
      <c r="BK119" s="4940"/>
      <c r="BL119" s="4846"/>
      <c r="BM119" s="4940"/>
      <c r="BN119" s="4846"/>
      <c r="BO119" s="3069"/>
    </row>
    <row r="120" spans="1:67" ht="51.75" customHeight="1" x14ac:dyDescent="0.2">
      <c r="A120" s="2325"/>
      <c r="B120" s="2326"/>
      <c r="C120" s="2408"/>
      <c r="D120" s="2432"/>
      <c r="E120" s="2408"/>
      <c r="F120" s="2432"/>
      <c r="G120" s="4956"/>
      <c r="H120" s="3960"/>
      <c r="I120" s="4889"/>
      <c r="J120" s="4974"/>
      <c r="K120" s="4849"/>
      <c r="L120" s="2433"/>
      <c r="M120" s="4943"/>
      <c r="N120" s="4790"/>
      <c r="O120" s="4822"/>
      <c r="P120" s="4824"/>
      <c r="Q120" s="4790"/>
      <c r="R120" s="3069"/>
      <c r="S120" s="2307" t="s">
        <v>2303</v>
      </c>
      <c r="T120" s="2350">
        <v>4000000</v>
      </c>
      <c r="U120" s="2350">
        <v>4000000</v>
      </c>
      <c r="V120" s="2350">
        <v>3645750</v>
      </c>
      <c r="W120" s="2372">
        <v>20</v>
      </c>
      <c r="X120" s="2382" t="s">
        <v>251</v>
      </c>
      <c r="Y120" s="4884"/>
      <c r="Z120" s="4947"/>
      <c r="AA120" s="4989"/>
      <c r="AB120" s="2429"/>
      <c r="AC120" s="4989"/>
      <c r="AD120" s="4989"/>
      <c r="AE120" s="4989"/>
      <c r="AF120" s="4989"/>
      <c r="AG120" s="4989"/>
      <c r="AH120" s="4989"/>
      <c r="AI120" s="4989"/>
      <c r="AJ120" s="4989"/>
      <c r="AK120" s="4830"/>
      <c r="AL120" s="4830"/>
      <c r="AM120" s="4989"/>
      <c r="AN120" s="4989"/>
      <c r="AO120" s="4989"/>
      <c r="AP120" s="2429"/>
      <c r="AQ120" s="4830"/>
      <c r="AR120" s="2351"/>
      <c r="AS120" s="4989"/>
      <c r="AT120" s="2429"/>
      <c r="AU120" s="4989"/>
      <c r="AV120" s="2429"/>
      <c r="AW120" s="4989"/>
      <c r="AX120" s="2429"/>
      <c r="AY120" s="4989"/>
      <c r="AZ120" s="2429"/>
      <c r="BA120" s="4989"/>
      <c r="BB120" s="2429"/>
      <c r="BC120" s="4989"/>
      <c r="BD120" s="4989"/>
      <c r="BE120" s="4994"/>
      <c r="BF120" s="4870"/>
      <c r="BG120" s="4870"/>
      <c r="BH120" s="4873"/>
      <c r="BI120" s="4994"/>
      <c r="BJ120" s="4997"/>
      <c r="BK120" s="4940"/>
      <c r="BL120" s="4843"/>
      <c r="BM120" s="4940"/>
      <c r="BN120" s="4843"/>
      <c r="BO120" s="3069"/>
    </row>
    <row r="121" spans="1:67" ht="15" x14ac:dyDescent="0.2">
      <c r="A121" s="2325"/>
      <c r="B121" s="2326"/>
      <c r="C121" s="2434">
        <v>19</v>
      </c>
      <c r="D121" s="2328" t="s">
        <v>2318</v>
      </c>
      <c r="E121" s="1442"/>
      <c r="F121" s="1442"/>
      <c r="G121" s="1442"/>
      <c r="H121" s="2354"/>
      <c r="I121" s="2354"/>
      <c r="J121" s="1442"/>
      <c r="K121" s="2397"/>
      <c r="L121" s="1442"/>
      <c r="M121" s="1442"/>
      <c r="N121" s="1443"/>
      <c r="O121" s="1442"/>
      <c r="P121" s="2398"/>
      <c r="Q121" s="2354"/>
      <c r="R121" s="2354"/>
      <c r="S121" s="2354"/>
      <c r="T121" s="2398"/>
      <c r="U121" s="2398"/>
      <c r="V121" s="2357"/>
      <c r="W121" s="1444"/>
      <c r="X121" s="1443"/>
      <c r="Y121" s="1443"/>
      <c r="Z121" s="1443"/>
      <c r="AA121" s="1443"/>
      <c r="AB121" s="1443"/>
      <c r="AC121" s="1443"/>
      <c r="AD121" s="1443"/>
      <c r="AE121" s="1443"/>
      <c r="AF121" s="1443"/>
      <c r="AG121" s="1443"/>
      <c r="AH121" s="1443"/>
      <c r="AI121" s="1443"/>
      <c r="AJ121" s="1443"/>
      <c r="AK121" s="1443"/>
      <c r="AL121" s="1443"/>
      <c r="AM121" s="1443"/>
      <c r="AN121" s="1443"/>
      <c r="AO121" s="1443"/>
      <c r="AP121" s="1443"/>
      <c r="AQ121" s="1443"/>
      <c r="AR121" s="1443"/>
      <c r="AS121" s="1443"/>
      <c r="AT121" s="1443"/>
      <c r="AU121" s="1443"/>
      <c r="AV121" s="1443"/>
      <c r="AW121" s="1443"/>
      <c r="AX121" s="1443"/>
      <c r="AY121" s="1443"/>
      <c r="AZ121" s="1443"/>
      <c r="BA121" s="1443"/>
      <c r="BB121" s="1443"/>
      <c r="BC121" s="1443"/>
      <c r="BD121" s="1443"/>
      <c r="BE121" s="1442"/>
      <c r="BF121" s="2398"/>
      <c r="BG121" s="2398"/>
      <c r="BH121" s="1442"/>
      <c r="BI121" s="1442"/>
      <c r="BJ121" s="1442"/>
      <c r="BK121" s="1442"/>
      <c r="BL121" s="1442"/>
      <c r="BM121" s="1442"/>
      <c r="BN121" s="1442"/>
      <c r="BO121" s="2358"/>
    </row>
    <row r="122" spans="1:67" ht="15" x14ac:dyDescent="0.2">
      <c r="A122" s="2325"/>
      <c r="B122" s="2326"/>
      <c r="C122" s="4781"/>
      <c r="D122" s="4782"/>
      <c r="E122" s="2336">
        <v>67</v>
      </c>
      <c r="F122" s="2420" t="s">
        <v>2319</v>
      </c>
      <c r="G122" s="2421"/>
      <c r="H122" s="2412"/>
      <c r="I122" s="2412"/>
      <c r="J122" s="2421"/>
      <c r="K122" s="2435"/>
      <c r="L122" s="2436"/>
      <c r="M122" s="2421"/>
      <c r="N122" s="2414"/>
      <c r="O122" s="2421"/>
      <c r="P122" s="2423"/>
      <c r="Q122" s="2412"/>
      <c r="R122" s="2412"/>
      <c r="S122" s="2412"/>
      <c r="T122" s="2437"/>
      <c r="U122" s="2437"/>
      <c r="V122" s="2438"/>
      <c r="W122" s="2439"/>
      <c r="X122" s="2440"/>
      <c r="Y122" s="2368"/>
      <c r="Z122" s="2368"/>
      <c r="AA122" s="2368"/>
      <c r="AB122" s="2368"/>
      <c r="AC122" s="2368"/>
      <c r="AD122" s="2368"/>
      <c r="AE122" s="2368"/>
      <c r="AF122" s="2368"/>
      <c r="AG122" s="2368"/>
      <c r="AH122" s="2368"/>
      <c r="AI122" s="2368"/>
      <c r="AJ122" s="2368"/>
      <c r="AK122" s="2368"/>
      <c r="AL122" s="2368"/>
      <c r="AM122" s="2368"/>
      <c r="AN122" s="2368"/>
      <c r="AO122" s="2368"/>
      <c r="AP122" s="2368"/>
      <c r="AQ122" s="2368"/>
      <c r="AR122" s="2368"/>
      <c r="AS122" s="2368"/>
      <c r="AT122" s="2368"/>
      <c r="AU122" s="2368"/>
      <c r="AV122" s="2368"/>
      <c r="AW122" s="2368"/>
      <c r="AX122" s="2368"/>
      <c r="AY122" s="2368"/>
      <c r="AZ122" s="2368"/>
      <c r="BA122" s="2368"/>
      <c r="BB122" s="2368"/>
      <c r="BC122" s="2368"/>
      <c r="BD122" s="2440"/>
      <c r="BE122" s="2421"/>
      <c r="BF122" s="2423"/>
      <c r="BG122" s="2423"/>
      <c r="BH122" s="2421"/>
      <c r="BI122" s="2421"/>
      <c r="BJ122" s="2421"/>
      <c r="BK122" s="2421"/>
      <c r="BL122" s="2421"/>
      <c r="BM122" s="2421"/>
      <c r="BN122" s="2421"/>
      <c r="BO122" s="2418"/>
    </row>
    <row r="123" spans="1:67" ht="57.75" customHeight="1" x14ac:dyDescent="0.2">
      <c r="A123" s="2325"/>
      <c r="B123" s="2326"/>
      <c r="C123" s="4781"/>
      <c r="D123" s="4782"/>
      <c r="E123" s="2370"/>
      <c r="F123" s="2371"/>
      <c r="G123" s="4785">
        <v>198</v>
      </c>
      <c r="H123" s="4888" t="s">
        <v>2320</v>
      </c>
      <c r="I123" s="4825" t="s">
        <v>2321</v>
      </c>
      <c r="J123" s="4990">
        <v>1</v>
      </c>
      <c r="K123" s="4998">
        <v>0.9</v>
      </c>
      <c r="L123" s="5000" t="s">
        <v>2322</v>
      </c>
      <c r="M123" s="5002" t="s">
        <v>2323</v>
      </c>
      <c r="N123" s="4837" t="s">
        <v>2324</v>
      </c>
      <c r="O123" s="5004">
        <f>SUM(T123:T129)/P123</f>
        <v>1.1019292128613386E-2</v>
      </c>
      <c r="P123" s="4868">
        <f>SUM(T123:T134)</f>
        <v>3977405943</v>
      </c>
      <c r="Q123" s="4837" t="s">
        <v>2325</v>
      </c>
      <c r="R123" s="3069" t="s">
        <v>2326</v>
      </c>
      <c r="S123" s="2441" t="s">
        <v>2327</v>
      </c>
      <c r="T123" s="374">
        <v>10000000</v>
      </c>
      <c r="U123" s="374">
        <v>8974066</v>
      </c>
      <c r="V123" s="2309">
        <v>5280634.891394211</v>
      </c>
      <c r="W123" s="2442">
        <v>20</v>
      </c>
      <c r="X123" s="2443" t="s">
        <v>124</v>
      </c>
      <c r="Y123" s="5007">
        <v>2500</v>
      </c>
      <c r="Z123" s="4828">
        <v>3911</v>
      </c>
      <c r="AA123" s="4828">
        <v>2000</v>
      </c>
      <c r="AB123" s="4828">
        <v>1676</v>
      </c>
      <c r="AC123" s="4828"/>
      <c r="AD123" s="2344"/>
      <c r="AE123" s="4828"/>
      <c r="AF123" s="2344"/>
      <c r="AG123" s="4828"/>
      <c r="AH123" s="2344"/>
      <c r="AI123" s="4828">
        <v>4500</v>
      </c>
      <c r="AJ123" s="4828">
        <v>5587</v>
      </c>
      <c r="AK123" s="4941"/>
      <c r="AL123" s="2404"/>
      <c r="AM123" s="4828"/>
      <c r="AN123" s="2344"/>
      <c r="AO123" s="4828"/>
      <c r="AP123" s="2346"/>
      <c r="AQ123" s="4942"/>
      <c r="AR123" s="2406"/>
      <c r="AS123" s="4942"/>
      <c r="AT123" s="2406"/>
      <c r="AU123" s="4942"/>
      <c r="AV123" s="2406"/>
      <c r="AW123" s="4942"/>
      <c r="AX123" s="2406"/>
      <c r="AY123" s="4942"/>
      <c r="AZ123" s="2406"/>
      <c r="BA123" s="4942"/>
      <c r="BB123" s="2406"/>
      <c r="BC123" s="4829">
        <f>SUM(AI123)</f>
        <v>4500</v>
      </c>
      <c r="BD123" s="4828">
        <f>+Z123+AB123</f>
        <v>5587</v>
      </c>
      <c r="BE123" s="4902">
        <v>8</v>
      </c>
      <c r="BF123" s="4868">
        <f>SUM(U123:U134)</f>
        <v>2000379933</v>
      </c>
      <c r="BG123" s="4868">
        <f>SUM(V123:V134)</f>
        <v>1972980734</v>
      </c>
      <c r="BH123" s="4911">
        <f>+BG123/BF123</f>
        <v>0.98630300247068114</v>
      </c>
      <c r="BI123" s="4902" t="s">
        <v>668</v>
      </c>
      <c r="BJ123" s="4908" t="s">
        <v>2196</v>
      </c>
      <c r="BK123" s="4844">
        <v>43467</v>
      </c>
      <c r="BL123" s="4845">
        <v>43467</v>
      </c>
      <c r="BM123" s="4844">
        <v>43809</v>
      </c>
      <c r="BN123" s="4845">
        <v>43809</v>
      </c>
      <c r="BO123" s="4825" t="s">
        <v>2105</v>
      </c>
    </row>
    <row r="124" spans="1:67" ht="68.25" customHeight="1" x14ac:dyDescent="0.2">
      <c r="A124" s="2325"/>
      <c r="B124" s="2326"/>
      <c r="C124" s="4781"/>
      <c r="D124" s="4782"/>
      <c r="E124" s="2359"/>
      <c r="F124" s="2360"/>
      <c r="G124" s="4786"/>
      <c r="H124" s="4837"/>
      <c r="I124" s="4826"/>
      <c r="J124" s="4991"/>
      <c r="K124" s="4999"/>
      <c r="L124" s="5001"/>
      <c r="M124" s="5002"/>
      <c r="N124" s="4837"/>
      <c r="O124" s="5005"/>
      <c r="P124" s="4869"/>
      <c r="Q124" s="4837"/>
      <c r="R124" s="3069"/>
      <c r="S124" s="2441" t="s">
        <v>2328</v>
      </c>
      <c r="T124" s="374">
        <v>10968198</v>
      </c>
      <c r="U124" s="374">
        <v>10968198</v>
      </c>
      <c r="V124" s="2309">
        <v>10103770.427305687</v>
      </c>
      <c r="W124" s="2442">
        <v>20</v>
      </c>
      <c r="X124" s="2443" t="s">
        <v>124</v>
      </c>
      <c r="Y124" s="5008"/>
      <c r="Z124" s="4829"/>
      <c r="AA124" s="4829"/>
      <c r="AB124" s="4829"/>
      <c r="AC124" s="4829"/>
      <c r="AD124" s="2346"/>
      <c r="AE124" s="4829"/>
      <c r="AF124" s="2346"/>
      <c r="AG124" s="4829"/>
      <c r="AH124" s="2346"/>
      <c r="AI124" s="4829"/>
      <c r="AJ124" s="4829"/>
      <c r="AK124" s="4942"/>
      <c r="AL124" s="2406"/>
      <c r="AM124" s="4829"/>
      <c r="AN124" s="2346"/>
      <c r="AO124" s="4829"/>
      <c r="AP124" s="2346"/>
      <c r="AQ124" s="4942"/>
      <c r="AR124" s="2406"/>
      <c r="AS124" s="4942"/>
      <c r="AT124" s="2406"/>
      <c r="AU124" s="4942"/>
      <c r="AV124" s="2406"/>
      <c r="AW124" s="4942"/>
      <c r="AX124" s="2406"/>
      <c r="AY124" s="4942"/>
      <c r="AZ124" s="2406"/>
      <c r="BA124" s="4942"/>
      <c r="BB124" s="2406"/>
      <c r="BC124" s="4829"/>
      <c r="BD124" s="4829"/>
      <c r="BE124" s="4903"/>
      <c r="BF124" s="4869"/>
      <c r="BG124" s="4869"/>
      <c r="BH124" s="4912"/>
      <c r="BI124" s="4903"/>
      <c r="BJ124" s="4909"/>
      <c r="BK124" s="4844"/>
      <c r="BL124" s="4846"/>
      <c r="BM124" s="4844"/>
      <c r="BN124" s="4846"/>
      <c r="BO124" s="4826"/>
    </row>
    <row r="125" spans="1:67" ht="71.25" x14ac:dyDescent="0.2">
      <c r="A125" s="2325"/>
      <c r="B125" s="2326"/>
      <c r="C125" s="4781"/>
      <c r="D125" s="4782"/>
      <c r="E125" s="2359"/>
      <c r="F125" s="2360"/>
      <c r="G125" s="4786"/>
      <c r="H125" s="4837"/>
      <c r="I125" s="4826"/>
      <c r="J125" s="4991"/>
      <c r="K125" s="4999"/>
      <c r="L125" s="5001"/>
      <c r="M125" s="5002"/>
      <c r="N125" s="4837"/>
      <c r="O125" s="5005"/>
      <c r="P125" s="4869"/>
      <c r="Q125" s="4837"/>
      <c r="R125" s="3069"/>
      <c r="S125" s="401" t="s">
        <v>2329</v>
      </c>
      <c r="T125" s="374">
        <v>500000</v>
      </c>
      <c r="U125" s="374">
        <v>500000</v>
      </c>
      <c r="V125" s="2309">
        <v>500000</v>
      </c>
      <c r="W125" s="2442">
        <v>20</v>
      </c>
      <c r="X125" s="2443" t="s">
        <v>124</v>
      </c>
      <c r="Y125" s="5008"/>
      <c r="Z125" s="4829"/>
      <c r="AA125" s="4829"/>
      <c r="AB125" s="4829"/>
      <c r="AC125" s="4829"/>
      <c r="AD125" s="2346"/>
      <c r="AE125" s="4829"/>
      <c r="AF125" s="2346"/>
      <c r="AG125" s="4829"/>
      <c r="AH125" s="2346"/>
      <c r="AI125" s="4829"/>
      <c r="AJ125" s="4829"/>
      <c r="AK125" s="4942"/>
      <c r="AL125" s="2406"/>
      <c r="AM125" s="4829"/>
      <c r="AN125" s="2346"/>
      <c r="AO125" s="4829"/>
      <c r="AP125" s="2346"/>
      <c r="AQ125" s="4942"/>
      <c r="AR125" s="2406"/>
      <c r="AS125" s="4942"/>
      <c r="AT125" s="2406"/>
      <c r="AU125" s="4942"/>
      <c r="AV125" s="2406"/>
      <c r="AW125" s="4942"/>
      <c r="AX125" s="2406"/>
      <c r="AY125" s="4942"/>
      <c r="AZ125" s="2406"/>
      <c r="BA125" s="4942"/>
      <c r="BB125" s="2406"/>
      <c r="BC125" s="4829"/>
      <c r="BD125" s="4829"/>
      <c r="BE125" s="4903"/>
      <c r="BF125" s="4869"/>
      <c r="BG125" s="4869"/>
      <c r="BH125" s="4912"/>
      <c r="BI125" s="4903"/>
      <c r="BJ125" s="4909"/>
      <c r="BK125" s="4844"/>
      <c r="BL125" s="4846"/>
      <c r="BM125" s="4844"/>
      <c r="BN125" s="4846"/>
      <c r="BO125" s="4826"/>
    </row>
    <row r="126" spans="1:67" ht="57" x14ac:dyDescent="0.2">
      <c r="A126" s="2325"/>
      <c r="B126" s="2326"/>
      <c r="C126" s="4781"/>
      <c r="D126" s="4782"/>
      <c r="E126" s="2359"/>
      <c r="F126" s="2360"/>
      <c r="G126" s="4786"/>
      <c r="H126" s="4837"/>
      <c r="I126" s="4826"/>
      <c r="J126" s="4991"/>
      <c r="K126" s="4999"/>
      <c r="L126" s="5001"/>
      <c r="M126" s="5002"/>
      <c r="N126" s="4837"/>
      <c r="O126" s="5005"/>
      <c r="P126" s="4869"/>
      <c r="Q126" s="4837"/>
      <c r="R126" s="3069"/>
      <c r="S126" s="401" t="s">
        <v>2330</v>
      </c>
      <c r="T126" s="374">
        <f>5940000+500000</f>
        <v>6440000</v>
      </c>
      <c r="U126" s="374">
        <v>6440000</v>
      </c>
      <c r="V126" s="2309">
        <v>6440000</v>
      </c>
      <c r="W126" s="2442">
        <v>20</v>
      </c>
      <c r="X126" s="2443" t="s">
        <v>124</v>
      </c>
      <c r="Y126" s="5008"/>
      <c r="Z126" s="4829"/>
      <c r="AA126" s="4829"/>
      <c r="AB126" s="4829"/>
      <c r="AC126" s="4829"/>
      <c r="AD126" s="2346"/>
      <c r="AE126" s="4829"/>
      <c r="AF126" s="2346"/>
      <c r="AG126" s="4829"/>
      <c r="AH126" s="2346"/>
      <c r="AI126" s="4829"/>
      <c r="AJ126" s="4829"/>
      <c r="AK126" s="4942"/>
      <c r="AL126" s="2406"/>
      <c r="AM126" s="4829"/>
      <c r="AN126" s="2346"/>
      <c r="AO126" s="4829"/>
      <c r="AP126" s="2346"/>
      <c r="AQ126" s="4942"/>
      <c r="AR126" s="2406"/>
      <c r="AS126" s="4942"/>
      <c r="AT126" s="2406"/>
      <c r="AU126" s="4942"/>
      <c r="AV126" s="2406"/>
      <c r="AW126" s="4942"/>
      <c r="AX126" s="2406"/>
      <c r="AY126" s="4942"/>
      <c r="AZ126" s="2406"/>
      <c r="BA126" s="4942"/>
      <c r="BB126" s="2406"/>
      <c r="BC126" s="4829"/>
      <c r="BD126" s="4829"/>
      <c r="BE126" s="4903"/>
      <c r="BF126" s="4869"/>
      <c r="BG126" s="4869"/>
      <c r="BH126" s="4912"/>
      <c r="BI126" s="4903"/>
      <c r="BJ126" s="4909"/>
      <c r="BK126" s="4844"/>
      <c r="BL126" s="4846"/>
      <c r="BM126" s="4844"/>
      <c r="BN126" s="4846"/>
      <c r="BO126" s="4826"/>
    </row>
    <row r="127" spans="1:67" ht="57" x14ac:dyDescent="0.2">
      <c r="A127" s="2325"/>
      <c r="B127" s="2326"/>
      <c r="C127" s="4781"/>
      <c r="D127" s="4782"/>
      <c r="E127" s="2359"/>
      <c r="F127" s="2360"/>
      <c r="G127" s="4786"/>
      <c r="H127" s="4837"/>
      <c r="I127" s="4826"/>
      <c r="J127" s="4991"/>
      <c r="K127" s="4999"/>
      <c r="L127" s="5001"/>
      <c r="M127" s="5002"/>
      <c r="N127" s="4837"/>
      <c r="O127" s="5005"/>
      <c r="P127" s="4869"/>
      <c r="Q127" s="4837"/>
      <c r="R127" s="3069"/>
      <c r="S127" s="401" t="s">
        <v>2331</v>
      </c>
      <c r="T127" s="374">
        <f>7920000-500000</f>
        <v>7420000</v>
      </c>
      <c r="U127" s="374">
        <v>7420000</v>
      </c>
      <c r="V127" s="2309">
        <v>6509074.9080371922</v>
      </c>
      <c r="W127" s="2442">
        <v>20</v>
      </c>
      <c r="X127" s="2443" t="s">
        <v>124</v>
      </c>
      <c r="Y127" s="5008"/>
      <c r="Z127" s="4829"/>
      <c r="AA127" s="4829"/>
      <c r="AB127" s="4829"/>
      <c r="AC127" s="4829"/>
      <c r="AD127" s="2346"/>
      <c r="AE127" s="4829"/>
      <c r="AF127" s="2346"/>
      <c r="AG127" s="4829"/>
      <c r="AH127" s="2346"/>
      <c r="AI127" s="4829"/>
      <c r="AJ127" s="4829"/>
      <c r="AK127" s="4942"/>
      <c r="AL127" s="2406"/>
      <c r="AM127" s="4829"/>
      <c r="AN127" s="2346"/>
      <c r="AO127" s="4829"/>
      <c r="AP127" s="2346"/>
      <c r="AQ127" s="4942"/>
      <c r="AR127" s="2406"/>
      <c r="AS127" s="4942"/>
      <c r="AT127" s="2406"/>
      <c r="AU127" s="4942"/>
      <c r="AV127" s="2406"/>
      <c r="AW127" s="4942"/>
      <c r="AX127" s="2406"/>
      <c r="AY127" s="4942"/>
      <c r="AZ127" s="2406"/>
      <c r="BA127" s="4942"/>
      <c r="BB127" s="2406"/>
      <c r="BC127" s="4829"/>
      <c r="BD127" s="4829"/>
      <c r="BE127" s="4903"/>
      <c r="BF127" s="4869"/>
      <c r="BG127" s="4869"/>
      <c r="BH127" s="4912"/>
      <c r="BI127" s="4903"/>
      <c r="BJ127" s="4909"/>
      <c r="BK127" s="4844"/>
      <c r="BL127" s="4846"/>
      <c r="BM127" s="4844"/>
      <c r="BN127" s="4846"/>
      <c r="BO127" s="4826"/>
    </row>
    <row r="128" spans="1:67" ht="41.25" customHeight="1" x14ac:dyDescent="0.2">
      <c r="A128" s="2325"/>
      <c r="B128" s="2326"/>
      <c r="C128" s="4781"/>
      <c r="D128" s="4782"/>
      <c r="E128" s="2359"/>
      <c r="F128" s="2360"/>
      <c r="G128" s="4786"/>
      <c r="H128" s="4837"/>
      <c r="I128" s="4826"/>
      <c r="J128" s="4991"/>
      <c r="K128" s="4999"/>
      <c r="L128" s="5001"/>
      <c r="M128" s="5002"/>
      <c r="N128" s="4837"/>
      <c r="O128" s="5005"/>
      <c r="P128" s="4869"/>
      <c r="Q128" s="4837"/>
      <c r="R128" s="3069"/>
      <c r="S128" s="2444" t="s">
        <v>2332</v>
      </c>
      <c r="T128" s="374">
        <v>5000000</v>
      </c>
      <c r="U128" s="374">
        <v>3500000</v>
      </c>
      <c r="V128" s="2309">
        <v>0</v>
      </c>
      <c r="W128" s="2442">
        <v>20</v>
      </c>
      <c r="X128" s="2443" t="s">
        <v>124</v>
      </c>
      <c r="Y128" s="5008"/>
      <c r="Z128" s="4829"/>
      <c r="AA128" s="4829"/>
      <c r="AB128" s="4829"/>
      <c r="AC128" s="4829"/>
      <c r="AD128" s="2346"/>
      <c r="AE128" s="4829"/>
      <c r="AF128" s="2346"/>
      <c r="AG128" s="4829"/>
      <c r="AH128" s="2346"/>
      <c r="AI128" s="4829"/>
      <c r="AJ128" s="4829"/>
      <c r="AK128" s="4942"/>
      <c r="AL128" s="2406"/>
      <c r="AM128" s="4829"/>
      <c r="AN128" s="2346"/>
      <c r="AO128" s="4829"/>
      <c r="AP128" s="2346"/>
      <c r="AQ128" s="4942"/>
      <c r="AR128" s="2406"/>
      <c r="AS128" s="4942"/>
      <c r="AT128" s="2406"/>
      <c r="AU128" s="4942"/>
      <c r="AV128" s="2406"/>
      <c r="AW128" s="4942"/>
      <c r="AX128" s="2406"/>
      <c r="AY128" s="4942"/>
      <c r="AZ128" s="2406"/>
      <c r="BA128" s="4942"/>
      <c r="BB128" s="2406"/>
      <c r="BC128" s="4829"/>
      <c r="BD128" s="4829"/>
      <c r="BE128" s="4903"/>
      <c r="BF128" s="4869"/>
      <c r="BG128" s="4869"/>
      <c r="BH128" s="4912"/>
      <c r="BI128" s="4903"/>
      <c r="BJ128" s="4909"/>
      <c r="BK128" s="4844"/>
      <c r="BL128" s="4846"/>
      <c r="BM128" s="4844"/>
      <c r="BN128" s="4846"/>
      <c r="BO128" s="4826"/>
    </row>
    <row r="129" spans="1:67" ht="57" customHeight="1" x14ac:dyDescent="0.2">
      <c r="A129" s="2325"/>
      <c r="B129" s="2326"/>
      <c r="C129" s="4781"/>
      <c r="D129" s="4782"/>
      <c r="E129" s="2359"/>
      <c r="F129" s="2360"/>
      <c r="G129" s="4786"/>
      <c r="H129" s="4837"/>
      <c r="I129" s="4826"/>
      <c r="J129" s="4991"/>
      <c r="K129" s="4999"/>
      <c r="L129" s="5001"/>
      <c r="M129" s="5002"/>
      <c r="N129" s="4837"/>
      <c r="O129" s="5005"/>
      <c r="P129" s="4869"/>
      <c r="Q129" s="4837"/>
      <c r="R129" s="3069"/>
      <c r="S129" s="2444" t="s">
        <v>2333</v>
      </c>
      <c r="T129" s="374">
        <v>3500000</v>
      </c>
      <c r="U129" s="374">
        <v>1500000</v>
      </c>
      <c r="V129" s="2309">
        <v>1104000</v>
      </c>
      <c r="W129" s="2442">
        <v>20</v>
      </c>
      <c r="X129" s="2443" t="s">
        <v>124</v>
      </c>
      <c r="Y129" s="5008"/>
      <c r="Z129" s="4829"/>
      <c r="AA129" s="4829"/>
      <c r="AB129" s="4829"/>
      <c r="AC129" s="4829"/>
      <c r="AD129" s="2346"/>
      <c r="AE129" s="4829"/>
      <c r="AF129" s="2346"/>
      <c r="AG129" s="4829"/>
      <c r="AH129" s="2346"/>
      <c r="AI129" s="4829"/>
      <c r="AJ129" s="4829"/>
      <c r="AK129" s="4942"/>
      <c r="AL129" s="2406"/>
      <c r="AM129" s="4829"/>
      <c r="AN129" s="2346"/>
      <c r="AO129" s="4829"/>
      <c r="AP129" s="2346"/>
      <c r="AQ129" s="4942"/>
      <c r="AR129" s="2406"/>
      <c r="AS129" s="4942"/>
      <c r="AT129" s="2406"/>
      <c r="AU129" s="4942"/>
      <c r="AV129" s="2406"/>
      <c r="AW129" s="4942"/>
      <c r="AX129" s="2406"/>
      <c r="AY129" s="4942"/>
      <c r="AZ129" s="2406"/>
      <c r="BA129" s="4942"/>
      <c r="BB129" s="2406"/>
      <c r="BC129" s="4829"/>
      <c r="BD129" s="4829"/>
      <c r="BE129" s="4903"/>
      <c r="BF129" s="4869"/>
      <c r="BG129" s="4869"/>
      <c r="BH129" s="4912"/>
      <c r="BI129" s="4903"/>
      <c r="BJ129" s="4909"/>
      <c r="BK129" s="4844"/>
      <c r="BL129" s="4846"/>
      <c r="BM129" s="4844"/>
      <c r="BN129" s="4846"/>
      <c r="BO129" s="4826"/>
    </row>
    <row r="130" spans="1:67" ht="72.75" customHeight="1" x14ac:dyDescent="0.2">
      <c r="A130" s="2325"/>
      <c r="B130" s="2326"/>
      <c r="C130" s="4781"/>
      <c r="D130" s="4782"/>
      <c r="E130" s="2359"/>
      <c r="F130" s="2360"/>
      <c r="G130" s="2445">
        <v>199</v>
      </c>
      <c r="H130" s="2446" t="s">
        <v>2334</v>
      </c>
      <c r="I130" s="2447" t="s">
        <v>2335</v>
      </c>
      <c r="J130" s="2448">
        <v>4</v>
      </c>
      <c r="K130" s="2449">
        <v>3.5</v>
      </c>
      <c r="L130" s="2450" t="s">
        <v>2336</v>
      </c>
      <c r="M130" s="5002"/>
      <c r="N130" s="4837"/>
      <c r="O130" s="2451">
        <f>+T130/P123</f>
        <v>1.0056806012068655E-2</v>
      </c>
      <c r="P130" s="4869"/>
      <c r="Q130" s="4837"/>
      <c r="R130" s="3069"/>
      <c r="S130" s="2452" t="s">
        <v>2337</v>
      </c>
      <c r="T130" s="2142">
        <v>40000000</v>
      </c>
      <c r="U130" s="2142">
        <v>39250000</v>
      </c>
      <c r="V130" s="2309">
        <v>21215584.773262911</v>
      </c>
      <c r="W130" s="2442">
        <v>20</v>
      </c>
      <c r="X130" s="2443" t="s">
        <v>124</v>
      </c>
      <c r="Y130" s="5008"/>
      <c r="Z130" s="4829"/>
      <c r="AA130" s="4829"/>
      <c r="AB130" s="4829"/>
      <c r="AC130" s="4829"/>
      <c r="AD130" s="2346"/>
      <c r="AE130" s="4829"/>
      <c r="AF130" s="2346"/>
      <c r="AG130" s="4829"/>
      <c r="AH130" s="2346"/>
      <c r="AI130" s="4829"/>
      <c r="AJ130" s="4829"/>
      <c r="AK130" s="4942"/>
      <c r="AL130" s="2406"/>
      <c r="AM130" s="4829"/>
      <c r="AN130" s="2346"/>
      <c r="AO130" s="4829"/>
      <c r="AP130" s="2346"/>
      <c r="AQ130" s="4942"/>
      <c r="AR130" s="2406"/>
      <c r="AS130" s="4942"/>
      <c r="AT130" s="2406"/>
      <c r="AU130" s="4942"/>
      <c r="AV130" s="2406"/>
      <c r="AW130" s="4942"/>
      <c r="AX130" s="2406"/>
      <c r="AY130" s="4942"/>
      <c r="AZ130" s="2406"/>
      <c r="BA130" s="4942"/>
      <c r="BB130" s="2406"/>
      <c r="BC130" s="4829"/>
      <c r="BD130" s="4829"/>
      <c r="BE130" s="4903"/>
      <c r="BF130" s="4869"/>
      <c r="BG130" s="4869"/>
      <c r="BH130" s="4912"/>
      <c r="BI130" s="4903"/>
      <c r="BJ130" s="4909"/>
      <c r="BK130" s="4844"/>
      <c r="BL130" s="4846"/>
      <c r="BM130" s="4844"/>
      <c r="BN130" s="4846"/>
      <c r="BO130" s="4826"/>
    </row>
    <row r="131" spans="1:67" ht="28.5" customHeight="1" x14ac:dyDescent="0.2">
      <c r="A131" s="2325"/>
      <c r="B131" s="2326"/>
      <c r="C131" s="4781"/>
      <c r="D131" s="4782"/>
      <c r="E131" s="2359"/>
      <c r="F131" s="2360"/>
      <c r="G131" s="4785">
        <v>200</v>
      </c>
      <c r="H131" s="5012" t="s">
        <v>2338</v>
      </c>
      <c r="I131" s="5014" t="s">
        <v>2339</v>
      </c>
      <c r="J131" s="5015">
        <v>12</v>
      </c>
      <c r="K131" s="5016">
        <v>12</v>
      </c>
      <c r="L131" s="5018" t="s">
        <v>2340</v>
      </c>
      <c r="M131" s="5002"/>
      <c r="N131" s="4837"/>
      <c r="O131" s="5004">
        <f>+SUM(T131:T132)/P123</f>
        <v>0.29367717068350546</v>
      </c>
      <c r="P131" s="4869"/>
      <c r="Q131" s="4837"/>
      <c r="R131" s="4825" t="s">
        <v>2341</v>
      </c>
      <c r="S131" s="5010" t="s">
        <v>2342</v>
      </c>
      <c r="T131" s="2453">
        <v>1111986335</v>
      </c>
      <c r="U131" s="2142">
        <v>723131520</v>
      </c>
      <c r="V131" s="2142">
        <v>723131520</v>
      </c>
      <c r="W131" s="2454">
        <v>6</v>
      </c>
      <c r="X131" s="2407" t="s">
        <v>2343</v>
      </c>
      <c r="Y131" s="5008"/>
      <c r="Z131" s="4829"/>
      <c r="AA131" s="4829"/>
      <c r="AB131" s="4829"/>
      <c r="AC131" s="4829"/>
      <c r="AD131" s="2346"/>
      <c r="AE131" s="4829"/>
      <c r="AF131" s="2346"/>
      <c r="AG131" s="4829"/>
      <c r="AH131" s="2346"/>
      <c r="AI131" s="4829"/>
      <c r="AJ131" s="4829"/>
      <c r="AK131" s="4942"/>
      <c r="AL131" s="2406"/>
      <c r="AM131" s="4829"/>
      <c r="AN131" s="2346"/>
      <c r="AO131" s="4829"/>
      <c r="AP131" s="2346"/>
      <c r="AQ131" s="4942"/>
      <c r="AR131" s="2406"/>
      <c r="AS131" s="4942"/>
      <c r="AT131" s="2406"/>
      <c r="AU131" s="4942"/>
      <c r="AV131" s="2406"/>
      <c r="AW131" s="4942"/>
      <c r="AX131" s="2406"/>
      <c r="AY131" s="4942"/>
      <c r="AZ131" s="2406"/>
      <c r="BA131" s="4942"/>
      <c r="BB131" s="2406"/>
      <c r="BC131" s="4829"/>
      <c r="BD131" s="4829"/>
      <c r="BE131" s="4903"/>
      <c r="BF131" s="4869"/>
      <c r="BG131" s="4869"/>
      <c r="BH131" s="4912"/>
      <c r="BI131" s="4903"/>
      <c r="BJ131" s="4909"/>
      <c r="BK131" s="4844"/>
      <c r="BL131" s="4846"/>
      <c r="BM131" s="4844"/>
      <c r="BN131" s="4846"/>
      <c r="BO131" s="4826"/>
    </row>
    <row r="132" spans="1:67" ht="27.75" customHeight="1" x14ac:dyDescent="0.2">
      <c r="A132" s="2325"/>
      <c r="B132" s="2326"/>
      <c r="C132" s="4781"/>
      <c r="D132" s="4782"/>
      <c r="E132" s="2359"/>
      <c r="F132" s="2360"/>
      <c r="G132" s="4787"/>
      <c r="H132" s="5013"/>
      <c r="I132" s="5014"/>
      <c r="J132" s="5015"/>
      <c r="K132" s="5017"/>
      <c r="L132" s="5018"/>
      <c r="M132" s="5002"/>
      <c r="N132" s="4837"/>
      <c r="O132" s="5020"/>
      <c r="P132" s="4869"/>
      <c r="Q132" s="4837"/>
      <c r="R132" s="4826"/>
      <c r="S132" s="5011"/>
      <c r="T132" s="2455">
        <f>0+56086989</f>
        <v>56086989</v>
      </c>
      <c r="U132" s="2142">
        <f>T132</f>
        <v>56086989</v>
      </c>
      <c r="V132" s="2142">
        <f>U132</f>
        <v>56086989</v>
      </c>
      <c r="W132" s="2456">
        <v>84</v>
      </c>
      <c r="X132" s="2457" t="s">
        <v>2344</v>
      </c>
      <c r="Y132" s="5008"/>
      <c r="Z132" s="4829"/>
      <c r="AA132" s="4829"/>
      <c r="AB132" s="4829"/>
      <c r="AC132" s="4829"/>
      <c r="AD132" s="2346"/>
      <c r="AE132" s="4829"/>
      <c r="AF132" s="2346"/>
      <c r="AG132" s="4829"/>
      <c r="AH132" s="2346"/>
      <c r="AI132" s="4829"/>
      <c r="AJ132" s="4829"/>
      <c r="AK132" s="4942"/>
      <c r="AL132" s="2406"/>
      <c r="AM132" s="4829"/>
      <c r="AN132" s="2346"/>
      <c r="AO132" s="4829"/>
      <c r="AP132" s="2346"/>
      <c r="AQ132" s="4942"/>
      <c r="AR132" s="2406"/>
      <c r="AS132" s="4942"/>
      <c r="AT132" s="2406"/>
      <c r="AU132" s="4942"/>
      <c r="AV132" s="2406"/>
      <c r="AW132" s="4942"/>
      <c r="AX132" s="2406"/>
      <c r="AY132" s="4942"/>
      <c r="AZ132" s="2406"/>
      <c r="BA132" s="4942"/>
      <c r="BB132" s="2406"/>
      <c r="BC132" s="4829"/>
      <c r="BD132" s="4829"/>
      <c r="BE132" s="4903"/>
      <c r="BF132" s="4869"/>
      <c r="BG132" s="4869"/>
      <c r="BH132" s="4912"/>
      <c r="BI132" s="4903"/>
      <c r="BJ132" s="4909"/>
      <c r="BK132" s="4844"/>
      <c r="BL132" s="4846"/>
      <c r="BM132" s="4844"/>
      <c r="BN132" s="4846"/>
      <c r="BO132" s="4826"/>
    </row>
    <row r="133" spans="1:67" ht="31.5" customHeight="1" x14ac:dyDescent="0.2">
      <c r="A133" s="2325"/>
      <c r="B133" s="2326"/>
      <c r="C133" s="4781"/>
      <c r="D133" s="4782"/>
      <c r="E133" s="2359"/>
      <c r="F133" s="2360"/>
      <c r="G133" s="4785">
        <v>201</v>
      </c>
      <c r="H133" s="4231" t="s">
        <v>2345</v>
      </c>
      <c r="I133" s="4199" t="s">
        <v>2346</v>
      </c>
      <c r="J133" s="4781">
        <v>14</v>
      </c>
      <c r="K133" s="5025">
        <v>14</v>
      </c>
      <c r="L133" s="5019"/>
      <c r="M133" s="5002"/>
      <c r="N133" s="4837"/>
      <c r="O133" s="5004">
        <f>+SUM(T133:T134)/P123</f>
        <v>0.68524673117581247</v>
      </c>
      <c r="P133" s="4869"/>
      <c r="Q133" s="4837"/>
      <c r="R133" s="4826"/>
      <c r="S133" s="5010" t="s">
        <v>2347</v>
      </c>
      <c r="T133" s="2453">
        <v>2594634781</v>
      </c>
      <c r="U133" s="2142">
        <v>1011739520</v>
      </c>
      <c r="V133" s="2142">
        <v>1011739520</v>
      </c>
      <c r="W133" s="2454">
        <v>6</v>
      </c>
      <c r="X133" s="2458" t="s">
        <v>2343</v>
      </c>
      <c r="Y133" s="5008"/>
      <c r="Z133" s="4829"/>
      <c r="AA133" s="4829"/>
      <c r="AB133" s="4829"/>
      <c r="AC133" s="4829"/>
      <c r="AD133" s="2346"/>
      <c r="AE133" s="4829"/>
      <c r="AF133" s="2346"/>
      <c r="AG133" s="4829"/>
      <c r="AH133" s="2346"/>
      <c r="AI133" s="4829"/>
      <c r="AJ133" s="4829"/>
      <c r="AK133" s="4942"/>
      <c r="AL133" s="2406"/>
      <c r="AM133" s="4829"/>
      <c r="AN133" s="2346"/>
      <c r="AO133" s="4829"/>
      <c r="AP133" s="2346"/>
      <c r="AQ133" s="4942"/>
      <c r="AR133" s="2406"/>
      <c r="AS133" s="4942"/>
      <c r="AT133" s="2406"/>
      <c r="AU133" s="4942"/>
      <c r="AV133" s="2406"/>
      <c r="AW133" s="4942"/>
      <c r="AX133" s="2406"/>
      <c r="AY133" s="4942"/>
      <c r="AZ133" s="2406"/>
      <c r="BA133" s="4942"/>
      <c r="BB133" s="2406"/>
      <c r="BC133" s="4829"/>
      <c r="BD133" s="4829"/>
      <c r="BE133" s="4903"/>
      <c r="BF133" s="4869"/>
      <c r="BG133" s="4869"/>
      <c r="BH133" s="4912"/>
      <c r="BI133" s="4903"/>
      <c r="BJ133" s="4909"/>
      <c r="BK133" s="4844"/>
      <c r="BL133" s="4846"/>
      <c r="BM133" s="4844"/>
      <c r="BN133" s="4846"/>
      <c r="BO133" s="4826"/>
    </row>
    <row r="134" spans="1:67" ht="27" customHeight="1" x14ac:dyDescent="0.2">
      <c r="A134" s="2459"/>
      <c r="B134" s="2349"/>
      <c r="C134" s="4783"/>
      <c r="D134" s="4784"/>
      <c r="E134" s="2408"/>
      <c r="F134" s="2432"/>
      <c r="G134" s="4787"/>
      <c r="H134" s="4233"/>
      <c r="I134" s="4200"/>
      <c r="J134" s="4783"/>
      <c r="K134" s="5025"/>
      <c r="L134" s="5019"/>
      <c r="M134" s="5003"/>
      <c r="N134" s="4889"/>
      <c r="O134" s="5020"/>
      <c r="P134" s="4870"/>
      <c r="Q134" s="4889"/>
      <c r="R134" s="4827"/>
      <c r="S134" s="5011"/>
      <c r="T134" s="2453">
        <f>0+130869640</f>
        <v>130869640</v>
      </c>
      <c r="U134" s="2142">
        <f>T134</f>
        <v>130869640</v>
      </c>
      <c r="V134" s="2142">
        <f>U134</f>
        <v>130869640</v>
      </c>
      <c r="W134" s="2460">
        <v>84</v>
      </c>
      <c r="X134" s="2443" t="s">
        <v>2344</v>
      </c>
      <c r="Y134" s="5009"/>
      <c r="Z134" s="4830"/>
      <c r="AA134" s="4830"/>
      <c r="AB134" s="4830"/>
      <c r="AC134" s="4830"/>
      <c r="AD134" s="2351"/>
      <c r="AE134" s="4830"/>
      <c r="AF134" s="2351"/>
      <c r="AG134" s="4830"/>
      <c r="AH134" s="2351"/>
      <c r="AI134" s="4830"/>
      <c r="AJ134" s="4830"/>
      <c r="AK134" s="4966"/>
      <c r="AL134" s="2461"/>
      <c r="AM134" s="4830"/>
      <c r="AN134" s="2351"/>
      <c r="AO134" s="4830"/>
      <c r="AP134" s="2351"/>
      <c r="AQ134" s="4966"/>
      <c r="AR134" s="2461"/>
      <c r="AS134" s="4966"/>
      <c r="AT134" s="2461"/>
      <c r="AU134" s="4966"/>
      <c r="AV134" s="2461"/>
      <c r="AW134" s="4966"/>
      <c r="AX134" s="2461"/>
      <c r="AY134" s="4966"/>
      <c r="AZ134" s="2461"/>
      <c r="BA134" s="4966"/>
      <c r="BB134" s="2461"/>
      <c r="BC134" s="4830"/>
      <c r="BD134" s="4830"/>
      <c r="BE134" s="4904"/>
      <c r="BF134" s="4870"/>
      <c r="BG134" s="4870"/>
      <c r="BH134" s="4913"/>
      <c r="BI134" s="4904"/>
      <c r="BJ134" s="4910"/>
      <c r="BK134" s="4844"/>
      <c r="BL134" s="4843"/>
      <c r="BM134" s="4844"/>
      <c r="BN134" s="4843"/>
      <c r="BO134" s="4827"/>
    </row>
    <row r="135" spans="1:67" s="1486" customFormat="1" ht="35.25" customHeight="1" x14ac:dyDescent="0.25">
      <c r="A135" s="5021" t="s">
        <v>642</v>
      </c>
      <c r="B135" s="5021"/>
      <c r="C135" s="5021"/>
      <c r="D135" s="5021"/>
      <c r="E135" s="5021"/>
      <c r="F135" s="5021"/>
      <c r="G135" s="5021"/>
      <c r="H135" s="5021"/>
      <c r="I135" s="5021"/>
      <c r="J135" s="5021"/>
      <c r="K135" s="5022"/>
      <c r="L135" s="5022"/>
      <c r="M135" s="5021"/>
      <c r="N135" s="5021"/>
      <c r="O135" s="5021"/>
      <c r="P135" s="2860">
        <f>SUM(P13:P134)</f>
        <v>6657165943</v>
      </c>
      <c r="Q135" s="2462"/>
      <c r="R135" s="2463"/>
      <c r="S135" s="2463"/>
      <c r="T135" s="2464">
        <f>SUM(T13:T134)</f>
        <v>6657165943</v>
      </c>
      <c r="U135" s="2464">
        <f>SUM(U13:U134)</f>
        <v>3646577694</v>
      </c>
      <c r="V135" s="2464">
        <f>SUM(V13:V134)</f>
        <v>2922927592</v>
      </c>
      <c r="W135" s="2465"/>
      <c r="X135" s="2466"/>
      <c r="Y135" s="2467"/>
      <c r="Z135" s="2467"/>
      <c r="AA135" s="2467"/>
      <c r="AB135" s="2467"/>
      <c r="AC135" s="2467"/>
      <c r="AD135" s="2467"/>
      <c r="AE135" s="2467"/>
      <c r="AF135" s="2467"/>
      <c r="AG135" s="2467"/>
      <c r="AH135" s="2467"/>
      <c r="AI135" s="2467"/>
      <c r="AJ135" s="2467"/>
      <c r="AK135" s="2467"/>
      <c r="AL135" s="2467"/>
      <c r="AM135" s="2467"/>
      <c r="AN135" s="2467"/>
      <c r="AO135" s="2467"/>
      <c r="AP135" s="2467"/>
      <c r="AQ135" s="2467"/>
      <c r="AR135" s="2467"/>
      <c r="AS135" s="2467"/>
      <c r="AT135" s="2467"/>
      <c r="AU135" s="2467"/>
      <c r="AV135" s="2467"/>
      <c r="AW135" s="2467"/>
      <c r="AX135" s="2467"/>
      <c r="AY135" s="2467"/>
      <c r="AZ135" s="2467"/>
      <c r="BA135" s="2467"/>
      <c r="BB135" s="2467"/>
      <c r="BC135" s="2467"/>
      <c r="BD135" s="2468"/>
      <c r="BE135" s="2468"/>
      <c r="BF135" s="2464">
        <f>SUM(BF13:BF134)</f>
        <v>3646577694</v>
      </c>
      <c r="BG135" s="2464">
        <f>SUM(BG13:BG134)</f>
        <v>2922927592</v>
      </c>
      <c r="BH135" s="2468"/>
      <c r="BI135" s="2468"/>
      <c r="BJ135" s="2468"/>
      <c r="BK135" s="2468"/>
      <c r="BL135" s="2468"/>
      <c r="BM135" s="2468"/>
      <c r="BN135" s="2468"/>
      <c r="BO135" s="2463"/>
    </row>
    <row r="136" spans="1:67" ht="15" x14ac:dyDescent="0.25">
      <c r="A136" s="2315"/>
      <c r="B136" s="2315"/>
      <c r="C136" s="2315"/>
      <c r="D136" s="2315"/>
      <c r="E136" s="2315"/>
      <c r="F136" s="2469"/>
      <c r="G136" s="2470"/>
      <c r="H136" s="2471"/>
      <c r="I136" s="2472"/>
      <c r="J136" s="2315"/>
      <c r="K136" s="2315"/>
      <c r="L136" s="2315"/>
      <c r="M136" s="2315"/>
      <c r="N136" s="2472"/>
      <c r="O136" s="2315"/>
      <c r="P136" s="2861"/>
      <c r="Q136" s="2471"/>
      <c r="R136" s="2473"/>
      <c r="S136" s="2473"/>
      <c r="T136" s="2474"/>
      <c r="U136" s="2474"/>
      <c r="V136" s="2474"/>
      <c r="W136" s="2469"/>
      <c r="X136" s="2475"/>
      <c r="Y136" s="2315"/>
      <c r="Z136" s="2315"/>
      <c r="AA136" s="2315"/>
      <c r="AB136" s="2315"/>
      <c r="AC136" s="2315"/>
      <c r="AD136" s="2315"/>
      <c r="AE136" s="2315"/>
      <c r="AF136" s="2315"/>
      <c r="AG136" s="2315"/>
      <c r="AH136" s="2315"/>
      <c r="AI136" s="2315"/>
      <c r="AJ136" s="2315"/>
      <c r="AK136" s="2315"/>
      <c r="AL136" s="2315"/>
      <c r="AM136" s="2315"/>
      <c r="AN136" s="2315"/>
      <c r="AO136" s="2315"/>
      <c r="AP136" s="2315"/>
      <c r="AQ136" s="2315"/>
      <c r="AR136" s="2315"/>
      <c r="AS136" s="2315"/>
      <c r="AT136" s="2315"/>
      <c r="AU136" s="2315"/>
      <c r="AV136" s="2315"/>
      <c r="AW136" s="2315"/>
      <c r="AX136" s="2315"/>
      <c r="AY136" s="2315"/>
      <c r="AZ136" s="2315"/>
      <c r="BA136" s="2315"/>
      <c r="BB136" s="2315"/>
      <c r="BO136" s="2473"/>
    </row>
    <row r="137" spans="1:67" ht="69.75" customHeight="1" x14ac:dyDescent="0.25">
      <c r="A137" s="2315"/>
      <c r="B137" s="2315"/>
      <c r="C137" s="2315"/>
      <c r="D137" s="2871"/>
      <c r="E137" s="2871"/>
      <c r="F137" s="2871"/>
      <c r="G137" s="2871"/>
      <c r="H137" s="2871"/>
      <c r="I137" s="2871"/>
      <c r="J137" s="2871"/>
      <c r="K137" s="2315"/>
      <c r="L137" s="2315"/>
      <c r="M137" s="2315"/>
      <c r="N137" s="2472"/>
      <c r="O137" s="2315"/>
      <c r="P137" s="2861"/>
      <c r="Q137" s="2471"/>
      <c r="R137" s="2473"/>
      <c r="S137" s="2473"/>
      <c r="T137" s="2474"/>
      <c r="U137" s="2474"/>
      <c r="V137" s="2474"/>
      <c r="W137" s="2469"/>
      <c r="X137" s="2475"/>
      <c r="Y137" s="2315"/>
      <c r="Z137" s="2315"/>
      <c r="AA137" s="2315"/>
      <c r="AB137" s="2315"/>
      <c r="AC137" s="2315"/>
      <c r="AD137" s="2315"/>
      <c r="AE137" s="2315"/>
      <c r="AF137" s="2315"/>
      <c r="AG137" s="2315"/>
      <c r="AH137" s="2315"/>
      <c r="AI137" s="2315"/>
      <c r="AJ137" s="2315"/>
      <c r="AK137" s="2315"/>
      <c r="AL137" s="2315"/>
      <c r="AM137" s="2315"/>
      <c r="AN137" s="2315"/>
      <c r="AO137" s="2315"/>
      <c r="AP137" s="2315"/>
      <c r="AQ137" s="2315"/>
      <c r="AR137" s="2315"/>
      <c r="AS137" s="2315"/>
      <c r="AT137" s="2315"/>
      <c r="AU137" s="2315"/>
      <c r="AV137" s="2315"/>
      <c r="AW137" s="2315"/>
      <c r="AX137" s="2315"/>
      <c r="AY137" s="2315"/>
      <c r="AZ137" s="2315"/>
      <c r="BA137" s="2315"/>
      <c r="BB137" s="2315"/>
      <c r="BO137" s="2473"/>
    </row>
    <row r="138" spans="1:67" ht="15" x14ac:dyDescent="0.25">
      <c r="A138" s="2315"/>
      <c r="B138" s="2315"/>
      <c r="C138" s="2315"/>
      <c r="D138" s="2315"/>
      <c r="E138" s="2315"/>
      <c r="F138" s="2469"/>
      <c r="G138" s="2470"/>
      <c r="H138" s="2471"/>
      <c r="I138" s="2472"/>
      <c r="J138" s="2315"/>
      <c r="K138" s="2315"/>
      <c r="L138" s="2315"/>
      <c r="M138" s="2315"/>
      <c r="N138" s="2472"/>
      <c r="O138" s="2315"/>
      <c r="P138" s="2861"/>
      <c r="Q138" s="2471"/>
      <c r="R138" s="2473"/>
      <c r="S138" s="2473"/>
      <c r="T138" s="2474"/>
      <c r="U138" s="2474"/>
      <c r="V138" s="2474"/>
      <c r="W138" s="2469"/>
      <c r="X138" s="2475"/>
      <c r="Y138" s="2315"/>
      <c r="Z138" s="2315"/>
      <c r="AA138" s="2315"/>
      <c r="AB138" s="2315"/>
      <c r="AC138" s="2315"/>
      <c r="AD138" s="2315"/>
      <c r="AE138" s="2315"/>
      <c r="AF138" s="2315"/>
      <c r="AG138" s="2315"/>
      <c r="AH138" s="2315"/>
      <c r="AI138" s="2315"/>
      <c r="AJ138" s="2315"/>
      <c r="AK138" s="2315"/>
      <c r="AL138" s="2315"/>
      <c r="AM138" s="2315"/>
      <c r="AN138" s="2315"/>
      <c r="AO138" s="2315"/>
      <c r="AP138" s="2315"/>
      <c r="AQ138" s="2315"/>
      <c r="AR138" s="2315"/>
      <c r="AS138" s="2315"/>
      <c r="AT138" s="2315"/>
      <c r="AU138" s="2315"/>
      <c r="AV138" s="2315"/>
      <c r="AW138" s="2315"/>
      <c r="AX138" s="2315"/>
      <c r="AY138" s="2315"/>
      <c r="AZ138" s="2315"/>
      <c r="BA138" s="2315"/>
      <c r="BB138" s="2315"/>
      <c r="BO138" s="2473"/>
    </row>
    <row r="139" spans="1:67" ht="15" x14ac:dyDescent="0.25">
      <c r="A139" s="2315"/>
      <c r="B139" s="2315"/>
      <c r="C139" s="2315"/>
      <c r="D139" s="2315"/>
      <c r="E139" s="2315"/>
      <c r="F139" s="2469"/>
      <c r="G139" s="2470"/>
      <c r="H139" s="2471"/>
      <c r="I139" s="2472"/>
      <c r="J139" s="2315"/>
      <c r="K139" s="2315"/>
      <c r="L139" s="2315"/>
      <c r="M139" s="2315"/>
      <c r="N139" s="2472"/>
      <c r="O139" s="2315"/>
      <c r="P139" s="2861"/>
      <c r="Q139" s="2471"/>
      <c r="R139" s="2473"/>
      <c r="S139" s="2473"/>
      <c r="T139" s="2474"/>
      <c r="U139" s="2474"/>
      <c r="V139" s="2474"/>
      <c r="W139" s="2469"/>
      <c r="X139" s="2475"/>
      <c r="Y139" s="2315"/>
      <c r="Z139" s="2315"/>
      <c r="AA139" s="2315"/>
      <c r="AB139" s="2315"/>
      <c r="AC139" s="2315"/>
      <c r="AD139" s="2315"/>
      <c r="AE139" s="2315"/>
      <c r="AF139" s="2315"/>
      <c r="AG139" s="2315"/>
      <c r="AH139" s="2315"/>
      <c r="AI139" s="2315"/>
      <c r="AJ139" s="2315"/>
      <c r="AK139" s="2315"/>
      <c r="AL139" s="2315"/>
      <c r="AM139" s="2315"/>
      <c r="AN139" s="2315"/>
      <c r="AO139" s="2315"/>
      <c r="AP139" s="2315"/>
      <c r="AQ139" s="2315"/>
      <c r="AR139" s="2315"/>
      <c r="AS139" s="2315"/>
      <c r="AT139" s="2315"/>
      <c r="AU139" s="2315"/>
      <c r="AV139" s="2315"/>
      <c r="AW139" s="2315"/>
      <c r="AX139" s="2315"/>
      <c r="AY139" s="2315"/>
      <c r="AZ139" s="2315"/>
      <c r="BA139" s="2315"/>
      <c r="BB139" s="2315"/>
      <c r="BO139" s="2473"/>
    </row>
    <row r="140" spans="1:67" ht="15" x14ac:dyDescent="0.25">
      <c r="A140" s="2315"/>
      <c r="B140" s="2315"/>
      <c r="C140" s="2315"/>
      <c r="D140" s="2315"/>
      <c r="E140" s="2315"/>
      <c r="F140" s="2469"/>
      <c r="G140" s="2470"/>
      <c r="H140" s="2471"/>
      <c r="I140" s="2472"/>
      <c r="J140" s="2315"/>
      <c r="K140" s="2315"/>
      <c r="L140" s="2315"/>
      <c r="M140" s="2315"/>
      <c r="N140" s="2472"/>
      <c r="O140" s="2315"/>
      <c r="P140" s="2861"/>
      <c r="Q140" s="2471"/>
      <c r="R140" s="2473"/>
      <c r="S140" s="2473"/>
      <c r="T140" s="2474"/>
      <c r="U140" s="2474"/>
      <c r="V140" s="2474"/>
      <c r="W140" s="2469"/>
      <c r="X140" s="2475"/>
      <c r="Y140" s="2315"/>
      <c r="Z140" s="2315"/>
      <c r="AA140" s="2315"/>
      <c r="AB140" s="2315"/>
      <c r="AC140" s="2315"/>
      <c r="AD140" s="2315"/>
      <c r="AE140" s="2315"/>
      <c r="AF140" s="2315"/>
      <c r="AG140" s="2315"/>
      <c r="AH140" s="2315"/>
      <c r="AI140" s="2315"/>
      <c r="AJ140" s="2315"/>
      <c r="AK140" s="2315"/>
      <c r="AL140" s="2315"/>
      <c r="AM140" s="2315"/>
      <c r="AN140" s="2315"/>
      <c r="AO140" s="2315"/>
      <c r="AP140" s="2315"/>
      <c r="AQ140" s="2315"/>
      <c r="AR140" s="2315"/>
      <c r="AS140" s="2315"/>
      <c r="AT140" s="2315"/>
      <c r="AU140" s="2315"/>
      <c r="AV140" s="2315"/>
      <c r="AW140" s="2315"/>
      <c r="AX140" s="2315"/>
      <c r="AY140" s="2315"/>
      <c r="AZ140" s="2315"/>
      <c r="BA140" s="2315"/>
      <c r="BB140" s="2315"/>
      <c r="BO140" s="2473"/>
    </row>
    <row r="141" spans="1:67" ht="15" x14ac:dyDescent="0.2">
      <c r="A141" s="2315"/>
      <c r="B141" s="2315"/>
      <c r="C141" s="2315"/>
      <c r="D141" s="2315"/>
      <c r="E141" s="2315"/>
      <c r="F141" s="2469"/>
      <c r="G141" s="2315"/>
      <c r="H141" s="2475"/>
      <c r="I141" s="2475"/>
      <c r="J141" s="2315"/>
      <c r="K141" s="2315"/>
      <c r="L141" s="2315"/>
      <c r="M141" s="2315"/>
      <c r="N141" s="2475"/>
      <c r="O141" s="2315"/>
      <c r="P141" s="2862"/>
      <c r="Q141" s="2475"/>
      <c r="R141" s="2475"/>
      <c r="S141" s="2473"/>
      <c r="T141" s="2478"/>
      <c r="U141" s="2478"/>
      <c r="V141" s="2479"/>
      <c r="W141" s="2469"/>
      <c r="X141" s="2475"/>
      <c r="Y141" s="2315"/>
      <c r="Z141" s="2315"/>
      <c r="AA141" s="2315"/>
      <c r="AB141" s="2315"/>
      <c r="AC141" s="2315"/>
      <c r="AD141" s="2315"/>
      <c r="AE141" s="2315"/>
      <c r="AF141" s="2315"/>
      <c r="AG141" s="2315"/>
      <c r="AH141" s="2315"/>
      <c r="AI141" s="2315"/>
      <c r="AJ141" s="2315"/>
      <c r="AK141" s="2315"/>
      <c r="AL141" s="2315"/>
      <c r="AM141" s="2315"/>
      <c r="AN141" s="2315"/>
      <c r="AO141" s="2315"/>
      <c r="AP141" s="2315"/>
      <c r="AQ141" s="2315"/>
      <c r="AR141" s="2315"/>
      <c r="AS141" s="2315"/>
      <c r="AT141" s="2315"/>
      <c r="AU141" s="2315"/>
      <c r="AV141" s="2315"/>
      <c r="AW141" s="2315"/>
      <c r="AX141" s="2315"/>
      <c r="AY141" s="2315"/>
      <c r="AZ141" s="2315"/>
      <c r="BA141" s="2315"/>
      <c r="BB141" s="2315"/>
    </row>
    <row r="142" spans="1:67" x14ac:dyDescent="0.2">
      <c r="A142" s="2315"/>
      <c r="B142" s="2315"/>
      <c r="C142" s="2315"/>
      <c r="D142" s="2315"/>
      <c r="E142" s="2315"/>
      <c r="F142" s="2469"/>
      <c r="G142" s="2315"/>
      <c r="H142" s="2475"/>
      <c r="I142" s="2475"/>
      <c r="J142" s="2315"/>
      <c r="K142" s="2315"/>
      <c r="L142" s="2315"/>
      <c r="M142" s="2315"/>
      <c r="N142" s="2475"/>
      <c r="O142" s="2315"/>
      <c r="P142" s="2862"/>
      <c r="Q142" s="2475"/>
      <c r="R142" s="2475"/>
      <c r="S142" s="2473"/>
      <c r="T142" s="2477"/>
      <c r="U142" s="2477"/>
      <c r="V142" s="2481"/>
      <c r="W142" s="2469"/>
      <c r="X142" s="2475"/>
      <c r="Y142" s="2315"/>
      <c r="Z142" s="2315"/>
      <c r="AA142" s="2315"/>
      <c r="AB142" s="2315"/>
      <c r="AC142" s="2315"/>
      <c r="AD142" s="2315"/>
      <c r="AE142" s="2315"/>
      <c r="AF142" s="2315"/>
      <c r="AG142" s="2315"/>
      <c r="AH142" s="2315"/>
      <c r="AI142" s="2315"/>
      <c r="AJ142" s="2315"/>
      <c r="AK142" s="2315"/>
      <c r="AL142" s="2315"/>
      <c r="AM142" s="2315"/>
      <c r="AN142" s="2315"/>
      <c r="AO142" s="2315"/>
      <c r="AP142" s="2315"/>
      <c r="AQ142" s="2315"/>
      <c r="AR142" s="2315"/>
      <c r="AS142" s="2315"/>
      <c r="AT142" s="2315"/>
      <c r="AU142" s="2315"/>
      <c r="AV142" s="2315"/>
      <c r="AW142" s="2315"/>
      <c r="AX142" s="2315"/>
      <c r="AY142" s="2315"/>
      <c r="AZ142" s="2315"/>
      <c r="BA142" s="2315"/>
      <c r="BB142" s="2315"/>
    </row>
    <row r="143" spans="1:67" ht="15" x14ac:dyDescent="0.2">
      <c r="A143" s="4740" t="s">
        <v>2348</v>
      </c>
      <c r="B143" s="4740"/>
      <c r="C143" s="4740"/>
      <c r="D143" s="4740"/>
      <c r="E143" s="4740"/>
      <c r="F143" s="4740"/>
      <c r="G143" s="4740"/>
      <c r="H143" s="4740"/>
      <c r="I143" s="4740"/>
      <c r="J143" s="2315"/>
      <c r="K143" s="2315"/>
      <c r="L143" s="2315"/>
      <c r="M143" s="2315"/>
      <c r="N143" s="2475"/>
      <c r="O143" s="2315"/>
      <c r="P143" s="2862"/>
      <c r="Q143" s="2475"/>
      <c r="R143" s="2475"/>
      <c r="S143" s="2473"/>
      <c r="T143" s="2477"/>
      <c r="U143" s="2477"/>
      <c r="V143" s="2481"/>
      <c r="W143" s="2469"/>
      <c r="X143" s="2475"/>
      <c r="Y143" s="2315"/>
      <c r="Z143" s="2315"/>
      <c r="AA143" s="2315"/>
      <c r="AB143" s="2315"/>
      <c r="AC143" s="2315"/>
      <c r="AD143" s="2315"/>
      <c r="AE143" s="2315"/>
      <c r="AF143" s="2315"/>
      <c r="AG143" s="2315"/>
      <c r="AH143" s="2315"/>
      <c r="AI143" s="2315"/>
      <c r="AJ143" s="2315"/>
      <c r="AK143" s="2315"/>
      <c r="AL143" s="2315"/>
      <c r="AM143" s="2315"/>
      <c r="AN143" s="2315"/>
      <c r="AO143" s="2315"/>
      <c r="AP143" s="2315"/>
      <c r="AQ143" s="2315"/>
      <c r="AR143" s="2315"/>
      <c r="AS143" s="2315"/>
      <c r="AT143" s="2315"/>
      <c r="AU143" s="2315"/>
      <c r="AV143" s="2315"/>
      <c r="AW143" s="2315"/>
      <c r="AX143" s="2315"/>
      <c r="AY143" s="2315"/>
      <c r="AZ143" s="2315"/>
      <c r="BA143" s="2315"/>
      <c r="BB143" s="2315"/>
    </row>
    <row r="144" spans="1:67" ht="15" x14ac:dyDescent="0.25">
      <c r="A144" s="5023" t="s">
        <v>2349</v>
      </c>
      <c r="B144" s="5023"/>
      <c r="C144" s="5023"/>
      <c r="D144" s="5023"/>
      <c r="E144" s="5023"/>
      <c r="F144" s="5023"/>
      <c r="G144" s="5023"/>
      <c r="H144" s="5023"/>
      <c r="I144" s="5023"/>
      <c r="J144" s="2315"/>
      <c r="K144" s="2315"/>
      <c r="L144" s="2315"/>
      <c r="M144" s="2315"/>
      <c r="N144" s="2475"/>
      <c r="O144" s="2315"/>
      <c r="P144" s="2862"/>
      <c r="Q144" s="2475"/>
      <c r="R144" s="2475"/>
      <c r="S144" s="2473"/>
      <c r="T144" s="2477"/>
      <c r="U144" s="2477"/>
      <c r="V144" s="2481"/>
      <c r="W144" s="2469"/>
      <c r="X144" s="2475"/>
      <c r="Y144" s="2315"/>
      <c r="Z144" s="2315"/>
      <c r="AA144" s="2315"/>
      <c r="AB144" s="2315"/>
      <c r="AC144" s="2315"/>
      <c r="AD144" s="2315"/>
      <c r="AE144" s="2315"/>
      <c r="AF144" s="2315"/>
      <c r="AG144" s="2315"/>
      <c r="AH144" s="2315"/>
      <c r="AI144" s="2315"/>
      <c r="AJ144" s="2315"/>
      <c r="AK144" s="2315"/>
      <c r="AL144" s="2315"/>
      <c r="AM144" s="2315"/>
      <c r="AN144" s="2315"/>
      <c r="AO144" s="2315"/>
      <c r="AP144" s="2315"/>
      <c r="AQ144" s="2315"/>
      <c r="AR144" s="2315"/>
      <c r="AS144" s="2315"/>
      <c r="AT144" s="2315"/>
      <c r="AU144" s="2315"/>
      <c r="AV144" s="2315"/>
      <c r="AW144" s="2315"/>
      <c r="AX144" s="2315"/>
      <c r="AY144" s="2315"/>
      <c r="AZ144" s="2315"/>
      <c r="BA144" s="2315"/>
      <c r="BB144" s="2315"/>
    </row>
    <row r="145" spans="1:54" x14ac:dyDescent="0.2">
      <c r="E145" s="2315"/>
      <c r="F145" s="2469"/>
      <c r="G145" s="2315"/>
      <c r="H145" s="2475"/>
      <c r="I145" s="2475"/>
      <c r="J145" s="2315"/>
      <c r="K145" s="2315"/>
      <c r="L145" s="2315"/>
      <c r="M145" s="2315"/>
      <c r="N145" s="2475"/>
      <c r="O145" s="2315"/>
      <c r="P145" s="2862"/>
      <c r="Q145" s="2475"/>
      <c r="R145" s="2475"/>
      <c r="S145" s="2473"/>
      <c r="T145" s="2477"/>
      <c r="U145" s="2477"/>
      <c r="V145" s="2481"/>
      <c r="W145" s="2469"/>
      <c r="X145" s="2475"/>
      <c r="Y145" s="2315"/>
      <c r="Z145" s="2315"/>
      <c r="AA145" s="2315"/>
      <c r="AB145" s="2315"/>
      <c r="AC145" s="2315"/>
      <c r="AD145" s="2315"/>
      <c r="AE145" s="2315"/>
      <c r="AF145" s="2315"/>
      <c r="AG145" s="2315"/>
      <c r="AH145" s="2315"/>
      <c r="AI145" s="2315"/>
      <c r="AJ145" s="2315"/>
      <c r="AK145" s="2315"/>
      <c r="AL145" s="2315"/>
      <c r="AM145" s="2315"/>
      <c r="AN145" s="2315"/>
      <c r="AO145" s="2315"/>
      <c r="AP145" s="2315"/>
      <c r="AQ145" s="2315"/>
      <c r="AR145" s="2315"/>
      <c r="AS145" s="2315"/>
      <c r="AT145" s="2315"/>
      <c r="AU145" s="2315"/>
      <c r="AV145" s="2315"/>
      <c r="AW145" s="2315"/>
      <c r="AX145" s="2315"/>
      <c r="AY145" s="2315"/>
      <c r="AZ145" s="2315"/>
      <c r="BA145" s="2315"/>
      <c r="BB145" s="2315"/>
    </row>
    <row r="146" spans="1:54" x14ac:dyDescent="0.2">
      <c r="A146" s="2315"/>
      <c r="B146" s="2315"/>
      <c r="C146" s="2315"/>
      <c r="D146" s="2315"/>
      <c r="E146" s="2315"/>
      <c r="F146" s="2469"/>
      <c r="G146" s="2315"/>
      <c r="H146" s="2475"/>
      <c r="I146" s="2475"/>
      <c r="J146" s="2315"/>
      <c r="K146" s="2315"/>
      <c r="L146" s="2315"/>
      <c r="M146" s="2315"/>
      <c r="N146" s="2475"/>
      <c r="O146" s="2315"/>
      <c r="P146" s="2862"/>
      <c r="Q146" s="2475"/>
      <c r="R146" s="2475"/>
      <c r="S146" s="2473"/>
      <c r="T146" s="2477"/>
      <c r="U146" s="2477"/>
      <c r="V146" s="2481"/>
      <c r="W146" s="2469"/>
      <c r="X146" s="2475"/>
      <c r="Y146" s="2315"/>
      <c r="Z146" s="2315"/>
      <c r="AA146" s="2315"/>
      <c r="AB146" s="2315"/>
      <c r="AC146" s="2315"/>
      <c r="AD146" s="2315"/>
      <c r="AE146" s="2315"/>
      <c r="AF146" s="2315"/>
      <c r="AG146" s="2315"/>
      <c r="AH146" s="2315"/>
      <c r="AI146" s="2315"/>
      <c r="AJ146" s="2315"/>
      <c r="AK146" s="2315"/>
      <c r="AL146" s="2315"/>
      <c r="AM146" s="2315"/>
      <c r="AN146" s="2315"/>
      <c r="AO146" s="2315"/>
      <c r="AP146" s="2315"/>
      <c r="AQ146" s="2315"/>
      <c r="AR146" s="2315"/>
      <c r="AS146" s="2315"/>
      <c r="AT146" s="2315"/>
      <c r="AU146" s="2315"/>
      <c r="AV146" s="2315"/>
      <c r="AW146" s="2315"/>
      <c r="AX146" s="2315"/>
      <c r="AY146" s="2315"/>
      <c r="AZ146" s="2315"/>
      <c r="BA146" s="2315"/>
      <c r="BB146" s="2315"/>
    </row>
    <row r="147" spans="1:54" x14ac:dyDescent="0.2">
      <c r="A147" s="5024" t="s">
        <v>2350</v>
      </c>
      <c r="B147" s="5024"/>
      <c r="C147" s="5024"/>
      <c r="D147" s="5024"/>
      <c r="E147" s="5024"/>
      <c r="F147" s="5024"/>
      <c r="G147" s="5024"/>
      <c r="H147" s="5024"/>
      <c r="I147" s="5024"/>
      <c r="J147" s="2315"/>
      <c r="K147" s="2315"/>
      <c r="L147" s="2315"/>
      <c r="M147" s="2315"/>
      <c r="N147" s="2475"/>
      <c r="O147" s="2315"/>
      <c r="P147" s="2862"/>
      <c r="Q147" s="2475"/>
      <c r="R147" s="2475"/>
      <c r="S147" s="2473"/>
      <c r="T147" s="2477"/>
      <c r="U147" s="2477"/>
      <c r="V147" s="2481"/>
      <c r="W147" s="2469"/>
      <c r="X147" s="2475"/>
      <c r="Y147" s="2315"/>
      <c r="Z147" s="2315"/>
      <c r="AA147" s="2315"/>
      <c r="AB147" s="2315"/>
      <c r="AC147" s="2315"/>
      <c r="AD147" s="2315"/>
      <c r="AE147" s="2315"/>
      <c r="AF147" s="2315"/>
      <c r="AG147" s="2315"/>
      <c r="AH147" s="2315"/>
      <c r="AI147" s="2315"/>
      <c r="AJ147" s="2315"/>
      <c r="AK147" s="2315"/>
      <c r="AL147" s="2315"/>
      <c r="AM147" s="2315"/>
      <c r="AN147" s="2315"/>
      <c r="AO147" s="2315"/>
      <c r="AP147" s="2315"/>
      <c r="AQ147" s="2315"/>
      <c r="AR147" s="2315"/>
      <c r="AS147" s="2315"/>
      <c r="AT147" s="2315"/>
      <c r="AU147" s="2315"/>
      <c r="AV147" s="2315"/>
      <c r="AW147" s="2315"/>
      <c r="AX147" s="2315"/>
      <c r="AY147" s="2315"/>
      <c r="AZ147" s="2315"/>
      <c r="BA147" s="2315"/>
      <c r="BB147" s="2315"/>
    </row>
    <row r="148" spans="1:54" x14ac:dyDescent="0.2">
      <c r="A148" s="2315"/>
      <c r="B148" s="2315"/>
      <c r="C148" s="2315"/>
      <c r="D148" s="2315"/>
      <c r="E148" s="2315"/>
      <c r="F148" s="2469"/>
      <c r="G148" s="2315"/>
      <c r="H148" s="2475"/>
      <c r="I148" s="2475"/>
      <c r="J148" s="2315"/>
      <c r="K148" s="2315"/>
      <c r="L148" s="2315"/>
      <c r="M148" s="2315"/>
      <c r="N148" s="2475"/>
      <c r="O148" s="2315"/>
      <c r="P148" s="2862"/>
      <c r="Q148" s="2475"/>
      <c r="R148" s="2475"/>
      <c r="S148" s="2473"/>
      <c r="T148" s="2477"/>
      <c r="U148" s="2477"/>
      <c r="V148" s="2481"/>
      <c r="W148" s="2469"/>
      <c r="X148" s="2475"/>
      <c r="Y148" s="2315"/>
      <c r="Z148" s="2315"/>
      <c r="AA148" s="2315"/>
      <c r="AB148" s="2315"/>
      <c r="AC148" s="2315"/>
      <c r="AD148" s="2315"/>
      <c r="AE148" s="2315"/>
      <c r="AF148" s="2315"/>
      <c r="AG148" s="2315"/>
      <c r="AH148" s="2315"/>
      <c r="AI148" s="2315"/>
      <c r="AJ148" s="2315"/>
      <c r="AK148" s="2315"/>
      <c r="AL148" s="2315"/>
      <c r="AM148" s="2315"/>
      <c r="AN148" s="2315"/>
      <c r="AO148" s="2315"/>
      <c r="AP148" s="2315"/>
      <c r="AQ148" s="2315"/>
      <c r="AR148" s="2315"/>
      <c r="AS148" s="2315"/>
      <c r="AT148" s="2315"/>
      <c r="AU148" s="2315"/>
      <c r="AV148" s="2315"/>
      <c r="AW148" s="2315"/>
      <c r="AX148" s="2315"/>
      <c r="AY148" s="2315"/>
      <c r="AZ148" s="2315"/>
      <c r="BA148" s="2315"/>
      <c r="BB148" s="2315"/>
    </row>
    <row r="149" spans="1:54" x14ac:dyDescent="0.2">
      <c r="A149" s="2315"/>
      <c r="B149" s="2315"/>
      <c r="C149" s="2315"/>
      <c r="D149" s="2315"/>
      <c r="E149" s="2315"/>
      <c r="F149" s="2469"/>
      <c r="G149" s="2315"/>
      <c r="H149" s="2475"/>
      <c r="I149" s="2475"/>
      <c r="J149" s="2315"/>
      <c r="K149" s="2315"/>
      <c r="L149" s="2315"/>
      <c r="M149" s="2315"/>
      <c r="N149" s="2475"/>
      <c r="O149" s="2315"/>
      <c r="P149" s="2862"/>
      <c r="Q149" s="2475"/>
      <c r="R149" s="2475"/>
      <c r="S149" s="2473"/>
      <c r="T149" s="2477"/>
      <c r="U149" s="2477"/>
      <c r="V149" s="2481"/>
      <c r="W149" s="2469"/>
      <c r="X149" s="2475"/>
      <c r="Y149" s="2315"/>
      <c r="Z149" s="2315"/>
      <c r="AA149" s="2315"/>
      <c r="AB149" s="2315"/>
      <c r="AC149" s="2315"/>
      <c r="AD149" s="2315"/>
      <c r="AE149" s="2315"/>
      <c r="AF149" s="2315"/>
      <c r="AG149" s="2315"/>
      <c r="AH149" s="2315"/>
      <c r="AI149" s="2315"/>
      <c r="AJ149" s="2315"/>
      <c r="AK149" s="2315"/>
      <c r="AL149" s="2315"/>
      <c r="AM149" s="2315"/>
      <c r="AN149" s="2315"/>
      <c r="AO149" s="2315"/>
      <c r="AP149" s="2315"/>
      <c r="AQ149" s="2315"/>
      <c r="AR149" s="2315"/>
      <c r="AS149" s="2315"/>
      <c r="AT149" s="2315"/>
      <c r="AU149" s="2315"/>
      <c r="AV149" s="2315"/>
      <c r="AW149" s="2315"/>
      <c r="AX149" s="2315"/>
      <c r="AY149" s="2315"/>
      <c r="AZ149" s="2315"/>
      <c r="BA149" s="2315"/>
      <c r="BB149" s="2315"/>
    </row>
    <row r="150" spans="1:54" x14ac:dyDescent="0.2">
      <c r="A150" s="2315"/>
      <c r="B150" s="2315"/>
      <c r="C150" s="2315"/>
      <c r="D150" s="2315"/>
      <c r="E150" s="2315"/>
      <c r="F150" s="2469"/>
      <c r="G150" s="2315"/>
      <c r="H150" s="2475"/>
      <c r="I150" s="2475"/>
      <c r="J150" s="2315"/>
      <c r="K150" s="2315"/>
      <c r="L150" s="2315"/>
      <c r="M150" s="2315"/>
      <c r="N150" s="2475"/>
      <c r="O150" s="2315"/>
      <c r="P150" s="2862"/>
      <c r="Q150" s="2475"/>
      <c r="R150" s="2475"/>
      <c r="S150" s="2473"/>
      <c r="T150" s="2477"/>
      <c r="U150" s="2477"/>
      <c r="V150" s="2481"/>
      <c r="W150" s="2469"/>
      <c r="X150" s="2475"/>
      <c r="Y150" s="2315"/>
      <c r="Z150" s="2315"/>
      <c r="AA150" s="2315"/>
      <c r="AB150" s="2315"/>
      <c r="AC150" s="2315"/>
      <c r="AD150" s="2315"/>
      <c r="AE150" s="2315"/>
      <c r="AF150" s="2315"/>
      <c r="AG150" s="2315"/>
      <c r="AH150" s="2315"/>
      <c r="AI150" s="2315"/>
      <c r="AJ150" s="2315"/>
      <c r="AK150" s="2315"/>
      <c r="AL150" s="2315"/>
      <c r="AM150" s="2315"/>
      <c r="AN150" s="2315"/>
      <c r="AO150" s="2315"/>
      <c r="AP150" s="2315"/>
      <c r="AQ150" s="2315"/>
      <c r="AR150" s="2315"/>
      <c r="AS150" s="2315"/>
      <c r="AT150" s="2315"/>
      <c r="AU150" s="2315"/>
      <c r="AV150" s="2315"/>
      <c r="AW150" s="2315"/>
      <c r="AX150" s="2315"/>
      <c r="AY150" s="2315"/>
      <c r="AZ150" s="2315"/>
      <c r="BA150" s="2315"/>
      <c r="BB150" s="2315"/>
    </row>
    <row r="151" spans="1:54" x14ac:dyDescent="0.2">
      <c r="A151" s="2315"/>
      <c r="B151" s="2315"/>
      <c r="C151" s="2315"/>
      <c r="D151" s="2315"/>
      <c r="E151" s="2315"/>
      <c r="F151" s="2469"/>
      <c r="G151" s="2315"/>
      <c r="H151" s="2475"/>
      <c r="I151" s="2475"/>
      <c r="J151" s="2315"/>
      <c r="K151" s="2315"/>
      <c r="L151" s="2315"/>
      <c r="M151" s="2315"/>
      <c r="N151" s="2475"/>
      <c r="O151" s="2315"/>
      <c r="P151" s="2862"/>
      <c r="Q151" s="2475"/>
      <c r="R151" s="2475"/>
      <c r="S151" s="2473"/>
      <c r="T151" s="2477"/>
      <c r="U151" s="2477"/>
      <c r="V151" s="2481"/>
      <c r="W151" s="2469"/>
      <c r="X151" s="2475"/>
      <c r="Y151" s="2315"/>
      <c r="Z151" s="2315"/>
      <c r="AA151" s="2315"/>
      <c r="AB151" s="2315"/>
      <c r="AC151" s="2315"/>
      <c r="AD151" s="2315"/>
      <c r="AE151" s="2315"/>
      <c r="AF151" s="2315"/>
      <c r="AG151" s="2315"/>
      <c r="AH151" s="2315"/>
      <c r="AI151" s="2315"/>
      <c r="AJ151" s="2315"/>
      <c r="AK151" s="2315"/>
      <c r="AL151" s="2315"/>
      <c r="AM151" s="2315"/>
      <c r="AN151" s="2315"/>
      <c r="AO151" s="2315"/>
      <c r="AP151" s="2315"/>
      <c r="AQ151" s="2315"/>
      <c r="AR151" s="2315"/>
      <c r="AS151" s="2315"/>
      <c r="AT151" s="2315"/>
      <c r="AU151" s="2315"/>
      <c r="AV151" s="2315"/>
      <c r="AW151" s="2315"/>
      <c r="AX151" s="2315"/>
      <c r="AY151" s="2315"/>
      <c r="AZ151" s="2315"/>
      <c r="BA151" s="2315"/>
      <c r="BB151" s="2315"/>
    </row>
    <row r="152" spans="1:54" x14ac:dyDescent="0.2">
      <c r="A152" s="2315"/>
      <c r="B152" s="2315"/>
      <c r="C152" s="2315"/>
      <c r="D152" s="2315"/>
      <c r="E152" s="2315"/>
      <c r="F152" s="2469"/>
      <c r="G152" s="2315"/>
      <c r="H152" s="2475"/>
      <c r="I152" s="2475"/>
      <c r="J152" s="2315"/>
      <c r="K152" s="2315"/>
      <c r="L152" s="2315"/>
      <c r="M152" s="2315"/>
      <c r="N152" s="2475"/>
      <c r="O152" s="2315"/>
      <c r="P152" s="2862"/>
      <c r="Q152" s="2475"/>
      <c r="R152" s="2475"/>
      <c r="S152" s="2473"/>
      <c r="T152" s="2477"/>
      <c r="U152" s="2477"/>
      <c r="V152" s="2481"/>
      <c r="W152" s="2469"/>
      <c r="X152" s="2475"/>
      <c r="Y152" s="2315"/>
      <c r="Z152" s="2315"/>
      <c r="AA152" s="2315"/>
      <c r="AB152" s="2315"/>
      <c r="AC152" s="2315"/>
      <c r="AD152" s="2315"/>
      <c r="AE152" s="2315"/>
      <c r="AF152" s="2315"/>
      <c r="AG152" s="2315"/>
      <c r="AH152" s="2315"/>
      <c r="AI152" s="2315"/>
      <c r="AJ152" s="2315"/>
      <c r="AK152" s="2315"/>
      <c r="AL152" s="2315"/>
      <c r="AM152" s="2315"/>
      <c r="AN152" s="2315"/>
      <c r="AO152" s="2315"/>
      <c r="AP152" s="2315"/>
      <c r="AQ152" s="2315"/>
      <c r="AR152" s="2315"/>
      <c r="AS152" s="2315"/>
      <c r="AT152" s="2315"/>
      <c r="AU152" s="2315"/>
      <c r="AV152" s="2315"/>
      <c r="AW152" s="2315"/>
      <c r="AX152" s="2315"/>
      <c r="AY152" s="2315"/>
      <c r="AZ152" s="2315"/>
      <c r="BA152" s="2315"/>
      <c r="BB152" s="2315"/>
    </row>
    <row r="153" spans="1:54" x14ac:dyDescent="0.2">
      <c r="A153" s="2315"/>
      <c r="B153" s="2315"/>
      <c r="C153" s="2315"/>
      <c r="D153" s="2315"/>
      <c r="E153" s="2315"/>
      <c r="F153" s="2469"/>
      <c r="G153" s="2315"/>
      <c r="H153" s="2475"/>
      <c r="I153" s="2475"/>
      <c r="J153" s="2315"/>
      <c r="K153" s="2315"/>
      <c r="L153" s="2315"/>
      <c r="M153" s="2315"/>
      <c r="N153" s="2475"/>
      <c r="O153" s="2315"/>
      <c r="P153" s="2862"/>
      <c r="Q153" s="2475"/>
      <c r="R153" s="2475"/>
      <c r="S153" s="2473"/>
      <c r="T153" s="2477"/>
      <c r="U153" s="2477"/>
      <c r="V153" s="2481"/>
      <c r="W153" s="2469"/>
      <c r="X153" s="2475"/>
      <c r="Y153" s="2315"/>
      <c r="Z153" s="2315"/>
      <c r="AA153" s="2315"/>
      <c r="AB153" s="2315"/>
      <c r="AC153" s="2315"/>
      <c r="AD153" s="2315"/>
      <c r="AE153" s="2315"/>
      <c r="AF153" s="2315"/>
      <c r="AG153" s="2315"/>
      <c r="AH153" s="2315"/>
      <c r="AI153" s="2315"/>
      <c r="AJ153" s="2315"/>
      <c r="AK153" s="2315"/>
      <c r="AL153" s="2315"/>
      <c r="AM153" s="2315"/>
      <c r="AN153" s="2315"/>
      <c r="AO153" s="2315"/>
      <c r="AP153" s="2315"/>
      <c r="AQ153" s="2315"/>
      <c r="AR153" s="2315"/>
      <c r="AS153" s="2315"/>
      <c r="AT153" s="2315"/>
      <c r="AU153" s="2315"/>
      <c r="AV153" s="2315"/>
      <c r="AW153" s="2315"/>
      <c r="AX153" s="2315"/>
      <c r="AY153" s="2315"/>
      <c r="AZ153" s="2315"/>
      <c r="BA153" s="2315"/>
      <c r="BB153" s="2315"/>
    </row>
    <row r="154" spans="1:54" x14ac:dyDescent="0.2">
      <c r="A154" s="2315"/>
      <c r="B154" s="2315"/>
      <c r="C154" s="2315"/>
      <c r="D154" s="2315"/>
      <c r="E154" s="2315"/>
      <c r="F154" s="2469"/>
      <c r="G154" s="2315"/>
      <c r="H154" s="2475"/>
      <c r="I154" s="2475"/>
      <c r="J154" s="2315"/>
      <c r="K154" s="2315"/>
      <c r="L154" s="2315"/>
      <c r="M154" s="2315"/>
      <c r="N154" s="2475"/>
      <c r="O154" s="2315"/>
      <c r="P154" s="2862"/>
      <c r="Q154" s="2475"/>
      <c r="R154" s="2475"/>
      <c r="S154" s="2473"/>
      <c r="T154" s="2477"/>
      <c r="U154" s="2477"/>
      <c r="V154" s="2481"/>
      <c r="W154" s="2469"/>
      <c r="X154" s="2475"/>
      <c r="Y154" s="2315"/>
      <c r="Z154" s="2315"/>
      <c r="AA154" s="2315"/>
      <c r="AB154" s="2315"/>
      <c r="AC154" s="2315"/>
      <c r="AD154" s="2315"/>
      <c r="AE154" s="2315"/>
      <c r="AF154" s="2315"/>
      <c r="AG154" s="2315"/>
      <c r="AH154" s="2315"/>
      <c r="AI154" s="2315"/>
      <c r="AJ154" s="2315"/>
      <c r="AK154" s="2315"/>
      <c r="AL154" s="2315"/>
      <c r="AM154" s="2315"/>
      <c r="AN154" s="2315"/>
      <c r="AO154" s="2315"/>
      <c r="AP154" s="2315"/>
      <c r="AQ154" s="2315"/>
      <c r="AR154" s="2315"/>
      <c r="AS154" s="2315"/>
      <c r="AT154" s="2315"/>
      <c r="AU154" s="2315"/>
      <c r="AV154" s="2315"/>
      <c r="AW154" s="2315"/>
      <c r="AX154" s="2315"/>
      <c r="AY154" s="2315"/>
      <c r="AZ154" s="2315"/>
      <c r="BA154" s="2315"/>
      <c r="BB154" s="2315"/>
    </row>
    <row r="155" spans="1:54" x14ac:dyDescent="0.2">
      <c r="A155" s="2315"/>
      <c r="B155" s="2315"/>
      <c r="C155" s="2315"/>
      <c r="D155" s="2315"/>
      <c r="E155" s="2315"/>
      <c r="F155" s="2469"/>
      <c r="G155" s="2315"/>
      <c r="H155" s="2475"/>
      <c r="I155" s="2475"/>
      <c r="J155" s="2315"/>
      <c r="K155" s="2315"/>
      <c r="L155" s="2315"/>
      <c r="M155" s="2315"/>
      <c r="N155" s="2475"/>
      <c r="O155" s="2315"/>
      <c r="P155" s="2862"/>
      <c r="Q155" s="2475"/>
      <c r="R155" s="2475"/>
      <c r="S155" s="2473"/>
      <c r="T155" s="2477"/>
      <c r="U155" s="2477"/>
      <c r="V155" s="2481"/>
      <c r="W155" s="2469"/>
      <c r="X155" s="2475"/>
      <c r="Y155" s="2315"/>
      <c r="Z155" s="2315"/>
      <c r="AA155" s="2315"/>
      <c r="AB155" s="2315"/>
      <c r="AC155" s="2315"/>
      <c r="AD155" s="2315"/>
      <c r="AE155" s="2315"/>
      <c r="AF155" s="2315"/>
      <c r="AG155" s="2315"/>
      <c r="AH155" s="2315"/>
      <c r="AI155" s="2315"/>
      <c r="AJ155" s="2315"/>
      <c r="AK155" s="2315"/>
      <c r="AL155" s="2315"/>
      <c r="AM155" s="2315"/>
      <c r="AN155" s="2315"/>
      <c r="AO155" s="2315"/>
      <c r="AP155" s="2315"/>
      <c r="AQ155" s="2315"/>
      <c r="AR155" s="2315"/>
      <c r="AS155" s="2315"/>
      <c r="AT155" s="2315"/>
      <c r="AU155" s="2315"/>
      <c r="AV155" s="2315"/>
      <c r="AW155" s="2315"/>
      <c r="AX155" s="2315"/>
      <c r="AY155" s="2315"/>
      <c r="AZ155" s="2315"/>
      <c r="BA155" s="2315"/>
      <c r="BB155" s="2315"/>
    </row>
    <row r="156" spans="1:54" x14ac:dyDescent="0.2">
      <c r="A156" s="2315"/>
      <c r="B156" s="2315"/>
      <c r="C156" s="2315"/>
      <c r="D156" s="2315"/>
      <c r="E156" s="2315"/>
      <c r="F156" s="2469"/>
      <c r="G156" s="2315"/>
      <c r="H156" s="2475"/>
      <c r="I156" s="2475"/>
      <c r="J156" s="2315"/>
      <c r="K156" s="2315"/>
      <c r="L156" s="2315"/>
      <c r="M156" s="2315"/>
      <c r="N156" s="2475"/>
      <c r="O156" s="2315"/>
      <c r="P156" s="2862"/>
      <c r="Q156" s="2475"/>
      <c r="R156" s="2475"/>
      <c r="S156" s="2473"/>
      <c r="T156" s="2477"/>
      <c r="U156" s="2477"/>
      <c r="V156" s="2481"/>
      <c r="W156" s="2469"/>
      <c r="X156" s="2475"/>
      <c r="Y156" s="2315"/>
      <c r="Z156" s="2315"/>
      <c r="AA156" s="2315"/>
      <c r="AB156" s="2315"/>
      <c r="AC156" s="2315"/>
      <c r="AD156" s="2315"/>
      <c r="AE156" s="2315"/>
      <c r="AF156" s="2315"/>
      <c r="AG156" s="2315"/>
      <c r="AH156" s="2315"/>
      <c r="AI156" s="2315"/>
      <c r="AJ156" s="2315"/>
      <c r="AK156" s="2315"/>
      <c r="AL156" s="2315"/>
      <c r="AM156" s="2315"/>
      <c r="AN156" s="2315"/>
      <c r="AO156" s="2315"/>
      <c r="AP156" s="2315"/>
      <c r="AQ156" s="2315"/>
      <c r="AR156" s="2315"/>
      <c r="AS156" s="2315"/>
      <c r="AT156" s="2315"/>
      <c r="AU156" s="2315"/>
      <c r="AV156" s="2315"/>
      <c r="AW156" s="2315"/>
      <c r="AX156" s="2315"/>
      <c r="AY156" s="2315"/>
      <c r="AZ156" s="2315"/>
      <c r="BA156" s="2315"/>
      <c r="BB156" s="2315"/>
    </row>
    <row r="157" spans="1:54" x14ac:dyDescent="0.2">
      <c r="A157" s="2315"/>
      <c r="B157" s="2315"/>
      <c r="C157" s="2315"/>
      <c r="D157" s="2315"/>
      <c r="E157" s="2315"/>
      <c r="F157" s="2469"/>
      <c r="G157" s="2315"/>
      <c r="H157" s="2475"/>
      <c r="I157" s="2475"/>
      <c r="J157" s="2315"/>
      <c r="K157" s="2315"/>
      <c r="L157" s="2315"/>
      <c r="M157" s="2315"/>
      <c r="N157" s="2475"/>
      <c r="O157" s="2315"/>
      <c r="P157" s="2862"/>
      <c r="Q157" s="2475"/>
      <c r="R157" s="2475"/>
      <c r="S157" s="2473"/>
      <c r="T157" s="2477"/>
      <c r="U157" s="2477"/>
      <c r="V157" s="2481"/>
      <c r="W157" s="2469"/>
      <c r="X157" s="2475"/>
      <c r="Y157" s="2315"/>
      <c r="Z157" s="2315"/>
      <c r="AA157" s="2315"/>
      <c r="AB157" s="2315"/>
      <c r="AC157" s="2315"/>
      <c r="AD157" s="2315"/>
      <c r="AE157" s="2315"/>
      <c r="AF157" s="2315"/>
      <c r="AG157" s="2315"/>
      <c r="AH157" s="2315"/>
      <c r="AI157" s="2315"/>
      <c r="AJ157" s="2315"/>
      <c r="AK157" s="2315"/>
      <c r="AL157" s="2315"/>
      <c r="AM157" s="2315"/>
      <c r="AN157" s="2315"/>
      <c r="AO157" s="2315"/>
      <c r="AP157" s="2315"/>
      <c r="AQ157" s="2315"/>
      <c r="AR157" s="2315"/>
      <c r="AS157" s="2315"/>
      <c r="AT157" s="2315"/>
      <c r="AU157" s="2315"/>
      <c r="AV157" s="2315"/>
      <c r="AW157" s="2315"/>
      <c r="AX157" s="2315"/>
      <c r="AY157" s="2315"/>
      <c r="AZ157" s="2315"/>
      <c r="BA157" s="2315"/>
      <c r="BB157" s="2315"/>
    </row>
    <row r="158" spans="1:54" x14ac:dyDescent="0.2">
      <c r="A158" s="2315"/>
      <c r="B158" s="2315"/>
      <c r="C158" s="2315"/>
      <c r="D158" s="2315"/>
      <c r="E158" s="2315"/>
      <c r="F158" s="2469"/>
      <c r="G158" s="2315"/>
      <c r="H158" s="2475"/>
      <c r="I158" s="2475"/>
      <c r="J158" s="2315"/>
      <c r="K158" s="2315"/>
      <c r="L158" s="2315"/>
      <c r="M158" s="2315"/>
      <c r="N158" s="2475"/>
      <c r="O158" s="2315"/>
      <c r="P158" s="2862"/>
      <c r="Q158" s="2475"/>
      <c r="R158" s="2475"/>
      <c r="S158" s="2473"/>
      <c r="T158" s="2477"/>
      <c r="U158" s="2477"/>
      <c r="V158" s="2481"/>
      <c r="W158" s="2469"/>
      <c r="X158" s="2475"/>
      <c r="Y158" s="2315"/>
      <c r="Z158" s="2315"/>
      <c r="AA158" s="2315"/>
      <c r="AB158" s="2315"/>
      <c r="AC158" s="2315"/>
      <c r="AD158" s="2315"/>
      <c r="AE158" s="2315"/>
      <c r="AF158" s="2315"/>
      <c r="AG158" s="2315"/>
      <c r="AH158" s="2315"/>
      <c r="AI158" s="2315"/>
      <c r="AJ158" s="2315"/>
      <c r="AK158" s="2315"/>
      <c r="AL158" s="2315"/>
      <c r="AM158" s="2315"/>
      <c r="AN158" s="2315"/>
      <c r="AO158" s="2315"/>
      <c r="AP158" s="2315"/>
      <c r="AQ158" s="2315"/>
      <c r="AR158" s="2315"/>
      <c r="AS158" s="2315"/>
      <c r="AT158" s="2315"/>
      <c r="AU158" s="2315"/>
      <c r="AV158" s="2315"/>
      <c r="AW158" s="2315"/>
      <c r="AX158" s="2315"/>
      <c r="AY158" s="2315"/>
      <c r="AZ158" s="2315"/>
      <c r="BA158" s="2315"/>
      <c r="BB158" s="2315"/>
    </row>
    <row r="159" spans="1:54" x14ac:dyDescent="0.2">
      <c r="A159" s="2315"/>
      <c r="B159" s="2315"/>
      <c r="C159" s="2315"/>
      <c r="D159" s="2315"/>
      <c r="E159" s="2315"/>
      <c r="F159" s="2469"/>
      <c r="G159" s="2315"/>
      <c r="H159" s="2475"/>
      <c r="I159" s="2475"/>
      <c r="J159" s="2315"/>
      <c r="K159" s="2315"/>
      <c r="L159" s="2315"/>
      <c r="M159" s="2315"/>
      <c r="N159" s="2475"/>
      <c r="O159" s="2315"/>
      <c r="P159" s="2862"/>
      <c r="Q159" s="2475"/>
      <c r="R159" s="2475"/>
      <c r="S159" s="2473"/>
      <c r="T159" s="2477"/>
      <c r="U159" s="2477"/>
      <c r="V159" s="2481"/>
      <c r="W159" s="2469"/>
      <c r="X159" s="2475"/>
      <c r="Y159" s="2315"/>
      <c r="Z159" s="2315"/>
      <c r="AA159" s="2315"/>
      <c r="AB159" s="2315"/>
      <c r="AC159" s="2315"/>
      <c r="AD159" s="2315"/>
      <c r="AE159" s="2315"/>
      <c r="AF159" s="2315"/>
      <c r="AG159" s="2315"/>
      <c r="AH159" s="2315"/>
      <c r="AI159" s="2315"/>
      <c r="AJ159" s="2315"/>
      <c r="AK159" s="2315"/>
      <c r="AL159" s="2315"/>
      <c r="AM159" s="2315"/>
      <c r="AN159" s="2315"/>
      <c r="AO159" s="2315"/>
      <c r="AP159" s="2315"/>
      <c r="AQ159" s="2315"/>
      <c r="AR159" s="2315"/>
      <c r="AS159" s="2315"/>
      <c r="AT159" s="2315"/>
      <c r="AU159" s="2315"/>
      <c r="AV159" s="2315"/>
      <c r="AW159" s="2315"/>
      <c r="AX159" s="2315"/>
      <c r="AY159" s="2315"/>
      <c r="AZ159" s="2315"/>
      <c r="BA159" s="2315"/>
      <c r="BB159" s="2315"/>
    </row>
    <row r="160" spans="1:54" x14ac:dyDescent="0.2">
      <c r="A160" s="2315"/>
      <c r="B160" s="2315"/>
      <c r="C160" s="2315"/>
      <c r="D160" s="2315"/>
      <c r="E160" s="2315"/>
      <c r="F160" s="2469"/>
      <c r="G160" s="2315"/>
      <c r="H160" s="2475"/>
      <c r="I160" s="2475"/>
      <c r="J160" s="2315"/>
      <c r="K160" s="2315"/>
      <c r="L160" s="2315"/>
      <c r="M160" s="2315"/>
      <c r="N160" s="2475"/>
      <c r="O160" s="2315"/>
      <c r="P160" s="2862"/>
      <c r="Q160" s="2475"/>
      <c r="R160" s="2475"/>
      <c r="S160" s="2473"/>
      <c r="T160" s="2477"/>
      <c r="U160" s="2477"/>
      <c r="V160" s="2481"/>
      <c r="W160" s="2469"/>
      <c r="X160" s="2475"/>
      <c r="Y160" s="2315"/>
      <c r="Z160" s="2315"/>
      <c r="AA160" s="2315"/>
      <c r="AB160" s="2315"/>
      <c r="AC160" s="2315"/>
      <c r="AD160" s="2315"/>
      <c r="AE160" s="2315"/>
      <c r="AF160" s="2315"/>
      <c r="AG160" s="2315"/>
      <c r="AH160" s="2315"/>
      <c r="AI160" s="2315"/>
      <c r="AJ160" s="2315"/>
      <c r="AK160" s="2315"/>
      <c r="AL160" s="2315"/>
      <c r="AM160" s="2315"/>
      <c r="AN160" s="2315"/>
      <c r="AO160" s="2315"/>
      <c r="AP160" s="2315"/>
      <c r="AQ160" s="2315"/>
      <c r="AR160" s="2315"/>
      <c r="AS160" s="2315"/>
      <c r="AT160" s="2315"/>
      <c r="AU160" s="2315"/>
      <c r="AV160" s="2315"/>
      <c r="AW160" s="2315"/>
      <c r="AX160" s="2315"/>
      <c r="AY160" s="2315"/>
      <c r="AZ160" s="2315"/>
      <c r="BA160" s="2315"/>
      <c r="BB160" s="2315"/>
    </row>
    <row r="161" spans="1:18" x14ac:dyDescent="0.2">
      <c r="A161" s="2315"/>
      <c r="B161" s="2315"/>
      <c r="C161" s="2315"/>
      <c r="D161" s="2315"/>
      <c r="E161" s="2315"/>
      <c r="F161" s="2469"/>
      <c r="G161" s="2315"/>
      <c r="H161" s="2475"/>
      <c r="I161" s="2475"/>
      <c r="J161" s="2315"/>
      <c r="K161" s="2315"/>
      <c r="L161" s="2315"/>
      <c r="M161" s="2315"/>
      <c r="N161" s="2475"/>
      <c r="O161" s="2315"/>
      <c r="P161" s="2862"/>
      <c r="Q161" s="2475"/>
      <c r="R161" s="2475"/>
    </row>
    <row r="162" spans="1:18" x14ac:dyDescent="0.2">
      <c r="A162" s="2315"/>
      <c r="B162" s="2315"/>
      <c r="C162" s="2315"/>
      <c r="D162" s="2315"/>
      <c r="E162" s="2315"/>
      <c r="F162" s="2469"/>
      <c r="G162" s="2315"/>
      <c r="H162" s="2475"/>
      <c r="I162" s="2475"/>
      <c r="J162" s="2315"/>
      <c r="K162" s="2315"/>
      <c r="L162" s="2315"/>
      <c r="M162" s="2315"/>
      <c r="N162" s="2475"/>
      <c r="O162" s="2315"/>
      <c r="P162" s="2862"/>
      <c r="Q162" s="2475"/>
      <c r="R162" s="2475"/>
    </row>
  </sheetData>
  <sheetProtection password="A60F" sheet="1" objects="1" scenarios="1"/>
  <mergeCells count="772">
    <mergeCell ref="A135:O135"/>
    <mergeCell ref="D137:J137"/>
    <mergeCell ref="A143:I143"/>
    <mergeCell ref="A144:I144"/>
    <mergeCell ref="A147:I147"/>
    <mergeCell ref="G133:G134"/>
    <mergeCell ref="H133:H134"/>
    <mergeCell ref="I133:I134"/>
    <mergeCell ref="J133:J134"/>
    <mergeCell ref="K133:K134"/>
    <mergeCell ref="O133:O134"/>
    <mergeCell ref="BM123:BM134"/>
    <mergeCell ref="BN123:BN134"/>
    <mergeCell ref="BO123:BO134"/>
    <mergeCell ref="G131:G132"/>
    <mergeCell ref="H131:H132"/>
    <mergeCell ref="I131:I132"/>
    <mergeCell ref="J131:J132"/>
    <mergeCell ref="K131:K132"/>
    <mergeCell ref="L131:L134"/>
    <mergeCell ref="O131:O132"/>
    <mergeCell ref="BG123:BG134"/>
    <mergeCell ref="BH123:BH134"/>
    <mergeCell ref="BI123:BI134"/>
    <mergeCell ref="BJ123:BJ134"/>
    <mergeCell ref="BK123:BK134"/>
    <mergeCell ref="BL123:BL134"/>
    <mergeCell ref="AY123:AY134"/>
    <mergeCell ref="BA123:BA134"/>
    <mergeCell ref="BC123:BC134"/>
    <mergeCell ref="BD123:BD134"/>
    <mergeCell ref="BE123:BE134"/>
    <mergeCell ref="BF123:BF134"/>
    <mergeCell ref="AM123:AM134"/>
    <mergeCell ref="AO123:AO134"/>
    <mergeCell ref="AQ123:AQ134"/>
    <mergeCell ref="AS123:AS134"/>
    <mergeCell ref="AU123:AU134"/>
    <mergeCell ref="AW123:AW134"/>
    <mergeCell ref="AC123:AC134"/>
    <mergeCell ref="AE123:AE134"/>
    <mergeCell ref="AG123:AG134"/>
    <mergeCell ref="AI123:AI134"/>
    <mergeCell ref="AJ123:AJ134"/>
    <mergeCell ref="AK123:AK134"/>
    <mergeCell ref="Q123:Q134"/>
    <mergeCell ref="R123:R130"/>
    <mergeCell ref="Y123:Y134"/>
    <mergeCell ref="Z123:Z134"/>
    <mergeCell ref="AA123:AA134"/>
    <mergeCell ref="AB123:AB134"/>
    <mergeCell ref="R131:R134"/>
    <mergeCell ref="S131:S132"/>
    <mergeCell ref="S133:S134"/>
    <mergeCell ref="K123:K129"/>
    <mergeCell ref="L123:L129"/>
    <mergeCell ref="M123:M134"/>
    <mergeCell ref="N123:N134"/>
    <mergeCell ref="O123:O129"/>
    <mergeCell ref="P123:P134"/>
    <mergeCell ref="BL114:BL120"/>
    <mergeCell ref="BM114:BM120"/>
    <mergeCell ref="BN114:BN120"/>
    <mergeCell ref="AU114:AU120"/>
    <mergeCell ref="AG114:AG120"/>
    <mergeCell ref="AH114:AH120"/>
    <mergeCell ref="AI114:AI120"/>
    <mergeCell ref="AJ114:AJ120"/>
    <mergeCell ref="AK114:AK120"/>
    <mergeCell ref="AL114:AL120"/>
    <mergeCell ref="Z114:Z120"/>
    <mergeCell ref="AA114:AA120"/>
    <mergeCell ref="AC114:AC120"/>
    <mergeCell ref="AD114:AD120"/>
    <mergeCell ref="AE114:AE120"/>
    <mergeCell ref="AF114:AF120"/>
    <mergeCell ref="N114:N120"/>
    <mergeCell ref="O114:O120"/>
    <mergeCell ref="BO114:BO120"/>
    <mergeCell ref="R117:R120"/>
    <mergeCell ref="C122:D134"/>
    <mergeCell ref="G123:G129"/>
    <mergeCell ref="H123:H129"/>
    <mergeCell ref="I123:I129"/>
    <mergeCell ref="J123:J129"/>
    <mergeCell ref="BF114:BF120"/>
    <mergeCell ref="BG114:BG120"/>
    <mergeCell ref="BH114:BH120"/>
    <mergeCell ref="BI114:BI120"/>
    <mergeCell ref="BJ114:BJ120"/>
    <mergeCell ref="BK114:BK120"/>
    <mergeCell ref="AW114:AW120"/>
    <mergeCell ref="AY114:AY120"/>
    <mergeCell ref="BA114:BA120"/>
    <mergeCell ref="BC114:BC120"/>
    <mergeCell ref="BD114:BD120"/>
    <mergeCell ref="BE114:BE120"/>
    <mergeCell ref="AM114:AM120"/>
    <mergeCell ref="AN114:AN120"/>
    <mergeCell ref="AO114:AO120"/>
    <mergeCell ref="AQ114:AQ120"/>
    <mergeCell ref="AS114:AS120"/>
    <mergeCell ref="P114:P120"/>
    <mergeCell ref="Q114:Q120"/>
    <mergeCell ref="R114:R116"/>
    <mergeCell ref="Y114:Y120"/>
    <mergeCell ref="G114:G120"/>
    <mergeCell ref="H114:H120"/>
    <mergeCell ref="I114:I120"/>
    <mergeCell ref="J114:J120"/>
    <mergeCell ref="K114:K120"/>
    <mergeCell ref="M114:M120"/>
    <mergeCell ref="BJ109:BJ112"/>
    <mergeCell ref="BK109:BK112"/>
    <mergeCell ref="BL109:BL112"/>
    <mergeCell ref="BM109:BM112"/>
    <mergeCell ref="BN109:BN112"/>
    <mergeCell ref="BO109:BO112"/>
    <mergeCell ref="BD109:BD112"/>
    <mergeCell ref="BE109:BE112"/>
    <mergeCell ref="BF109:BF112"/>
    <mergeCell ref="BG109:BG112"/>
    <mergeCell ref="BH109:BH112"/>
    <mergeCell ref="BI109:BI112"/>
    <mergeCell ref="AS109:AS112"/>
    <mergeCell ref="AU109:AU112"/>
    <mergeCell ref="AW109:AW112"/>
    <mergeCell ref="AY109:AY112"/>
    <mergeCell ref="BA109:BA112"/>
    <mergeCell ref="BC109:BC112"/>
    <mergeCell ref="AK109:AK112"/>
    <mergeCell ref="AL109:AL112"/>
    <mergeCell ref="AM109:AM112"/>
    <mergeCell ref="AN109:AN112"/>
    <mergeCell ref="AO109:AO112"/>
    <mergeCell ref="AQ109:AQ112"/>
    <mergeCell ref="AE109:AE112"/>
    <mergeCell ref="AF109:AF112"/>
    <mergeCell ref="AG109:AG112"/>
    <mergeCell ref="AH109:AH112"/>
    <mergeCell ref="AI109:AI112"/>
    <mergeCell ref="AJ109:AJ112"/>
    <mergeCell ref="Y109:Y112"/>
    <mergeCell ref="Z109:Z112"/>
    <mergeCell ref="AA109:AA112"/>
    <mergeCell ref="AB109:AB112"/>
    <mergeCell ref="AC109:AC112"/>
    <mergeCell ref="AD109:AD112"/>
    <mergeCell ref="M109:M112"/>
    <mergeCell ref="N109:N112"/>
    <mergeCell ref="O109:O112"/>
    <mergeCell ref="P109:P112"/>
    <mergeCell ref="Q109:Q112"/>
    <mergeCell ref="R109:R110"/>
    <mergeCell ref="R111:R112"/>
    <mergeCell ref="BL105:BL107"/>
    <mergeCell ref="BM105:BM107"/>
    <mergeCell ref="AX105:AX107"/>
    <mergeCell ref="AY105:AY107"/>
    <mergeCell ref="AN105:AN107"/>
    <mergeCell ref="AO105:AO107"/>
    <mergeCell ref="AP105:AP107"/>
    <mergeCell ref="AQ105:AQ107"/>
    <mergeCell ref="AR105:AR107"/>
    <mergeCell ref="AS105:AS107"/>
    <mergeCell ref="AH105:AH107"/>
    <mergeCell ref="AI105:AI107"/>
    <mergeCell ref="AJ105:AJ107"/>
    <mergeCell ref="AK105:AK107"/>
    <mergeCell ref="AL105:AL107"/>
    <mergeCell ref="AM105:AM107"/>
    <mergeCell ref="AB105:AB107"/>
    <mergeCell ref="BN105:BN107"/>
    <mergeCell ref="BO105:BO107"/>
    <mergeCell ref="G109:G112"/>
    <mergeCell ref="H109:H112"/>
    <mergeCell ref="I109:I112"/>
    <mergeCell ref="J109:J112"/>
    <mergeCell ref="K109:K112"/>
    <mergeCell ref="L109:L112"/>
    <mergeCell ref="BF105:BF107"/>
    <mergeCell ref="BG105:BG107"/>
    <mergeCell ref="BH105:BH107"/>
    <mergeCell ref="BI105:BI107"/>
    <mergeCell ref="BJ105:BJ107"/>
    <mergeCell ref="BK105:BK107"/>
    <mergeCell ref="AZ105:AZ107"/>
    <mergeCell ref="BA105:BA107"/>
    <mergeCell ref="BB105:BB107"/>
    <mergeCell ref="BC105:BC107"/>
    <mergeCell ref="BD105:BD107"/>
    <mergeCell ref="BE105:BE107"/>
    <mergeCell ref="AT105:AT107"/>
    <mergeCell ref="AU105:AU107"/>
    <mergeCell ref="AV105:AV107"/>
    <mergeCell ref="AW105:AW107"/>
    <mergeCell ref="AC105:AC107"/>
    <mergeCell ref="AD105:AD107"/>
    <mergeCell ref="AE105:AE107"/>
    <mergeCell ref="AF105:AF107"/>
    <mergeCell ref="AG105:AG107"/>
    <mergeCell ref="P105:P107"/>
    <mergeCell ref="Q105:Q107"/>
    <mergeCell ref="R105:R106"/>
    <mergeCell ref="Y105:Y107"/>
    <mergeCell ref="Z105:Z107"/>
    <mergeCell ref="AA105:AA107"/>
    <mergeCell ref="BO102:BO103"/>
    <mergeCell ref="G105:G107"/>
    <mergeCell ref="H105:H107"/>
    <mergeCell ref="I105:I107"/>
    <mergeCell ref="J105:J107"/>
    <mergeCell ref="K105:K107"/>
    <mergeCell ref="L105:L107"/>
    <mergeCell ref="M105:M107"/>
    <mergeCell ref="N105:N107"/>
    <mergeCell ref="O105:O107"/>
    <mergeCell ref="BI102:BI103"/>
    <mergeCell ref="BJ102:BJ103"/>
    <mergeCell ref="BK102:BK103"/>
    <mergeCell ref="BL102:BL103"/>
    <mergeCell ref="BM102:BM103"/>
    <mergeCell ref="BN102:BN103"/>
    <mergeCell ref="BC102:BC103"/>
    <mergeCell ref="BD102:BD103"/>
    <mergeCell ref="BE102:BE103"/>
    <mergeCell ref="BF102:BF103"/>
    <mergeCell ref="BG102:BG103"/>
    <mergeCell ref="BH102:BH103"/>
    <mergeCell ref="AW102:AW103"/>
    <mergeCell ref="AX102:AX103"/>
    <mergeCell ref="AY102:AY103"/>
    <mergeCell ref="AZ102:AZ103"/>
    <mergeCell ref="BA102:BA103"/>
    <mergeCell ref="BB102:BB103"/>
    <mergeCell ref="AQ102:AQ103"/>
    <mergeCell ref="AR102:AR103"/>
    <mergeCell ref="AS102:AS103"/>
    <mergeCell ref="AT102:AT103"/>
    <mergeCell ref="AU102:AU103"/>
    <mergeCell ref="AV102:AV103"/>
    <mergeCell ref="AK102:AK103"/>
    <mergeCell ref="AL102:AL103"/>
    <mergeCell ref="AM102:AM103"/>
    <mergeCell ref="AN102:AN103"/>
    <mergeCell ref="AO102:AO103"/>
    <mergeCell ref="AP102:AP103"/>
    <mergeCell ref="AE102:AE103"/>
    <mergeCell ref="AF102:AF103"/>
    <mergeCell ref="AG102:AG103"/>
    <mergeCell ref="AH102:AH103"/>
    <mergeCell ref="AI102:AI103"/>
    <mergeCell ref="AJ102:AJ103"/>
    <mergeCell ref="Y102:Y103"/>
    <mergeCell ref="Z102:Z103"/>
    <mergeCell ref="AA102:AA103"/>
    <mergeCell ref="AB102:AB103"/>
    <mergeCell ref="AC102:AC103"/>
    <mergeCell ref="AD102:AD103"/>
    <mergeCell ref="L102:L103"/>
    <mergeCell ref="M102:M103"/>
    <mergeCell ref="N102:N103"/>
    <mergeCell ref="O102:O103"/>
    <mergeCell ref="P102:P103"/>
    <mergeCell ref="Q102:Q103"/>
    <mergeCell ref="BK99:BK101"/>
    <mergeCell ref="BL99:BL101"/>
    <mergeCell ref="BM99:BM101"/>
    <mergeCell ref="BN99:BN101"/>
    <mergeCell ref="BO99:BO101"/>
    <mergeCell ref="G102:G103"/>
    <mergeCell ref="H102:H103"/>
    <mergeCell ref="I102:I103"/>
    <mergeCell ref="J102:J103"/>
    <mergeCell ref="K102:K103"/>
    <mergeCell ref="BE99:BE101"/>
    <mergeCell ref="BF99:BF101"/>
    <mergeCell ref="BG99:BG101"/>
    <mergeCell ref="BH99:BH101"/>
    <mergeCell ref="BI99:BI101"/>
    <mergeCell ref="BJ99:BJ101"/>
    <mergeCell ref="AY99:AY101"/>
    <mergeCell ref="AZ99:AZ101"/>
    <mergeCell ref="BA99:BA101"/>
    <mergeCell ref="BB99:BB101"/>
    <mergeCell ref="BC99:BC101"/>
    <mergeCell ref="BD99:BD101"/>
    <mergeCell ref="AS99:AS101"/>
    <mergeCell ref="AT99:AT101"/>
    <mergeCell ref="AU99:AU101"/>
    <mergeCell ref="AV99:AV101"/>
    <mergeCell ref="AW99:AW101"/>
    <mergeCell ref="AX99:AX101"/>
    <mergeCell ref="AM99:AM101"/>
    <mergeCell ref="AN99:AN101"/>
    <mergeCell ref="AO99:AO101"/>
    <mergeCell ref="AP99:AP101"/>
    <mergeCell ref="AQ99:AQ101"/>
    <mergeCell ref="AR99:AR101"/>
    <mergeCell ref="AG99:AG101"/>
    <mergeCell ref="AH99:AH101"/>
    <mergeCell ref="AI99:AI101"/>
    <mergeCell ref="AJ99:AJ101"/>
    <mergeCell ref="AK99:AK101"/>
    <mergeCell ref="AL99:AL101"/>
    <mergeCell ref="AA99:AA101"/>
    <mergeCell ref="AB99:AB101"/>
    <mergeCell ref="AC99:AC101"/>
    <mergeCell ref="AD99:AD101"/>
    <mergeCell ref="AE99:AE101"/>
    <mergeCell ref="AF99:AF101"/>
    <mergeCell ref="O99:O101"/>
    <mergeCell ref="P99:P101"/>
    <mergeCell ref="Q99:Q101"/>
    <mergeCell ref="R99:R100"/>
    <mergeCell ref="Y99:Y101"/>
    <mergeCell ref="Z99:Z101"/>
    <mergeCell ref="BN94:BN97"/>
    <mergeCell ref="BO94:BO97"/>
    <mergeCell ref="G99:G101"/>
    <mergeCell ref="H99:H101"/>
    <mergeCell ref="I99:I101"/>
    <mergeCell ref="J99:J101"/>
    <mergeCell ref="K99:K101"/>
    <mergeCell ref="L99:L101"/>
    <mergeCell ref="M99:M101"/>
    <mergeCell ref="N99:N101"/>
    <mergeCell ref="BH94:BH97"/>
    <mergeCell ref="BI94:BI97"/>
    <mergeCell ref="BJ94:BJ97"/>
    <mergeCell ref="BK94:BK97"/>
    <mergeCell ref="BL94:BL97"/>
    <mergeCell ref="BM94:BM97"/>
    <mergeCell ref="BB94:BB97"/>
    <mergeCell ref="BC94:BC97"/>
    <mergeCell ref="BD94:BD97"/>
    <mergeCell ref="BE94:BE97"/>
    <mergeCell ref="BF94:BF97"/>
    <mergeCell ref="BG94:BG97"/>
    <mergeCell ref="AV94:AV97"/>
    <mergeCell ref="AW94:AW97"/>
    <mergeCell ref="AX94:AX97"/>
    <mergeCell ref="AY94:AY97"/>
    <mergeCell ref="AZ94:AZ97"/>
    <mergeCell ref="BA94:BA97"/>
    <mergeCell ref="AP94:AP97"/>
    <mergeCell ref="AQ94:AQ97"/>
    <mergeCell ref="AR94:AR97"/>
    <mergeCell ref="AS94:AS97"/>
    <mergeCell ref="AT94:AT97"/>
    <mergeCell ref="AU94:AU97"/>
    <mergeCell ref="AJ94:AJ97"/>
    <mergeCell ref="AK94:AK97"/>
    <mergeCell ref="AL94:AL97"/>
    <mergeCell ref="AM94:AM97"/>
    <mergeCell ref="AN94:AN97"/>
    <mergeCell ref="AO94:AO97"/>
    <mergeCell ref="AF94:AF97"/>
    <mergeCell ref="AG94:AG97"/>
    <mergeCell ref="AH94:AH97"/>
    <mergeCell ref="AI94:AI97"/>
    <mergeCell ref="R94:R97"/>
    <mergeCell ref="Y94:Y97"/>
    <mergeCell ref="Z94:Z97"/>
    <mergeCell ref="AA94:AA97"/>
    <mergeCell ref="AB94:AB97"/>
    <mergeCell ref="AC94:AC97"/>
    <mergeCell ref="L94:L97"/>
    <mergeCell ref="M94:M97"/>
    <mergeCell ref="N94:N97"/>
    <mergeCell ref="O94:O97"/>
    <mergeCell ref="P94:P97"/>
    <mergeCell ref="Q94:Q97"/>
    <mergeCell ref="BL77:BL93"/>
    <mergeCell ref="BM77:BM93"/>
    <mergeCell ref="BN77:BN93"/>
    <mergeCell ref="AU77:AU93"/>
    <mergeCell ref="AA77:AA93"/>
    <mergeCell ref="AB77:AB93"/>
    <mergeCell ref="AC77:AC93"/>
    <mergeCell ref="AE77:AE93"/>
    <mergeCell ref="AG77:AG93"/>
    <mergeCell ref="AI77:AI93"/>
    <mergeCell ref="O77:O93"/>
    <mergeCell ref="P77:P93"/>
    <mergeCell ref="Q77:Q93"/>
    <mergeCell ref="R77:R87"/>
    <mergeCell ref="Y77:Y93"/>
    <mergeCell ref="Z77:Z93"/>
    <mergeCell ref="AD94:AD97"/>
    <mergeCell ref="AE94:AE97"/>
    <mergeCell ref="BO77:BO93"/>
    <mergeCell ref="R88:R93"/>
    <mergeCell ref="G94:G97"/>
    <mergeCell ref="H94:H97"/>
    <mergeCell ref="I94:I97"/>
    <mergeCell ref="J94:J97"/>
    <mergeCell ref="K94:K97"/>
    <mergeCell ref="BF77:BF93"/>
    <mergeCell ref="BG77:BG93"/>
    <mergeCell ref="BH77:BH93"/>
    <mergeCell ref="BI77:BI93"/>
    <mergeCell ref="BJ77:BJ93"/>
    <mergeCell ref="BK77:BK93"/>
    <mergeCell ref="AW77:AW93"/>
    <mergeCell ref="AY77:AY93"/>
    <mergeCell ref="BA77:BA93"/>
    <mergeCell ref="BC77:BC93"/>
    <mergeCell ref="BD77:BD93"/>
    <mergeCell ref="BE77:BE93"/>
    <mergeCell ref="AK77:AK93"/>
    <mergeCell ref="AM77:AM93"/>
    <mergeCell ref="AO77:AO93"/>
    <mergeCell ref="AQ77:AQ93"/>
    <mergeCell ref="AS77:AS93"/>
    <mergeCell ref="BO58:BO74"/>
    <mergeCell ref="R62:R74"/>
    <mergeCell ref="G77:G93"/>
    <mergeCell ref="H77:H93"/>
    <mergeCell ref="I77:I93"/>
    <mergeCell ref="J77:J93"/>
    <mergeCell ref="K77:K93"/>
    <mergeCell ref="L77:L93"/>
    <mergeCell ref="M77:M93"/>
    <mergeCell ref="N77:N93"/>
    <mergeCell ref="BI58:BI74"/>
    <mergeCell ref="BJ58:BJ74"/>
    <mergeCell ref="BK58:BK74"/>
    <mergeCell ref="BL58:BL74"/>
    <mergeCell ref="BM58:BM74"/>
    <mergeCell ref="BN58:BN74"/>
    <mergeCell ref="BC58:BC74"/>
    <mergeCell ref="BD58:BD74"/>
    <mergeCell ref="BE58:BE74"/>
    <mergeCell ref="BF58:BF74"/>
    <mergeCell ref="BG58:BG74"/>
    <mergeCell ref="BH58:BH74"/>
    <mergeCell ref="AW58:AW74"/>
    <mergeCell ref="AX58:AX74"/>
    <mergeCell ref="AY58:AY74"/>
    <mergeCell ref="AZ58:AZ74"/>
    <mergeCell ref="BA58:BA74"/>
    <mergeCell ref="BB58:BB74"/>
    <mergeCell ref="AQ58:AQ74"/>
    <mergeCell ref="AR58:AR74"/>
    <mergeCell ref="AS58:AS74"/>
    <mergeCell ref="AT58:AT74"/>
    <mergeCell ref="AU58:AU74"/>
    <mergeCell ref="AV58:AV74"/>
    <mergeCell ref="AK58:AK74"/>
    <mergeCell ref="AL58:AL74"/>
    <mergeCell ref="AM58:AM74"/>
    <mergeCell ref="AN58:AN74"/>
    <mergeCell ref="AO58:AO74"/>
    <mergeCell ref="AP58:AP74"/>
    <mergeCell ref="AE58:AE74"/>
    <mergeCell ref="AF58:AF74"/>
    <mergeCell ref="AG58:AG74"/>
    <mergeCell ref="AH58:AH74"/>
    <mergeCell ref="AI58:AI74"/>
    <mergeCell ref="AJ58:AJ74"/>
    <mergeCell ref="Y58:Y74"/>
    <mergeCell ref="Z58:Z74"/>
    <mergeCell ref="AA58:AA74"/>
    <mergeCell ref="AB58:AB74"/>
    <mergeCell ref="AC58:AC74"/>
    <mergeCell ref="AD58:AD74"/>
    <mergeCell ref="M58:M74"/>
    <mergeCell ref="N58:N74"/>
    <mergeCell ref="O58:O74"/>
    <mergeCell ref="P58:P74"/>
    <mergeCell ref="Q58:Q74"/>
    <mergeCell ref="R58:R61"/>
    <mergeCell ref="G58:G74"/>
    <mergeCell ref="H58:H74"/>
    <mergeCell ref="I58:I74"/>
    <mergeCell ref="J58:J74"/>
    <mergeCell ref="K58:K74"/>
    <mergeCell ref="L58:L74"/>
    <mergeCell ref="BN45:BN56"/>
    <mergeCell ref="BO45:BO56"/>
    <mergeCell ref="G51:G53"/>
    <mergeCell ref="H51:H53"/>
    <mergeCell ref="I51:I53"/>
    <mergeCell ref="J51:J53"/>
    <mergeCell ref="K51:K53"/>
    <mergeCell ref="O51:O53"/>
    <mergeCell ref="R51:R53"/>
    <mergeCell ref="G54:G56"/>
    <mergeCell ref="BH45:BH56"/>
    <mergeCell ref="BI45:BI56"/>
    <mergeCell ref="BJ45:BJ56"/>
    <mergeCell ref="BK45:BK56"/>
    <mergeCell ref="BL45:BL56"/>
    <mergeCell ref="BM45:BM56"/>
    <mergeCell ref="BA45:BA56"/>
    <mergeCell ref="BC45:BC56"/>
    <mergeCell ref="BD45:BD56"/>
    <mergeCell ref="BE45:BE56"/>
    <mergeCell ref="BF45:BF56"/>
    <mergeCell ref="BG45:BG56"/>
    <mergeCell ref="AO45:AO56"/>
    <mergeCell ref="AQ45:AQ56"/>
    <mergeCell ref="AS45:AS56"/>
    <mergeCell ref="AU45:AU56"/>
    <mergeCell ref="AW45:AW56"/>
    <mergeCell ref="AY45:AY56"/>
    <mergeCell ref="AF45:AF56"/>
    <mergeCell ref="AG45:AG56"/>
    <mergeCell ref="AH45:AH56"/>
    <mergeCell ref="AI45:AI56"/>
    <mergeCell ref="AK45:AK56"/>
    <mergeCell ref="AM45:AM56"/>
    <mergeCell ref="Y45:Y56"/>
    <mergeCell ref="Z45:Z56"/>
    <mergeCell ref="AA45:AA56"/>
    <mergeCell ref="AB45:AB56"/>
    <mergeCell ref="AC45:AC56"/>
    <mergeCell ref="AE45:AE56"/>
    <mergeCell ref="M45:M56"/>
    <mergeCell ref="N45:N56"/>
    <mergeCell ref="O45:O50"/>
    <mergeCell ref="P45:P56"/>
    <mergeCell ref="Q45:Q56"/>
    <mergeCell ref="R45:R50"/>
    <mergeCell ref="O54:O56"/>
    <mergeCell ref="R54:R56"/>
    <mergeCell ref="G45:G50"/>
    <mergeCell ref="H45:H50"/>
    <mergeCell ref="I45:I50"/>
    <mergeCell ref="J45:J50"/>
    <mergeCell ref="K45:K50"/>
    <mergeCell ref="L45:L56"/>
    <mergeCell ref="H54:H56"/>
    <mergeCell ref="I54:I56"/>
    <mergeCell ref="J54:J56"/>
    <mergeCell ref="K54:K56"/>
    <mergeCell ref="G41:G43"/>
    <mergeCell ref="H41:H43"/>
    <mergeCell ref="I41:I43"/>
    <mergeCell ref="J41:J43"/>
    <mergeCell ref="K41:K43"/>
    <mergeCell ref="O41:O43"/>
    <mergeCell ref="BK31:BK43"/>
    <mergeCell ref="BL31:BL43"/>
    <mergeCell ref="BM31:BM43"/>
    <mergeCell ref="AX31:AX43"/>
    <mergeCell ref="AM31:AM43"/>
    <mergeCell ref="AN31:AN43"/>
    <mergeCell ref="AO31:AO43"/>
    <mergeCell ref="AP31:AP43"/>
    <mergeCell ref="AQ31:AQ43"/>
    <mergeCell ref="AR31:AR43"/>
    <mergeCell ref="AG31:AG43"/>
    <mergeCell ref="AH31:AH43"/>
    <mergeCell ref="AI31:AI43"/>
    <mergeCell ref="AJ31:AJ43"/>
    <mergeCell ref="AK31:AK43"/>
    <mergeCell ref="AL31:AL43"/>
    <mergeCell ref="AA31:AA43"/>
    <mergeCell ref="AB31:AB43"/>
    <mergeCell ref="BN31:BN43"/>
    <mergeCell ref="BO31:BO43"/>
    <mergeCell ref="G38:G40"/>
    <mergeCell ref="H38:H40"/>
    <mergeCell ref="I38:I40"/>
    <mergeCell ref="J38:J40"/>
    <mergeCell ref="K38:K40"/>
    <mergeCell ref="BE31:BE43"/>
    <mergeCell ref="BF31:BF43"/>
    <mergeCell ref="BG31:BG43"/>
    <mergeCell ref="BH31:BH43"/>
    <mergeCell ref="BI31:BI43"/>
    <mergeCell ref="BJ31:BJ43"/>
    <mergeCell ref="AY31:AY43"/>
    <mergeCell ref="AZ31:AZ43"/>
    <mergeCell ref="BA31:BA43"/>
    <mergeCell ref="BB31:BB43"/>
    <mergeCell ref="BC31:BC43"/>
    <mergeCell ref="BD31:BD43"/>
    <mergeCell ref="AS31:AS43"/>
    <mergeCell ref="AT31:AT43"/>
    <mergeCell ref="AU31:AU43"/>
    <mergeCell ref="AV31:AV43"/>
    <mergeCell ref="AW31:AW43"/>
    <mergeCell ref="AC31:AC43"/>
    <mergeCell ref="AD31:AD43"/>
    <mergeCell ref="AE31:AE43"/>
    <mergeCell ref="AF31:AF43"/>
    <mergeCell ref="O31:O37"/>
    <mergeCell ref="P31:P43"/>
    <mergeCell ref="Q31:Q43"/>
    <mergeCell ref="R31:R37"/>
    <mergeCell ref="Y31:Y43"/>
    <mergeCell ref="Z31:Z43"/>
    <mergeCell ref="O38:O40"/>
    <mergeCell ref="R38:R40"/>
    <mergeCell ref="R41:R43"/>
    <mergeCell ref="BO23:BO29"/>
    <mergeCell ref="R28:R29"/>
    <mergeCell ref="G31:G37"/>
    <mergeCell ref="H31:H37"/>
    <mergeCell ref="I31:I37"/>
    <mergeCell ref="J31:J37"/>
    <mergeCell ref="K31:K37"/>
    <mergeCell ref="L31:L43"/>
    <mergeCell ref="M31:M43"/>
    <mergeCell ref="N31:N43"/>
    <mergeCell ref="BI23:BI29"/>
    <mergeCell ref="BJ23:BJ29"/>
    <mergeCell ref="BK23:BK29"/>
    <mergeCell ref="BL23:BL29"/>
    <mergeCell ref="BM23:BM29"/>
    <mergeCell ref="BN23:BN29"/>
    <mergeCell ref="BC23:BC29"/>
    <mergeCell ref="BD23:BD29"/>
    <mergeCell ref="BE23:BE29"/>
    <mergeCell ref="BF23:BF29"/>
    <mergeCell ref="BG23:BG29"/>
    <mergeCell ref="BH23:BH29"/>
    <mergeCell ref="AW23:AW29"/>
    <mergeCell ref="AX23:AX29"/>
    <mergeCell ref="AY23:AY29"/>
    <mergeCell ref="AZ23:AZ29"/>
    <mergeCell ref="BA23:BA29"/>
    <mergeCell ref="BB23:BB29"/>
    <mergeCell ref="AQ23:AQ29"/>
    <mergeCell ref="AR23:AR29"/>
    <mergeCell ref="AS23:AS29"/>
    <mergeCell ref="AT23:AT29"/>
    <mergeCell ref="AU23:AU29"/>
    <mergeCell ref="AV23:AV29"/>
    <mergeCell ref="AK23:AK29"/>
    <mergeCell ref="AL23:AL29"/>
    <mergeCell ref="AM23:AM29"/>
    <mergeCell ref="AN23:AN29"/>
    <mergeCell ref="AO23:AO29"/>
    <mergeCell ref="AP23:AP29"/>
    <mergeCell ref="AE23:AE29"/>
    <mergeCell ref="AF23:AF29"/>
    <mergeCell ref="AG23:AG29"/>
    <mergeCell ref="AH23:AH29"/>
    <mergeCell ref="AI23:AI29"/>
    <mergeCell ref="AJ23:AJ29"/>
    <mergeCell ref="Y23:Y29"/>
    <mergeCell ref="Z23:Z29"/>
    <mergeCell ref="AA23:AA29"/>
    <mergeCell ref="AB23:AB29"/>
    <mergeCell ref="AC23:AC29"/>
    <mergeCell ref="AD23:AD29"/>
    <mergeCell ref="M23:M29"/>
    <mergeCell ref="N23:N29"/>
    <mergeCell ref="O23:O29"/>
    <mergeCell ref="P23:P29"/>
    <mergeCell ref="Q23:Q29"/>
    <mergeCell ref="R23:R27"/>
    <mergeCell ref="G23:G29"/>
    <mergeCell ref="H23:H29"/>
    <mergeCell ref="I23:I29"/>
    <mergeCell ref="J23:J29"/>
    <mergeCell ref="K23:K29"/>
    <mergeCell ref="L23:L29"/>
    <mergeCell ref="BM13:BM20"/>
    <mergeCell ref="BN13:BN20"/>
    <mergeCell ref="BO13:BO20"/>
    <mergeCell ref="G17:G20"/>
    <mergeCell ref="H17:H20"/>
    <mergeCell ref="I17:I20"/>
    <mergeCell ref="J17:J20"/>
    <mergeCell ref="K17:K20"/>
    <mergeCell ref="O17:O20"/>
    <mergeCell ref="R17:R20"/>
    <mergeCell ref="BG13:BG20"/>
    <mergeCell ref="BH13:BH20"/>
    <mergeCell ref="BI13:BI20"/>
    <mergeCell ref="BJ13:BJ20"/>
    <mergeCell ref="BK13:BK20"/>
    <mergeCell ref="BL13:BL20"/>
    <mergeCell ref="AY13:AY20"/>
    <mergeCell ref="BA13:BA20"/>
    <mergeCell ref="BC13:BC20"/>
    <mergeCell ref="BD13:BD20"/>
    <mergeCell ref="BE13:BE20"/>
    <mergeCell ref="BF13:BF20"/>
    <mergeCell ref="AM13:AM20"/>
    <mergeCell ref="AO13:AO20"/>
    <mergeCell ref="AQ13:AQ20"/>
    <mergeCell ref="AS13:AS20"/>
    <mergeCell ref="AU13:AU20"/>
    <mergeCell ref="AW13:AW20"/>
    <mergeCell ref="M13:M20"/>
    <mergeCell ref="N13:N20"/>
    <mergeCell ref="O13:O16"/>
    <mergeCell ref="P13:P20"/>
    <mergeCell ref="Q13:Q20"/>
    <mergeCell ref="R13:R16"/>
    <mergeCell ref="AW9:AX9"/>
    <mergeCell ref="AY9:AZ9"/>
    <mergeCell ref="BA9:BB9"/>
    <mergeCell ref="R7:R9"/>
    <mergeCell ref="S7:S9"/>
    <mergeCell ref="AE13:AE20"/>
    <mergeCell ref="AF13:AF20"/>
    <mergeCell ref="AG13:AG20"/>
    <mergeCell ref="AH13:AH20"/>
    <mergeCell ref="AI13:AI20"/>
    <mergeCell ref="AK13:AK20"/>
    <mergeCell ref="Y13:Y20"/>
    <mergeCell ref="Z13:Z20"/>
    <mergeCell ref="AA13:AA20"/>
    <mergeCell ref="AB13:AB20"/>
    <mergeCell ref="AC13:AC20"/>
    <mergeCell ref="AD13:AD20"/>
    <mergeCell ref="E13:F20"/>
    <mergeCell ref="G13:G16"/>
    <mergeCell ref="H13:H16"/>
    <mergeCell ref="I13:I16"/>
    <mergeCell ref="J13:J16"/>
    <mergeCell ref="K13:K16"/>
    <mergeCell ref="L13:L20"/>
    <mergeCell ref="BI8:BI9"/>
    <mergeCell ref="BJ8:BJ9"/>
    <mergeCell ref="Y9:Z9"/>
    <mergeCell ref="AA9:AB9"/>
    <mergeCell ref="AC9:AD9"/>
    <mergeCell ref="AE9:AF9"/>
    <mergeCell ref="AG9:AH9"/>
    <mergeCell ref="AI9:AJ9"/>
    <mergeCell ref="AK9:AL9"/>
    <mergeCell ref="AM9:AN9"/>
    <mergeCell ref="AW7:BB8"/>
    <mergeCell ref="BC7:BD9"/>
    <mergeCell ref="BE7:BJ7"/>
    <mergeCell ref="N7:N9"/>
    <mergeCell ref="O7:O9"/>
    <mergeCell ref="P7:P9"/>
    <mergeCell ref="Q7:Q9"/>
    <mergeCell ref="BH8:BH9"/>
    <mergeCell ref="T7:V8"/>
    <mergeCell ref="W7:W9"/>
    <mergeCell ref="X7:X9"/>
    <mergeCell ref="Y7:AB8"/>
    <mergeCell ref="AC7:AJ8"/>
    <mergeCell ref="AK7:AV8"/>
    <mergeCell ref="AO9:AP9"/>
    <mergeCell ref="AQ9:AR9"/>
    <mergeCell ref="AS9:AT9"/>
    <mergeCell ref="AU9:AV9"/>
    <mergeCell ref="A1:BK4"/>
    <mergeCell ref="A5:J6"/>
    <mergeCell ref="N5:BO5"/>
    <mergeCell ref="N6:X6"/>
    <mergeCell ref="Y6:BC6"/>
    <mergeCell ref="BK6:BO6"/>
    <mergeCell ref="G7:G9"/>
    <mergeCell ref="H7:H9"/>
    <mergeCell ref="I7:I9"/>
    <mergeCell ref="J7:K8"/>
    <mergeCell ref="L7:L9"/>
    <mergeCell ref="M7:M9"/>
    <mergeCell ref="A7:A9"/>
    <mergeCell ref="B7:B9"/>
    <mergeCell ref="C7:C9"/>
    <mergeCell ref="D7:D9"/>
    <mergeCell ref="E7:E9"/>
    <mergeCell ref="F7:F9"/>
    <mergeCell ref="BK7:BL9"/>
    <mergeCell ref="BM7:BN9"/>
    <mergeCell ref="BO7:BO9"/>
    <mergeCell ref="BE8:BE9"/>
    <mergeCell ref="BF8:BF9"/>
    <mergeCell ref="BG8:BG9"/>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8"/>
  <sheetViews>
    <sheetView showGridLines="0" zoomScale="60" zoomScaleNormal="60" workbookViewId="0">
      <selection activeCell="B11" sqref="B11:C20"/>
    </sheetView>
  </sheetViews>
  <sheetFormatPr baseColWidth="10" defaultColWidth="11.42578125" defaultRowHeight="14.25" x14ac:dyDescent="0.2"/>
  <cols>
    <col min="1" max="1" width="15.7109375" style="438" customWidth="1"/>
    <col min="2" max="2" width="7.85546875" style="438" customWidth="1"/>
    <col min="3" max="3" width="19" style="438" customWidth="1"/>
    <col min="4" max="4" width="23.5703125" style="438" customWidth="1"/>
    <col min="5" max="5" width="9.5703125" style="438" customWidth="1"/>
    <col min="6" max="6" width="13.7109375" style="438" customWidth="1"/>
    <col min="7" max="7" width="16.5703125" style="438" customWidth="1"/>
    <col min="8" max="8" width="10" style="438" customWidth="1"/>
    <col min="9" max="9" width="14.5703125" style="438" customWidth="1"/>
    <col min="10" max="10" width="16" style="438" customWidth="1"/>
    <col min="11" max="11" width="23" style="438" customWidth="1"/>
    <col min="12" max="12" width="20.5703125" style="438" customWidth="1"/>
    <col min="13" max="14" width="13.7109375" style="438" customWidth="1"/>
    <col min="15" max="15" width="35.85546875" style="438" customWidth="1"/>
    <col min="16" max="16" width="21.7109375" style="438" customWidth="1"/>
    <col min="17" max="17" width="24.42578125" style="438" customWidth="1"/>
    <col min="18" max="18" width="14.28515625" style="438" customWidth="1"/>
    <col min="19" max="19" width="23.28515625" style="438" customWidth="1"/>
    <col min="20" max="20" width="28" style="438" customWidth="1"/>
    <col min="21" max="21" width="27.7109375" style="438" customWidth="1"/>
    <col min="22" max="22" width="40" style="438" customWidth="1"/>
    <col min="23" max="25" width="23.85546875" style="438" customWidth="1"/>
    <col min="26" max="26" width="17.85546875" style="438" customWidth="1"/>
    <col min="27" max="27" width="21.5703125" style="438" customWidth="1"/>
    <col min="28" max="59" width="10.7109375" style="438" customWidth="1"/>
    <col min="60" max="60" width="16.42578125" style="438" customWidth="1"/>
    <col min="61" max="61" width="22.42578125" style="438" customWidth="1"/>
    <col min="62" max="62" width="21.42578125" style="438" customWidth="1"/>
    <col min="63" max="65" width="16.42578125" style="438" customWidth="1"/>
    <col min="66" max="66" width="14.5703125" style="438" customWidth="1"/>
    <col min="67" max="67" width="13.140625" style="438" customWidth="1"/>
    <col min="68" max="68" width="16.85546875" style="438" customWidth="1"/>
    <col min="69" max="69" width="17.42578125" style="438" customWidth="1"/>
    <col min="70" max="70" width="24.42578125" style="438" customWidth="1"/>
    <col min="71" max="83" width="14.85546875" style="438" customWidth="1"/>
    <col min="84" max="16384" width="11.42578125" style="438"/>
  </cols>
  <sheetData>
    <row r="1" spans="1:70" ht="13.5" customHeight="1" x14ac:dyDescent="0.25">
      <c r="A1" s="3436" t="s">
        <v>313</v>
      </c>
      <c r="B1" s="3437"/>
      <c r="C1" s="3437"/>
      <c r="D1" s="3437"/>
      <c r="E1" s="3437"/>
      <c r="F1" s="3437"/>
      <c r="G1" s="3437"/>
      <c r="H1" s="3437"/>
      <c r="I1" s="3437"/>
      <c r="J1" s="3437"/>
      <c r="K1" s="3437"/>
      <c r="L1" s="3437"/>
      <c r="M1" s="3437"/>
      <c r="N1" s="3437"/>
      <c r="O1" s="3437"/>
      <c r="P1" s="3437"/>
      <c r="Q1" s="3437"/>
      <c r="R1" s="3437"/>
      <c r="S1" s="3437"/>
      <c r="T1" s="3437"/>
      <c r="U1" s="3437"/>
      <c r="V1" s="3437"/>
      <c r="W1" s="3437"/>
      <c r="X1" s="3437"/>
      <c r="Y1" s="3437"/>
      <c r="Z1" s="3437"/>
      <c r="AA1" s="3437"/>
      <c r="AB1" s="3437"/>
      <c r="AC1" s="3437"/>
      <c r="AD1" s="3437"/>
      <c r="AE1" s="3437"/>
      <c r="AF1" s="3437"/>
      <c r="AG1" s="3437"/>
      <c r="AH1" s="3437"/>
      <c r="AI1" s="3437"/>
      <c r="AJ1" s="3437"/>
      <c r="AK1" s="3437"/>
      <c r="AL1" s="3437"/>
      <c r="AM1" s="3437"/>
      <c r="AN1" s="3437"/>
      <c r="AO1" s="3437"/>
      <c r="AP1" s="3437"/>
      <c r="AQ1" s="3437"/>
      <c r="AR1" s="3437"/>
      <c r="AS1" s="3437"/>
      <c r="AT1" s="3437"/>
      <c r="AU1" s="3437"/>
      <c r="AV1" s="3437"/>
      <c r="AW1" s="3437"/>
      <c r="AX1" s="3437"/>
      <c r="AY1" s="3437"/>
      <c r="AZ1" s="3437"/>
      <c r="BA1" s="3437"/>
      <c r="BB1" s="3437"/>
      <c r="BC1" s="3437"/>
      <c r="BD1" s="3437"/>
      <c r="BE1" s="3437"/>
      <c r="BF1" s="3437"/>
      <c r="BG1" s="3437"/>
      <c r="BH1" s="3437"/>
      <c r="BI1" s="3437"/>
      <c r="BJ1" s="3437"/>
      <c r="BK1" s="3437"/>
      <c r="BL1" s="3437"/>
      <c r="BM1" s="3437"/>
      <c r="BN1" s="3437"/>
      <c r="BO1" s="549"/>
      <c r="BP1" s="550"/>
      <c r="BQ1" s="132" t="s">
        <v>0</v>
      </c>
      <c r="BR1" s="551" t="s">
        <v>1</v>
      </c>
    </row>
    <row r="2" spans="1:70" ht="15" customHeight="1" x14ac:dyDescent="0.25">
      <c r="A2" s="3436"/>
      <c r="B2" s="3437"/>
      <c r="C2" s="3437"/>
      <c r="D2" s="3437"/>
      <c r="E2" s="3437"/>
      <c r="F2" s="3437"/>
      <c r="G2" s="3437"/>
      <c r="H2" s="3437"/>
      <c r="I2" s="3437"/>
      <c r="J2" s="3437"/>
      <c r="K2" s="3437"/>
      <c r="L2" s="3437"/>
      <c r="M2" s="3437"/>
      <c r="N2" s="3437"/>
      <c r="O2" s="3437"/>
      <c r="P2" s="3437"/>
      <c r="Q2" s="3437"/>
      <c r="R2" s="3437"/>
      <c r="S2" s="3437"/>
      <c r="T2" s="3437"/>
      <c r="U2" s="3437"/>
      <c r="V2" s="3437"/>
      <c r="W2" s="3437"/>
      <c r="X2" s="3437"/>
      <c r="Y2" s="3437"/>
      <c r="Z2" s="3437"/>
      <c r="AA2" s="3437"/>
      <c r="AB2" s="3437"/>
      <c r="AC2" s="3437"/>
      <c r="AD2" s="3437"/>
      <c r="AE2" s="3437"/>
      <c r="AF2" s="3437"/>
      <c r="AG2" s="3437"/>
      <c r="AH2" s="3437"/>
      <c r="AI2" s="3437"/>
      <c r="AJ2" s="3437"/>
      <c r="AK2" s="3437"/>
      <c r="AL2" s="3437"/>
      <c r="AM2" s="3437"/>
      <c r="AN2" s="3437"/>
      <c r="AO2" s="3437"/>
      <c r="AP2" s="3437"/>
      <c r="AQ2" s="3437"/>
      <c r="AR2" s="3437"/>
      <c r="AS2" s="3437"/>
      <c r="AT2" s="3437"/>
      <c r="AU2" s="3437"/>
      <c r="AV2" s="3437"/>
      <c r="AW2" s="3437"/>
      <c r="AX2" s="3437"/>
      <c r="AY2" s="3437"/>
      <c r="AZ2" s="3437"/>
      <c r="BA2" s="3437"/>
      <c r="BB2" s="3437"/>
      <c r="BC2" s="3437"/>
      <c r="BD2" s="3437"/>
      <c r="BE2" s="3437"/>
      <c r="BF2" s="3437"/>
      <c r="BG2" s="3437"/>
      <c r="BH2" s="3437"/>
      <c r="BI2" s="3437"/>
      <c r="BJ2" s="3437"/>
      <c r="BK2" s="3437"/>
      <c r="BL2" s="3437"/>
      <c r="BM2" s="3437"/>
      <c r="BN2" s="3437"/>
      <c r="BO2" s="549"/>
      <c r="BP2" s="552"/>
      <c r="BQ2" s="133" t="s">
        <v>2</v>
      </c>
      <c r="BR2" s="553">
        <v>6</v>
      </c>
    </row>
    <row r="3" spans="1:70" ht="22.5" customHeight="1" x14ac:dyDescent="0.25">
      <c r="A3" s="3436"/>
      <c r="B3" s="3437"/>
      <c r="C3" s="3437"/>
      <c r="D3" s="3437"/>
      <c r="E3" s="3437"/>
      <c r="F3" s="3437"/>
      <c r="G3" s="3437"/>
      <c r="H3" s="3437"/>
      <c r="I3" s="3437"/>
      <c r="J3" s="3437"/>
      <c r="K3" s="3437"/>
      <c r="L3" s="3437"/>
      <c r="M3" s="3437"/>
      <c r="N3" s="3437"/>
      <c r="O3" s="3437"/>
      <c r="P3" s="3437"/>
      <c r="Q3" s="3437"/>
      <c r="R3" s="3437"/>
      <c r="S3" s="3437"/>
      <c r="T3" s="3437"/>
      <c r="U3" s="3437"/>
      <c r="V3" s="3437"/>
      <c r="W3" s="3437"/>
      <c r="X3" s="3437"/>
      <c r="Y3" s="3437"/>
      <c r="Z3" s="3437"/>
      <c r="AA3" s="3437"/>
      <c r="AB3" s="3437"/>
      <c r="AC3" s="3437"/>
      <c r="AD3" s="3437"/>
      <c r="AE3" s="3437"/>
      <c r="AF3" s="3437"/>
      <c r="AG3" s="3437"/>
      <c r="AH3" s="3437"/>
      <c r="AI3" s="3437"/>
      <c r="AJ3" s="3437"/>
      <c r="AK3" s="3437"/>
      <c r="AL3" s="3437"/>
      <c r="AM3" s="3437"/>
      <c r="AN3" s="3437"/>
      <c r="AO3" s="3437"/>
      <c r="AP3" s="3437"/>
      <c r="AQ3" s="3437"/>
      <c r="AR3" s="3437"/>
      <c r="AS3" s="3437"/>
      <c r="AT3" s="3437"/>
      <c r="AU3" s="3437"/>
      <c r="AV3" s="3437"/>
      <c r="AW3" s="3437"/>
      <c r="AX3" s="3437"/>
      <c r="AY3" s="3437"/>
      <c r="AZ3" s="3437"/>
      <c r="BA3" s="3437"/>
      <c r="BB3" s="3437"/>
      <c r="BC3" s="3437"/>
      <c r="BD3" s="3437"/>
      <c r="BE3" s="3437"/>
      <c r="BF3" s="3437"/>
      <c r="BG3" s="3437"/>
      <c r="BH3" s="3437"/>
      <c r="BI3" s="3437"/>
      <c r="BJ3" s="3437"/>
      <c r="BK3" s="3437"/>
      <c r="BL3" s="3437"/>
      <c r="BM3" s="3437"/>
      <c r="BN3" s="3437"/>
      <c r="BO3" s="549"/>
      <c r="BP3" s="550"/>
      <c r="BQ3" s="132" t="s">
        <v>3</v>
      </c>
      <c r="BR3" s="554" t="s">
        <v>4</v>
      </c>
    </row>
    <row r="4" spans="1:70" s="556" customFormat="1" ht="26.25" customHeight="1" x14ac:dyDescent="0.2">
      <c r="A4" s="3438"/>
      <c r="B4" s="3439"/>
      <c r="C4" s="3439"/>
      <c r="D4" s="3439"/>
      <c r="E4" s="3439"/>
      <c r="F4" s="3439"/>
      <c r="G4" s="3439"/>
      <c r="H4" s="3439"/>
      <c r="I4" s="3439"/>
      <c r="J4" s="3439"/>
      <c r="K4" s="3439"/>
      <c r="L4" s="3439"/>
      <c r="M4" s="3439"/>
      <c r="N4" s="3439"/>
      <c r="O4" s="3439"/>
      <c r="P4" s="3439"/>
      <c r="Q4" s="3439"/>
      <c r="R4" s="3439"/>
      <c r="S4" s="3439"/>
      <c r="T4" s="3439"/>
      <c r="U4" s="3439"/>
      <c r="V4" s="3439"/>
      <c r="W4" s="3439"/>
      <c r="X4" s="3439"/>
      <c r="Y4" s="3439"/>
      <c r="Z4" s="3439"/>
      <c r="AA4" s="3439"/>
      <c r="AB4" s="3439"/>
      <c r="AC4" s="3439"/>
      <c r="AD4" s="3439"/>
      <c r="AE4" s="3439"/>
      <c r="AF4" s="3439"/>
      <c r="AG4" s="3439"/>
      <c r="AH4" s="3439"/>
      <c r="AI4" s="3439"/>
      <c r="AJ4" s="3439"/>
      <c r="AK4" s="3439"/>
      <c r="AL4" s="3439"/>
      <c r="AM4" s="3439"/>
      <c r="AN4" s="3439"/>
      <c r="AO4" s="3439"/>
      <c r="AP4" s="3439"/>
      <c r="AQ4" s="3439"/>
      <c r="AR4" s="3439"/>
      <c r="AS4" s="3439"/>
      <c r="AT4" s="3439"/>
      <c r="AU4" s="3439"/>
      <c r="AV4" s="3439"/>
      <c r="AW4" s="3439"/>
      <c r="AX4" s="3439"/>
      <c r="AY4" s="3439"/>
      <c r="AZ4" s="3439"/>
      <c r="BA4" s="3439"/>
      <c r="BB4" s="3439"/>
      <c r="BC4" s="3439"/>
      <c r="BD4" s="3439"/>
      <c r="BE4" s="3439"/>
      <c r="BF4" s="3439"/>
      <c r="BG4" s="3439"/>
      <c r="BH4" s="3439"/>
      <c r="BI4" s="3439"/>
      <c r="BJ4" s="3439"/>
      <c r="BK4" s="3439"/>
      <c r="BL4" s="3439"/>
      <c r="BM4" s="3439"/>
      <c r="BN4" s="3439"/>
      <c r="BO4" s="555"/>
      <c r="BP4" s="555"/>
      <c r="BQ4" s="132" t="s">
        <v>5</v>
      </c>
      <c r="BR4" s="9" t="s">
        <v>6</v>
      </c>
    </row>
    <row r="5" spans="1:70" ht="26.25" customHeight="1" x14ac:dyDescent="0.2">
      <c r="A5" s="3873" t="s">
        <v>7</v>
      </c>
      <c r="B5" s="3874"/>
      <c r="C5" s="3874"/>
      <c r="D5" s="3874"/>
      <c r="E5" s="3874"/>
      <c r="F5" s="3874"/>
      <c r="G5" s="3874"/>
      <c r="H5" s="3874"/>
      <c r="I5" s="3874"/>
      <c r="J5" s="3874"/>
      <c r="K5" s="3874"/>
      <c r="L5" s="3874"/>
      <c r="M5" s="3874"/>
      <c r="N5" s="5062"/>
      <c r="O5" s="557"/>
      <c r="P5" s="557"/>
      <c r="Q5" s="3877" t="s">
        <v>8</v>
      </c>
      <c r="R5" s="3877"/>
      <c r="S5" s="3877"/>
      <c r="T5" s="3877"/>
      <c r="U5" s="3877"/>
      <c r="V5" s="3877"/>
      <c r="W5" s="3877"/>
      <c r="X5" s="3877"/>
      <c r="Y5" s="3877"/>
      <c r="Z5" s="3877"/>
      <c r="AA5" s="3877"/>
      <c r="AB5" s="3877"/>
      <c r="AC5" s="3877"/>
      <c r="AD5" s="3877"/>
      <c r="AE5" s="3877"/>
      <c r="AF5" s="3877"/>
      <c r="AG5" s="3877"/>
      <c r="AH5" s="3877"/>
      <c r="AI5" s="3877"/>
      <c r="AJ5" s="3877"/>
      <c r="AK5" s="3877"/>
      <c r="AL5" s="3877"/>
      <c r="AM5" s="3877"/>
      <c r="AN5" s="3877"/>
      <c r="AO5" s="3877"/>
      <c r="AP5" s="3877"/>
      <c r="AQ5" s="3877"/>
      <c r="AR5" s="3877"/>
      <c r="AS5" s="3877"/>
      <c r="AT5" s="3877"/>
      <c r="AU5" s="3877"/>
      <c r="AV5" s="3877"/>
      <c r="AW5" s="3877"/>
      <c r="AX5" s="3877"/>
      <c r="AY5" s="3877"/>
      <c r="AZ5" s="3877"/>
      <c r="BA5" s="3877"/>
      <c r="BB5" s="3877"/>
      <c r="BC5" s="3877"/>
      <c r="BD5" s="3877"/>
      <c r="BE5" s="3877"/>
      <c r="BF5" s="3877"/>
      <c r="BG5" s="3877"/>
      <c r="BH5" s="3877"/>
      <c r="BI5" s="3877"/>
      <c r="BJ5" s="3877"/>
      <c r="BK5" s="3877"/>
      <c r="BL5" s="3877"/>
      <c r="BM5" s="3877"/>
      <c r="BN5" s="3877"/>
      <c r="BO5" s="3877"/>
      <c r="BP5" s="5064"/>
      <c r="BQ5" s="3878"/>
      <c r="BR5" s="3879"/>
    </row>
    <row r="6" spans="1:70" ht="41.25" customHeight="1" x14ac:dyDescent="0.2">
      <c r="A6" s="3875"/>
      <c r="B6" s="3876"/>
      <c r="C6" s="3876"/>
      <c r="D6" s="3876"/>
      <c r="E6" s="3876"/>
      <c r="F6" s="3876"/>
      <c r="G6" s="3876"/>
      <c r="H6" s="3876"/>
      <c r="I6" s="3876"/>
      <c r="J6" s="3876"/>
      <c r="K6" s="3876"/>
      <c r="L6" s="3876"/>
      <c r="M6" s="3876"/>
      <c r="N6" s="5063"/>
      <c r="O6" s="557"/>
      <c r="P6" s="558"/>
      <c r="Q6" s="3878"/>
      <c r="R6" s="3880"/>
      <c r="S6" s="3880"/>
      <c r="T6" s="3880"/>
      <c r="U6" s="3880"/>
      <c r="V6" s="3880"/>
      <c r="W6" s="3880"/>
      <c r="X6" s="3880"/>
      <c r="Y6" s="3880"/>
      <c r="Z6" s="3880"/>
      <c r="AA6" s="3881"/>
      <c r="AB6" s="559"/>
      <c r="AC6" s="559"/>
      <c r="AD6" s="559"/>
      <c r="AE6" s="559"/>
      <c r="AF6" s="559"/>
      <c r="AG6" s="559"/>
      <c r="AH6" s="559"/>
      <c r="AI6" s="559"/>
      <c r="AJ6" s="559"/>
      <c r="AK6" s="559"/>
      <c r="AL6" s="559"/>
      <c r="AM6" s="559"/>
      <c r="AN6" s="559"/>
      <c r="AO6" s="559"/>
      <c r="AP6" s="559"/>
      <c r="AQ6" s="559"/>
      <c r="AR6" s="559"/>
      <c r="AS6" s="559"/>
      <c r="AT6" s="559"/>
      <c r="AU6" s="559"/>
      <c r="AV6" s="559"/>
      <c r="AW6" s="559"/>
      <c r="AX6" s="559"/>
      <c r="AY6" s="559"/>
      <c r="AZ6" s="559"/>
      <c r="BA6" s="559"/>
      <c r="BB6" s="559"/>
      <c r="BC6" s="559"/>
      <c r="BD6" s="559"/>
      <c r="BE6" s="559"/>
      <c r="BF6" s="559"/>
      <c r="BG6" s="559"/>
      <c r="BH6" s="559"/>
      <c r="BI6" s="559"/>
      <c r="BJ6" s="559"/>
      <c r="BK6" s="559"/>
      <c r="BL6" s="559"/>
      <c r="BM6" s="559"/>
      <c r="BN6" s="3878"/>
      <c r="BO6" s="3880"/>
      <c r="BP6" s="3880"/>
      <c r="BQ6" s="3880"/>
      <c r="BR6" s="5065"/>
    </row>
    <row r="7" spans="1:70" ht="25.5" customHeight="1" x14ac:dyDescent="0.2">
      <c r="A7" s="5066" t="s">
        <v>0</v>
      </c>
      <c r="B7" s="3493" t="s">
        <v>9</v>
      </c>
      <c r="C7" s="3493"/>
      <c r="D7" s="3493" t="s">
        <v>0</v>
      </c>
      <c r="E7" s="3493" t="s">
        <v>10</v>
      </c>
      <c r="F7" s="3493"/>
      <c r="G7" s="3493" t="s">
        <v>0</v>
      </c>
      <c r="H7" s="3493" t="s">
        <v>11</v>
      </c>
      <c r="I7" s="3493"/>
      <c r="J7" s="3493" t="s">
        <v>0</v>
      </c>
      <c r="K7" s="3493" t="s">
        <v>12</v>
      </c>
      <c r="L7" s="3493" t="s">
        <v>13</v>
      </c>
      <c r="M7" s="3898" t="s">
        <v>14</v>
      </c>
      <c r="N7" s="3899"/>
      <c r="O7" s="3493" t="s">
        <v>15</v>
      </c>
      <c r="P7" s="4159" t="s">
        <v>16</v>
      </c>
      <c r="Q7" s="3493" t="s">
        <v>8</v>
      </c>
      <c r="R7" s="3493" t="s">
        <v>17</v>
      </c>
      <c r="S7" s="3493" t="s">
        <v>18</v>
      </c>
      <c r="T7" s="3493" t="s">
        <v>19</v>
      </c>
      <c r="U7" s="3493" t="s">
        <v>20</v>
      </c>
      <c r="V7" s="3493" t="s">
        <v>21</v>
      </c>
      <c r="W7" s="3493" t="s">
        <v>18</v>
      </c>
      <c r="X7" s="3493"/>
      <c r="Y7" s="3493"/>
      <c r="Z7" s="4159" t="s">
        <v>0</v>
      </c>
      <c r="AA7" s="3493" t="s">
        <v>22</v>
      </c>
      <c r="AB7" s="5048" t="s">
        <v>23</v>
      </c>
      <c r="AC7" s="5048"/>
      <c r="AD7" s="5048"/>
      <c r="AE7" s="5048"/>
      <c r="AF7" s="4298" t="s">
        <v>24</v>
      </c>
      <c r="AG7" s="4310"/>
      <c r="AH7" s="4310"/>
      <c r="AI7" s="4310"/>
      <c r="AJ7" s="4310"/>
      <c r="AK7" s="4310"/>
      <c r="AL7" s="4310"/>
      <c r="AM7" s="4299"/>
      <c r="AN7" s="4307" t="s">
        <v>25</v>
      </c>
      <c r="AO7" s="4308"/>
      <c r="AP7" s="4308"/>
      <c r="AQ7" s="4308"/>
      <c r="AR7" s="4308"/>
      <c r="AS7" s="4308"/>
      <c r="AT7" s="4308"/>
      <c r="AU7" s="4308"/>
      <c r="AV7" s="4308"/>
      <c r="AW7" s="4308"/>
      <c r="AX7" s="4308"/>
      <c r="AY7" s="4309"/>
      <c r="AZ7" s="4298" t="s">
        <v>26</v>
      </c>
      <c r="BA7" s="4310"/>
      <c r="BB7" s="4310"/>
      <c r="BC7" s="4310"/>
      <c r="BD7" s="4310"/>
      <c r="BE7" s="4299"/>
      <c r="BF7" s="5055" t="s">
        <v>27</v>
      </c>
      <c r="BG7" s="5056"/>
      <c r="BH7" s="3041" t="s">
        <v>28</v>
      </c>
      <c r="BI7" s="3042"/>
      <c r="BJ7" s="3042"/>
      <c r="BK7" s="3042"/>
      <c r="BL7" s="3042"/>
      <c r="BM7" s="3043"/>
      <c r="BN7" s="5068" t="s">
        <v>29</v>
      </c>
      <c r="BO7" s="5069"/>
      <c r="BP7" s="5068" t="s">
        <v>30</v>
      </c>
      <c r="BQ7" s="5069"/>
      <c r="BR7" s="3852" t="s">
        <v>31</v>
      </c>
    </row>
    <row r="8" spans="1:70" ht="122.25" customHeight="1" x14ac:dyDescent="0.2">
      <c r="A8" s="5066"/>
      <c r="B8" s="3493"/>
      <c r="C8" s="3493"/>
      <c r="D8" s="3493"/>
      <c r="E8" s="3493"/>
      <c r="F8" s="3493"/>
      <c r="G8" s="3493"/>
      <c r="H8" s="3493"/>
      <c r="I8" s="3493"/>
      <c r="J8" s="3493"/>
      <c r="K8" s="3493"/>
      <c r="L8" s="3493"/>
      <c r="M8" s="5059"/>
      <c r="N8" s="5060"/>
      <c r="O8" s="3493"/>
      <c r="P8" s="4160"/>
      <c r="Q8" s="3493"/>
      <c r="R8" s="3493"/>
      <c r="S8" s="3493"/>
      <c r="T8" s="3493"/>
      <c r="U8" s="3493"/>
      <c r="V8" s="3493"/>
      <c r="W8" s="5067" t="s">
        <v>34</v>
      </c>
      <c r="X8" s="5067" t="s">
        <v>35</v>
      </c>
      <c r="Y8" s="5067" t="s">
        <v>36</v>
      </c>
      <c r="Z8" s="4160"/>
      <c r="AA8" s="3493"/>
      <c r="AB8" s="5044" t="s">
        <v>37</v>
      </c>
      <c r="AC8" s="5045"/>
      <c r="AD8" s="5044" t="s">
        <v>38</v>
      </c>
      <c r="AE8" s="5045"/>
      <c r="AF8" s="5044" t="s">
        <v>39</v>
      </c>
      <c r="AG8" s="5045"/>
      <c r="AH8" s="5044" t="s">
        <v>40</v>
      </c>
      <c r="AI8" s="5045"/>
      <c r="AJ8" s="5044" t="s">
        <v>201</v>
      </c>
      <c r="AK8" s="5045"/>
      <c r="AL8" s="5044" t="s">
        <v>42</v>
      </c>
      <c r="AM8" s="5045"/>
      <c r="AN8" s="5044" t="s">
        <v>43</v>
      </c>
      <c r="AO8" s="5045"/>
      <c r="AP8" s="5044" t="s">
        <v>44</v>
      </c>
      <c r="AQ8" s="5045"/>
      <c r="AR8" s="5044" t="s">
        <v>45</v>
      </c>
      <c r="AS8" s="5045"/>
      <c r="AT8" s="5044" t="s">
        <v>46</v>
      </c>
      <c r="AU8" s="5045"/>
      <c r="AV8" s="5044" t="s">
        <v>47</v>
      </c>
      <c r="AW8" s="5045"/>
      <c r="AX8" s="5044" t="s">
        <v>48</v>
      </c>
      <c r="AY8" s="5045"/>
      <c r="AZ8" s="5044" t="s">
        <v>49</v>
      </c>
      <c r="BA8" s="5045"/>
      <c r="BB8" s="5044" t="s">
        <v>50</v>
      </c>
      <c r="BC8" s="5045"/>
      <c r="BD8" s="5044" t="s">
        <v>51</v>
      </c>
      <c r="BE8" s="5045"/>
      <c r="BF8" s="5057"/>
      <c r="BG8" s="5058"/>
      <c r="BH8" s="5049" t="s">
        <v>52</v>
      </c>
      <c r="BI8" s="5049" t="s">
        <v>53</v>
      </c>
      <c r="BJ8" s="5049" t="s">
        <v>54</v>
      </c>
      <c r="BK8" s="5051" t="s">
        <v>55</v>
      </c>
      <c r="BL8" s="5053" t="s">
        <v>56</v>
      </c>
      <c r="BM8" s="5053" t="s">
        <v>57</v>
      </c>
      <c r="BN8" s="5070"/>
      <c r="BO8" s="5071"/>
      <c r="BP8" s="5070"/>
      <c r="BQ8" s="5071"/>
      <c r="BR8" s="3852"/>
    </row>
    <row r="9" spans="1:70" ht="32.25" customHeight="1" x14ac:dyDescent="0.2">
      <c r="A9" s="5066"/>
      <c r="B9" s="3493"/>
      <c r="C9" s="3493"/>
      <c r="D9" s="3493"/>
      <c r="E9" s="3493"/>
      <c r="F9" s="3493"/>
      <c r="G9" s="3493"/>
      <c r="H9" s="3493"/>
      <c r="I9" s="3493"/>
      <c r="J9" s="3493"/>
      <c r="K9" s="3493"/>
      <c r="L9" s="3493"/>
      <c r="M9" s="560" t="s">
        <v>32</v>
      </c>
      <c r="N9" s="561" t="s">
        <v>33</v>
      </c>
      <c r="O9" s="3493"/>
      <c r="P9" s="4160"/>
      <c r="Q9" s="3493"/>
      <c r="R9" s="3493"/>
      <c r="S9" s="3493"/>
      <c r="T9" s="3493"/>
      <c r="U9" s="3493"/>
      <c r="V9" s="3493"/>
      <c r="W9" s="5067"/>
      <c r="X9" s="5067"/>
      <c r="Y9" s="5067"/>
      <c r="Z9" s="5061"/>
      <c r="AA9" s="3493"/>
      <c r="AB9" s="16" t="s">
        <v>32</v>
      </c>
      <c r="AC9" s="16" t="s">
        <v>33</v>
      </c>
      <c r="AD9" s="16" t="s">
        <v>32</v>
      </c>
      <c r="AE9" s="16" t="s">
        <v>33</v>
      </c>
      <c r="AF9" s="16" t="s">
        <v>32</v>
      </c>
      <c r="AG9" s="16" t="s">
        <v>33</v>
      </c>
      <c r="AH9" s="16" t="s">
        <v>32</v>
      </c>
      <c r="AI9" s="16" t="s">
        <v>33</v>
      </c>
      <c r="AJ9" s="16" t="s">
        <v>32</v>
      </c>
      <c r="AK9" s="16" t="s">
        <v>33</v>
      </c>
      <c r="AL9" s="16" t="s">
        <v>32</v>
      </c>
      <c r="AM9" s="16" t="s">
        <v>33</v>
      </c>
      <c r="AN9" s="16" t="s">
        <v>32</v>
      </c>
      <c r="AO9" s="16" t="s">
        <v>33</v>
      </c>
      <c r="AP9" s="16" t="s">
        <v>32</v>
      </c>
      <c r="AQ9" s="16" t="s">
        <v>33</v>
      </c>
      <c r="AR9" s="16" t="s">
        <v>32</v>
      </c>
      <c r="AS9" s="16" t="s">
        <v>33</v>
      </c>
      <c r="AT9" s="16" t="s">
        <v>32</v>
      </c>
      <c r="AU9" s="16" t="s">
        <v>33</v>
      </c>
      <c r="AV9" s="16" t="s">
        <v>32</v>
      </c>
      <c r="AW9" s="16" t="s">
        <v>33</v>
      </c>
      <c r="AX9" s="16" t="s">
        <v>32</v>
      </c>
      <c r="AY9" s="16" t="s">
        <v>33</v>
      </c>
      <c r="AZ9" s="16" t="s">
        <v>32</v>
      </c>
      <c r="BA9" s="16" t="s">
        <v>33</v>
      </c>
      <c r="BB9" s="16" t="s">
        <v>32</v>
      </c>
      <c r="BC9" s="16" t="s">
        <v>33</v>
      </c>
      <c r="BD9" s="16" t="s">
        <v>32</v>
      </c>
      <c r="BE9" s="16" t="s">
        <v>33</v>
      </c>
      <c r="BF9" s="16" t="s">
        <v>32</v>
      </c>
      <c r="BG9" s="16" t="s">
        <v>33</v>
      </c>
      <c r="BH9" s="5050"/>
      <c r="BI9" s="5050"/>
      <c r="BJ9" s="5050"/>
      <c r="BK9" s="5052"/>
      <c r="BL9" s="5054"/>
      <c r="BM9" s="5054"/>
      <c r="BN9" s="562" t="s">
        <v>32</v>
      </c>
      <c r="BO9" s="562" t="s">
        <v>33</v>
      </c>
      <c r="BP9" s="562" t="s">
        <v>32</v>
      </c>
      <c r="BQ9" s="563" t="s">
        <v>33</v>
      </c>
      <c r="BR9" s="3852"/>
    </row>
    <row r="10" spans="1:70" ht="15.75" x14ac:dyDescent="0.2">
      <c r="A10" s="564">
        <v>5</v>
      </c>
      <c r="B10" s="565" t="s">
        <v>58</v>
      </c>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6"/>
      <c r="AS10" s="566"/>
      <c r="AT10" s="566"/>
      <c r="AU10" s="566"/>
      <c r="AV10" s="566"/>
      <c r="AW10" s="566"/>
      <c r="AX10" s="566"/>
      <c r="AY10" s="566"/>
      <c r="AZ10" s="566"/>
      <c r="BA10" s="566"/>
      <c r="BB10" s="566"/>
      <c r="BC10" s="566"/>
      <c r="BD10" s="566"/>
      <c r="BE10" s="566"/>
      <c r="BF10" s="566"/>
      <c r="BG10" s="566"/>
      <c r="BH10" s="566"/>
      <c r="BI10" s="566"/>
      <c r="BJ10" s="566"/>
      <c r="BK10" s="566"/>
      <c r="BL10" s="566"/>
      <c r="BM10" s="566"/>
      <c r="BN10" s="566"/>
      <c r="BO10" s="566"/>
      <c r="BP10" s="566"/>
      <c r="BQ10" s="567"/>
      <c r="BR10" s="568"/>
    </row>
    <row r="11" spans="1:70" s="440" customFormat="1" ht="15.75" x14ac:dyDescent="0.2">
      <c r="A11" s="5041"/>
      <c r="B11" s="3504"/>
      <c r="C11" s="3504"/>
      <c r="D11" s="569">
        <v>25</v>
      </c>
      <c r="E11" s="5043" t="s">
        <v>59</v>
      </c>
      <c r="F11" s="5043"/>
      <c r="G11" s="5043"/>
      <c r="H11" s="5043"/>
      <c r="I11" s="5043"/>
      <c r="J11" s="5043"/>
      <c r="K11" s="5043"/>
      <c r="L11" s="5043"/>
      <c r="M11" s="5043"/>
      <c r="N11" s="5043"/>
      <c r="O11" s="5043"/>
      <c r="P11" s="5043"/>
      <c r="Q11" s="5043"/>
      <c r="R11" s="5043"/>
      <c r="S11" s="5043"/>
      <c r="T11" s="5043"/>
      <c r="U11" s="5043"/>
      <c r="V11" s="5043"/>
      <c r="W11" s="5043"/>
      <c r="X11" s="5043"/>
      <c r="Y11" s="5043"/>
      <c r="Z11" s="5043"/>
      <c r="AA11" s="5043"/>
      <c r="AB11" s="5043"/>
      <c r="AC11" s="5043"/>
      <c r="AD11" s="5043"/>
      <c r="AE11" s="5043"/>
      <c r="AF11" s="5043"/>
      <c r="AG11" s="5043"/>
      <c r="AH11" s="5043"/>
      <c r="AI11" s="5043"/>
      <c r="AJ11" s="5043"/>
      <c r="AK11" s="5043"/>
      <c r="AL11" s="5043"/>
      <c r="AM11" s="5043"/>
      <c r="AN11" s="5043"/>
      <c r="AO11" s="5043"/>
      <c r="AP11" s="5043"/>
      <c r="AQ11" s="570"/>
      <c r="AR11" s="571"/>
      <c r="AS11" s="571"/>
      <c r="AT11" s="571"/>
      <c r="AU11" s="571"/>
      <c r="AV11" s="571"/>
      <c r="AW11" s="571"/>
      <c r="AX11" s="571"/>
      <c r="AY11" s="571"/>
      <c r="AZ11" s="571"/>
      <c r="BA11" s="571"/>
      <c r="BB11" s="571"/>
      <c r="BC11" s="571"/>
      <c r="BD11" s="571"/>
      <c r="BE11" s="571"/>
      <c r="BF11" s="571"/>
      <c r="BG11" s="571"/>
      <c r="BH11" s="571"/>
      <c r="BI11" s="571"/>
      <c r="BJ11" s="571"/>
      <c r="BK11" s="571"/>
      <c r="BL11" s="571"/>
      <c r="BM11" s="571"/>
      <c r="BN11" s="571"/>
      <c r="BO11" s="571"/>
      <c r="BP11" s="571"/>
      <c r="BQ11" s="572"/>
      <c r="BR11" s="573"/>
    </row>
    <row r="12" spans="1:70" s="440" customFormat="1" ht="15.75" x14ac:dyDescent="0.2">
      <c r="A12" s="5041"/>
      <c r="B12" s="3504"/>
      <c r="C12" s="3504"/>
      <c r="D12" s="3504"/>
      <c r="E12" s="3504"/>
      <c r="F12" s="3504"/>
      <c r="G12" s="574">
        <v>83</v>
      </c>
      <c r="H12" s="5033" t="s">
        <v>314</v>
      </c>
      <c r="I12" s="5034"/>
      <c r="J12" s="5034"/>
      <c r="K12" s="5034"/>
      <c r="L12" s="5034"/>
      <c r="M12" s="5034"/>
      <c r="N12" s="5034"/>
      <c r="O12" s="5034"/>
      <c r="P12" s="5034"/>
      <c r="Q12" s="5034"/>
      <c r="R12" s="5034"/>
      <c r="S12" s="5034"/>
      <c r="T12" s="5034"/>
      <c r="U12" s="5034"/>
      <c r="V12" s="5034"/>
      <c r="W12" s="5034"/>
      <c r="X12" s="5034"/>
      <c r="Y12" s="5034"/>
      <c r="Z12" s="5034"/>
      <c r="AA12" s="5034"/>
      <c r="AB12" s="5034"/>
      <c r="AC12" s="5034"/>
      <c r="AD12" s="5034"/>
      <c r="AE12" s="5034"/>
      <c r="AF12" s="5034"/>
      <c r="AG12" s="5034"/>
      <c r="AH12" s="5034"/>
      <c r="AI12" s="5034"/>
      <c r="AJ12" s="5034"/>
      <c r="AK12" s="5034"/>
      <c r="AL12" s="5034"/>
      <c r="AM12" s="5034"/>
      <c r="AN12" s="5034"/>
      <c r="AO12" s="5034"/>
      <c r="AP12" s="5034"/>
      <c r="AQ12" s="575"/>
      <c r="AR12" s="576"/>
      <c r="AS12" s="576"/>
      <c r="AT12" s="576"/>
      <c r="AU12" s="576"/>
      <c r="AV12" s="576"/>
      <c r="AW12" s="576"/>
      <c r="AX12" s="576"/>
      <c r="AY12" s="576"/>
      <c r="AZ12" s="576"/>
      <c r="BA12" s="576"/>
      <c r="BB12" s="576"/>
      <c r="BC12" s="576"/>
      <c r="BD12" s="576"/>
      <c r="BE12" s="576"/>
      <c r="BF12" s="576"/>
      <c r="BG12" s="576"/>
      <c r="BH12" s="576"/>
      <c r="BI12" s="576"/>
      <c r="BJ12" s="576"/>
      <c r="BK12" s="576"/>
      <c r="BL12" s="576"/>
      <c r="BM12" s="576"/>
      <c r="BN12" s="576"/>
      <c r="BO12" s="576"/>
      <c r="BP12" s="576"/>
      <c r="BQ12" s="577"/>
      <c r="BR12" s="578"/>
    </row>
    <row r="13" spans="1:70" ht="168" customHeight="1" x14ac:dyDescent="0.2">
      <c r="A13" s="5041"/>
      <c r="B13" s="3504"/>
      <c r="C13" s="3504"/>
      <c r="D13" s="3504"/>
      <c r="E13" s="3504"/>
      <c r="F13" s="3504"/>
      <c r="G13" s="3504"/>
      <c r="H13" s="3504"/>
      <c r="I13" s="3504"/>
      <c r="J13" s="3510">
        <v>243</v>
      </c>
      <c r="K13" s="5046" t="s">
        <v>315</v>
      </c>
      <c r="L13" s="3564" t="s">
        <v>316</v>
      </c>
      <c r="M13" s="3504">
        <v>6</v>
      </c>
      <c r="N13" s="2872">
        <v>6</v>
      </c>
      <c r="O13" s="3564" t="s">
        <v>317</v>
      </c>
      <c r="P13" s="3564" t="s">
        <v>318</v>
      </c>
      <c r="Q13" s="3564" t="s">
        <v>319</v>
      </c>
      <c r="R13" s="5036">
        <f>SUM(W13:W20)/S13</f>
        <v>1</v>
      </c>
      <c r="S13" s="5038">
        <f>SUM(W13:W20)</f>
        <v>71548128</v>
      </c>
      <c r="T13" s="3564" t="s">
        <v>320</v>
      </c>
      <c r="U13" s="2873" t="s">
        <v>321</v>
      </c>
      <c r="V13" s="3564" t="s">
        <v>322</v>
      </c>
      <c r="W13" s="3527">
        <f>17887032-1777032</f>
        <v>16110000</v>
      </c>
      <c r="X13" s="5029">
        <v>16110000</v>
      </c>
      <c r="Y13" s="5029">
        <v>16110000</v>
      </c>
      <c r="Z13" s="3562">
        <v>20</v>
      </c>
      <c r="AA13" s="3510" t="s">
        <v>323</v>
      </c>
      <c r="AB13" s="3430">
        <v>292684</v>
      </c>
      <c r="AC13" s="3430">
        <v>292684</v>
      </c>
      <c r="AD13" s="3430">
        <v>282326</v>
      </c>
      <c r="AE13" s="3430">
        <v>282326</v>
      </c>
      <c r="AF13" s="3430">
        <v>135912</v>
      </c>
      <c r="AG13" s="3430">
        <v>135912</v>
      </c>
      <c r="AH13" s="3430">
        <v>45122</v>
      </c>
      <c r="AI13" s="3430">
        <v>45122</v>
      </c>
      <c r="AJ13" s="3430">
        <v>307101</v>
      </c>
      <c r="AK13" s="3430">
        <v>307101</v>
      </c>
      <c r="AL13" s="3430">
        <v>86875</v>
      </c>
      <c r="AM13" s="3430">
        <v>86875</v>
      </c>
      <c r="AN13" s="3430">
        <v>2145</v>
      </c>
      <c r="AO13" s="3430">
        <v>2145</v>
      </c>
      <c r="AP13" s="3430">
        <v>12718</v>
      </c>
      <c r="AQ13" s="3430">
        <v>12718</v>
      </c>
      <c r="AR13" s="3430">
        <v>26</v>
      </c>
      <c r="AS13" s="3430">
        <v>26</v>
      </c>
      <c r="AT13" s="3430">
        <v>37</v>
      </c>
      <c r="AU13" s="3430">
        <v>37</v>
      </c>
      <c r="AV13" s="3430"/>
      <c r="AW13" s="579"/>
      <c r="AX13" s="3430"/>
      <c r="AY13" s="579"/>
      <c r="AZ13" s="3430">
        <v>53164</v>
      </c>
      <c r="BA13" s="3430">
        <v>53164</v>
      </c>
      <c r="BB13" s="3430">
        <v>16982</v>
      </c>
      <c r="BC13" s="3430">
        <v>16982</v>
      </c>
      <c r="BD13" s="3430">
        <v>60013</v>
      </c>
      <c r="BE13" s="3430">
        <v>60013</v>
      </c>
      <c r="BF13" s="3430">
        <f>+AB13+AD13</f>
        <v>575010</v>
      </c>
      <c r="BG13" s="3430">
        <f>+AC13+AE13</f>
        <v>575010</v>
      </c>
      <c r="BH13" s="3430">
        <v>4</v>
      </c>
      <c r="BI13" s="3430">
        <v>71548000</v>
      </c>
      <c r="BJ13" s="3430">
        <v>60860000</v>
      </c>
      <c r="BK13" s="3599">
        <f>+BJ13/BI13</f>
        <v>0.85061776709341985</v>
      </c>
      <c r="BL13" s="3430" t="s">
        <v>124</v>
      </c>
      <c r="BM13" s="3430" t="s">
        <v>324</v>
      </c>
      <c r="BN13" s="4395">
        <v>43467</v>
      </c>
      <c r="BO13" s="4395">
        <v>43517</v>
      </c>
      <c r="BP13" s="4395">
        <v>43830</v>
      </c>
      <c r="BQ13" s="4395">
        <v>43792</v>
      </c>
      <c r="BR13" s="5027" t="s">
        <v>325</v>
      </c>
    </row>
    <row r="14" spans="1:70" ht="15" customHeight="1" x14ac:dyDescent="0.2">
      <c r="A14" s="5041"/>
      <c r="B14" s="3504"/>
      <c r="C14" s="3504"/>
      <c r="D14" s="3504"/>
      <c r="E14" s="3504"/>
      <c r="F14" s="3504"/>
      <c r="G14" s="3504"/>
      <c r="H14" s="3504"/>
      <c r="I14" s="3504"/>
      <c r="J14" s="3511"/>
      <c r="K14" s="5047"/>
      <c r="L14" s="3565"/>
      <c r="M14" s="3504"/>
      <c r="N14" s="2872"/>
      <c r="O14" s="3565"/>
      <c r="P14" s="3565"/>
      <c r="Q14" s="3565"/>
      <c r="R14" s="5037"/>
      <c r="S14" s="5039"/>
      <c r="T14" s="3565"/>
      <c r="U14" s="3584"/>
      <c r="V14" s="3585"/>
      <c r="W14" s="3528"/>
      <c r="X14" s="5029"/>
      <c r="Y14" s="5029"/>
      <c r="Z14" s="3563"/>
      <c r="AA14" s="3511"/>
      <c r="AB14" s="3431"/>
      <c r="AC14" s="3431"/>
      <c r="AD14" s="3431"/>
      <c r="AE14" s="3431"/>
      <c r="AF14" s="3431"/>
      <c r="AG14" s="3431"/>
      <c r="AH14" s="3431"/>
      <c r="AI14" s="3431"/>
      <c r="AJ14" s="3431"/>
      <c r="AK14" s="3431"/>
      <c r="AL14" s="3431"/>
      <c r="AM14" s="3431"/>
      <c r="AN14" s="3431"/>
      <c r="AO14" s="3431"/>
      <c r="AP14" s="3431"/>
      <c r="AQ14" s="3431"/>
      <c r="AR14" s="3431"/>
      <c r="AS14" s="3431"/>
      <c r="AT14" s="3431"/>
      <c r="AU14" s="3431"/>
      <c r="AV14" s="3431"/>
      <c r="AW14" s="580"/>
      <c r="AX14" s="3431"/>
      <c r="AY14" s="580"/>
      <c r="AZ14" s="3431"/>
      <c r="BA14" s="3431"/>
      <c r="BB14" s="3431"/>
      <c r="BC14" s="3431"/>
      <c r="BD14" s="3431"/>
      <c r="BE14" s="3431"/>
      <c r="BF14" s="3431"/>
      <c r="BG14" s="3431"/>
      <c r="BH14" s="3431"/>
      <c r="BI14" s="3431"/>
      <c r="BJ14" s="3431"/>
      <c r="BK14" s="3600"/>
      <c r="BL14" s="3431"/>
      <c r="BM14" s="3431"/>
      <c r="BN14" s="4396"/>
      <c r="BO14" s="4396"/>
      <c r="BP14" s="4396"/>
      <c r="BQ14" s="4396"/>
      <c r="BR14" s="5028"/>
    </row>
    <row r="15" spans="1:70" ht="80.25" customHeight="1" x14ac:dyDescent="0.2">
      <c r="A15" s="5041"/>
      <c r="B15" s="3504"/>
      <c r="C15" s="3504"/>
      <c r="D15" s="3504"/>
      <c r="E15" s="3504"/>
      <c r="F15" s="3504"/>
      <c r="G15" s="3504"/>
      <c r="H15" s="3504"/>
      <c r="I15" s="3504"/>
      <c r="J15" s="3511"/>
      <c r="K15" s="5047"/>
      <c r="L15" s="3565"/>
      <c r="M15" s="3504"/>
      <c r="N15" s="2872"/>
      <c r="O15" s="3565"/>
      <c r="P15" s="3565"/>
      <c r="Q15" s="3565"/>
      <c r="R15" s="5037"/>
      <c r="S15" s="5039"/>
      <c r="T15" s="3565"/>
      <c r="U15" s="3584"/>
      <c r="V15" s="3564" t="s">
        <v>326</v>
      </c>
      <c r="W15" s="3527">
        <v>17887032</v>
      </c>
      <c r="X15" s="5029">
        <v>17887032</v>
      </c>
      <c r="Y15" s="5029">
        <v>17887032</v>
      </c>
      <c r="Z15" s="3563"/>
      <c r="AA15" s="3511"/>
      <c r="AB15" s="3431"/>
      <c r="AC15" s="3431"/>
      <c r="AD15" s="3431"/>
      <c r="AE15" s="3431"/>
      <c r="AF15" s="3431"/>
      <c r="AG15" s="3431"/>
      <c r="AH15" s="3431"/>
      <c r="AI15" s="3431"/>
      <c r="AJ15" s="3431"/>
      <c r="AK15" s="3431"/>
      <c r="AL15" s="3431"/>
      <c r="AM15" s="3431"/>
      <c r="AN15" s="3431"/>
      <c r="AO15" s="3431"/>
      <c r="AP15" s="3431"/>
      <c r="AQ15" s="3431"/>
      <c r="AR15" s="3431"/>
      <c r="AS15" s="3431"/>
      <c r="AT15" s="3431"/>
      <c r="AU15" s="3431"/>
      <c r="AV15" s="3431"/>
      <c r="AW15" s="580"/>
      <c r="AX15" s="3431"/>
      <c r="AY15" s="580"/>
      <c r="AZ15" s="3431"/>
      <c r="BA15" s="3431"/>
      <c r="BB15" s="3431"/>
      <c r="BC15" s="3431"/>
      <c r="BD15" s="3431"/>
      <c r="BE15" s="3431"/>
      <c r="BF15" s="3431"/>
      <c r="BG15" s="3431"/>
      <c r="BH15" s="3431"/>
      <c r="BI15" s="3431"/>
      <c r="BJ15" s="3431"/>
      <c r="BK15" s="3600"/>
      <c r="BL15" s="3431"/>
      <c r="BM15" s="3431"/>
      <c r="BN15" s="4396"/>
      <c r="BO15" s="4396"/>
      <c r="BP15" s="4396"/>
      <c r="BQ15" s="4396"/>
      <c r="BR15" s="5028"/>
    </row>
    <row r="16" spans="1:70" ht="55.5" customHeight="1" x14ac:dyDescent="0.2">
      <c r="A16" s="5041"/>
      <c r="B16" s="3504"/>
      <c r="C16" s="3504"/>
      <c r="D16" s="3504"/>
      <c r="E16" s="3504"/>
      <c r="F16" s="3504"/>
      <c r="G16" s="3504"/>
      <c r="H16" s="3504"/>
      <c r="I16" s="3504"/>
      <c r="J16" s="3511"/>
      <c r="K16" s="5047"/>
      <c r="L16" s="3565"/>
      <c r="M16" s="3504"/>
      <c r="N16" s="2872"/>
      <c r="O16" s="3565"/>
      <c r="P16" s="3565"/>
      <c r="Q16" s="3565"/>
      <c r="R16" s="5037"/>
      <c r="S16" s="5039"/>
      <c r="T16" s="3565"/>
      <c r="U16" s="2874"/>
      <c r="V16" s="3585"/>
      <c r="W16" s="3528"/>
      <c r="X16" s="5029"/>
      <c r="Y16" s="5029"/>
      <c r="Z16" s="3563"/>
      <c r="AA16" s="3511"/>
      <c r="AB16" s="3431"/>
      <c r="AC16" s="3431"/>
      <c r="AD16" s="3431"/>
      <c r="AE16" s="3431"/>
      <c r="AF16" s="3431"/>
      <c r="AG16" s="3431"/>
      <c r="AH16" s="3431"/>
      <c r="AI16" s="3431"/>
      <c r="AJ16" s="3431"/>
      <c r="AK16" s="3431"/>
      <c r="AL16" s="3431"/>
      <c r="AM16" s="3431"/>
      <c r="AN16" s="3431"/>
      <c r="AO16" s="3431"/>
      <c r="AP16" s="3431"/>
      <c r="AQ16" s="3431"/>
      <c r="AR16" s="3431"/>
      <c r="AS16" s="3431"/>
      <c r="AT16" s="3431"/>
      <c r="AU16" s="3431"/>
      <c r="AV16" s="3431"/>
      <c r="AW16" s="580"/>
      <c r="AX16" s="3431"/>
      <c r="AY16" s="580"/>
      <c r="AZ16" s="3431"/>
      <c r="BA16" s="3431"/>
      <c r="BB16" s="3431"/>
      <c r="BC16" s="3431"/>
      <c r="BD16" s="3431"/>
      <c r="BE16" s="3431"/>
      <c r="BF16" s="3431"/>
      <c r="BG16" s="3431"/>
      <c r="BH16" s="3431"/>
      <c r="BI16" s="3431"/>
      <c r="BJ16" s="3431"/>
      <c r="BK16" s="3600"/>
      <c r="BL16" s="3431"/>
      <c r="BM16" s="3431"/>
      <c r="BN16" s="4396"/>
      <c r="BO16" s="4396"/>
      <c r="BP16" s="4396"/>
      <c r="BQ16" s="4396"/>
      <c r="BR16" s="5028"/>
    </row>
    <row r="17" spans="1:70" ht="45" customHeight="1" x14ac:dyDescent="0.2">
      <c r="A17" s="5041"/>
      <c r="B17" s="3504"/>
      <c r="C17" s="3504"/>
      <c r="D17" s="3504"/>
      <c r="E17" s="3504"/>
      <c r="F17" s="3504"/>
      <c r="G17" s="3504"/>
      <c r="H17" s="3504"/>
      <c r="I17" s="3504"/>
      <c r="J17" s="3511"/>
      <c r="K17" s="5047"/>
      <c r="L17" s="3565"/>
      <c r="M17" s="3504"/>
      <c r="N17" s="2872"/>
      <c r="O17" s="3565"/>
      <c r="P17" s="3565"/>
      <c r="Q17" s="3565"/>
      <c r="R17" s="5037"/>
      <c r="S17" s="5039"/>
      <c r="T17" s="3565"/>
      <c r="U17" s="3564" t="s">
        <v>327</v>
      </c>
      <c r="V17" s="3564" t="s">
        <v>328</v>
      </c>
      <c r="W17" s="3527">
        <f>17887032+888516</f>
        <v>18775548</v>
      </c>
      <c r="X17" s="5029">
        <v>18775548</v>
      </c>
      <c r="Y17" s="5029">
        <v>18775548</v>
      </c>
      <c r="Z17" s="3563"/>
      <c r="AA17" s="3511"/>
      <c r="AB17" s="3431"/>
      <c r="AC17" s="3431"/>
      <c r="AD17" s="3431"/>
      <c r="AE17" s="3431"/>
      <c r="AF17" s="3431"/>
      <c r="AG17" s="3431"/>
      <c r="AH17" s="3431"/>
      <c r="AI17" s="3431"/>
      <c r="AJ17" s="3431"/>
      <c r="AK17" s="3431"/>
      <c r="AL17" s="3431"/>
      <c r="AM17" s="3431"/>
      <c r="AN17" s="3431"/>
      <c r="AO17" s="3431"/>
      <c r="AP17" s="3431"/>
      <c r="AQ17" s="3431"/>
      <c r="AR17" s="3431"/>
      <c r="AS17" s="3431"/>
      <c r="AT17" s="3431"/>
      <c r="AU17" s="3431"/>
      <c r="AV17" s="3431"/>
      <c r="AW17" s="580"/>
      <c r="AX17" s="3431"/>
      <c r="AY17" s="580"/>
      <c r="AZ17" s="3431"/>
      <c r="BA17" s="3431"/>
      <c r="BB17" s="3431"/>
      <c r="BC17" s="3431"/>
      <c r="BD17" s="3431"/>
      <c r="BE17" s="3431"/>
      <c r="BF17" s="3431"/>
      <c r="BG17" s="3431"/>
      <c r="BH17" s="3431"/>
      <c r="BI17" s="3431"/>
      <c r="BJ17" s="3431"/>
      <c r="BK17" s="3600"/>
      <c r="BL17" s="3431"/>
      <c r="BM17" s="3431"/>
      <c r="BN17" s="4396"/>
      <c r="BO17" s="4396"/>
      <c r="BP17" s="4396"/>
      <c r="BQ17" s="4396"/>
      <c r="BR17" s="5028"/>
    </row>
    <row r="18" spans="1:70" ht="66.75" customHeight="1" x14ac:dyDescent="0.2">
      <c r="A18" s="5041"/>
      <c r="B18" s="3504"/>
      <c r="C18" s="3504"/>
      <c r="D18" s="3504"/>
      <c r="E18" s="3504"/>
      <c r="F18" s="3504"/>
      <c r="G18" s="3504"/>
      <c r="H18" s="3504"/>
      <c r="I18" s="3504"/>
      <c r="J18" s="3511"/>
      <c r="K18" s="5047"/>
      <c r="L18" s="3565"/>
      <c r="M18" s="3504"/>
      <c r="N18" s="2872"/>
      <c r="O18" s="3565"/>
      <c r="P18" s="3565"/>
      <c r="Q18" s="3565"/>
      <c r="R18" s="5037"/>
      <c r="S18" s="5039"/>
      <c r="T18" s="3565"/>
      <c r="U18" s="3565"/>
      <c r="V18" s="3585"/>
      <c r="W18" s="3528"/>
      <c r="X18" s="5029"/>
      <c r="Y18" s="5029"/>
      <c r="Z18" s="3563"/>
      <c r="AA18" s="3511"/>
      <c r="AB18" s="3431"/>
      <c r="AC18" s="3431"/>
      <c r="AD18" s="3431"/>
      <c r="AE18" s="3431"/>
      <c r="AF18" s="3431"/>
      <c r="AG18" s="3431"/>
      <c r="AH18" s="3431"/>
      <c r="AI18" s="3431"/>
      <c r="AJ18" s="3431"/>
      <c r="AK18" s="3431"/>
      <c r="AL18" s="3431"/>
      <c r="AM18" s="3431"/>
      <c r="AN18" s="3431"/>
      <c r="AO18" s="3431"/>
      <c r="AP18" s="3431"/>
      <c r="AQ18" s="3431"/>
      <c r="AR18" s="3431"/>
      <c r="AS18" s="3431"/>
      <c r="AT18" s="3431"/>
      <c r="AU18" s="3431"/>
      <c r="AV18" s="3431"/>
      <c r="AW18" s="580"/>
      <c r="AX18" s="3431"/>
      <c r="AY18" s="580"/>
      <c r="AZ18" s="3431"/>
      <c r="BA18" s="3431"/>
      <c r="BB18" s="3431"/>
      <c r="BC18" s="3431"/>
      <c r="BD18" s="3431"/>
      <c r="BE18" s="3431"/>
      <c r="BF18" s="3431"/>
      <c r="BG18" s="3431"/>
      <c r="BH18" s="3431"/>
      <c r="BI18" s="3431"/>
      <c r="BJ18" s="3431"/>
      <c r="BK18" s="3600"/>
      <c r="BL18" s="3431"/>
      <c r="BM18" s="3431"/>
      <c r="BN18" s="4396"/>
      <c r="BO18" s="4396"/>
      <c r="BP18" s="4396"/>
      <c r="BQ18" s="4396"/>
      <c r="BR18" s="5028"/>
    </row>
    <row r="19" spans="1:70" ht="42" customHeight="1" x14ac:dyDescent="0.2">
      <c r="A19" s="5041"/>
      <c r="B19" s="3504"/>
      <c r="C19" s="3504"/>
      <c r="D19" s="3504"/>
      <c r="E19" s="3504"/>
      <c r="F19" s="3504"/>
      <c r="G19" s="3504"/>
      <c r="H19" s="3504"/>
      <c r="I19" s="3504"/>
      <c r="J19" s="3511"/>
      <c r="K19" s="5047"/>
      <c r="L19" s="3565"/>
      <c r="M19" s="3504"/>
      <c r="N19" s="2872"/>
      <c r="O19" s="3565"/>
      <c r="P19" s="3565"/>
      <c r="Q19" s="3565"/>
      <c r="R19" s="5037"/>
      <c r="S19" s="5039"/>
      <c r="T19" s="3565"/>
      <c r="U19" s="3565"/>
      <c r="V19" s="3564" t="s">
        <v>329</v>
      </c>
      <c r="W19" s="3527">
        <f>17887032+888516</f>
        <v>18775548</v>
      </c>
      <c r="X19" s="5029">
        <v>18775420</v>
      </c>
      <c r="Y19" s="5029">
        <v>8087420</v>
      </c>
      <c r="Z19" s="3563"/>
      <c r="AA19" s="3511"/>
      <c r="AB19" s="3431"/>
      <c r="AC19" s="3431"/>
      <c r="AD19" s="3431"/>
      <c r="AE19" s="3431"/>
      <c r="AF19" s="3431"/>
      <c r="AG19" s="3431"/>
      <c r="AH19" s="3431"/>
      <c r="AI19" s="3431"/>
      <c r="AJ19" s="3431"/>
      <c r="AK19" s="3431"/>
      <c r="AL19" s="3431"/>
      <c r="AM19" s="3431"/>
      <c r="AN19" s="3431"/>
      <c r="AO19" s="3431"/>
      <c r="AP19" s="3431"/>
      <c r="AQ19" s="3431"/>
      <c r="AR19" s="3431"/>
      <c r="AS19" s="3431"/>
      <c r="AT19" s="3431"/>
      <c r="AU19" s="3431"/>
      <c r="AV19" s="3431"/>
      <c r="AW19" s="580"/>
      <c r="AX19" s="3431"/>
      <c r="AY19" s="580"/>
      <c r="AZ19" s="3431"/>
      <c r="BA19" s="3431"/>
      <c r="BB19" s="3431"/>
      <c r="BC19" s="3431"/>
      <c r="BD19" s="3431"/>
      <c r="BE19" s="3431"/>
      <c r="BF19" s="3431"/>
      <c r="BG19" s="3431"/>
      <c r="BH19" s="3431"/>
      <c r="BI19" s="3431"/>
      <c r="BJ19" s="3431"/>
      <c r="BK19" s="3600"/>
      <c r="BL19" s="3431"/>
      <c r="BM19" s="3431"/>
      <c r="BN19" s="4396"/>
      <c r="BO19" s="4396"/>
      <c r="BP19" s="4396"/>
      <c r="BQ19" s="4396"/>
      <c r="BR19" s="5028"/>
    </row>
    <row r="20" spans="1:70" ht="52.5" customHeight="1" thickBot="1" x14ac:dyDescent="0.25">
      <c r="A20" s="5042"/>
      <c r="B20" s="3510"/>
      <c r="C20" s="3510"/>
      <c r="D20" s="3510"/>
      <c r="E20" s="3510"/>
      <c r="F20" s="3510"/>
      <c r="G20" s="3510"/>
      <c r="H20" s="3510"/>
      <c r="I20" s="3510"/>
      <c r="J20" s="3511"/>
      <c r="K20" s="5047"/>
      <c r="L20" s="3565"/>
      <c r="M20" s="3510"/>
      <c r="N20" s="3596"/>
      <c r="O20" s="3565"/>
      <c r="P20" s="3565"/>
      <c r="Q20" s="3565"/>
      <c r="R20" s="5037"/>
      <c r="S20" s="5040"/>
      <c r="T20" s="3585"/>
      <c r="U20" s="3585"/>
      <c r="V20" s="3585"/>
      <c r="W20" s="3528"/>
      <c r="X20" s="5029"/>
      <c r="Y20" s="5029"/>
      <c r="Z20" s="5035"/>
      <c r="AA20" s="3512"/>
      <c r="AB20" s="5030"/>
      <c r="AC20" s="5030"/>
      <c r="AD20" s="5030"/>
      <c r="AE20" s="5030"/>
      <c r="AF20" s="5030"/>
      <c r="AG20" s="5030"/>
      <c r="AH20" s="5032"/>
      <c r="AI20" s="5032"/>
      <c r="AJ20" s="5032"/>
      <c r="AK20" s="5032"/>
      <c r="AL20" s="5032"/>
      <c r="AM20" s="5032"/>
      <c r="AN20" s="5032"/>
      <c r="AO20" s="5032"/>
      <c r="AP20" s="5032"/>
      <c r="AQ20" s="5032"/>
      <c r="AR20" s="5032"/>
      <c r="AS20" s="5032"/>
      <c r="AT20" s="5032"/>
      <c r="AU20" s="5032"/>
      <c r="AV20" s="5030"/>
      <c r="AW20" s="581"/>
      <c r="AX20" s="5030"/>
      <c r="AY20" s="580"/>
      <c r="AZ20" s="5032"/>
      <c r="BA20" s="5032"/>
      <c r="BB20" s="5032"/>
      <c r="BC20" s="5032"/>
      <c r="BD20" s="5032"/>
      <c r="BE20" s="5032"/>
      <c r="BF20" s="5032"/>
      <c r="BG20" s="5032"/>
      <c r="BH20" s="5030"/>
      <c r="BI20" s="5030"/>
      <c r="BJ20" s="5030"/>
      <c r="BK20" s="5031"/>
      <c r="BL20" s="5030"/>
      <c r="BM20" s="5030"/>
      <c r="BN20" s="4396"/>
      <c r="BO20" s="5026"/>
      <c r="BP20" s="4396"/>
      <c r="BQ20" s="5026"/>
      <c r="BR20" s="5028"/>
    </row>
    <row r="21" spans="1:70" s="593" customFormat="1" ht="16.5" thickBot="1" x14ac:dyDescent="0.3">
      <c r="A21" s="582"/>
      <c r="B21" s="583"/>
      <c r="C21" s="583"/>
      <c r="D21" s="583"/>
      <c r="E21" s="583"/>
      <c r="F21" s="583"/>
      <c r="G21" s="4441" t="s">
        <v>104</v>
      </c>
      <c r="H21" s="4441"/>
      <c r="I21" s="4441"/>
      <c r="J21" s="4441"/>
      <c r="K21" s="4441"/>
      <c r="L21" s="4441"/>
      <c r="M21" s="4441"/>
      <c r="N21" s="4441"/>
      <c r="O21" s="4441"/>
      <c r="P21" s="4441"/>
      <c r="Q21" s="4441"/>
      <c r="R21" s="4442"/>
      <c r="S21" s="584">
        <f>SUM(S13)</f>
        <v>71548128</v>
      </c>
      <c r="T21" s="582"/>
      <c r="U21" s="583"/>
      <c r="V21" s="585"/>
      <c r="W21" s="111">
        <f>SUM(W13:W20)</f>
        <v>71548128</v>
      </c>
      <c r="X21" s="586">
        <f>SUM(X13:X20)</f>
        <v>71548000</v>
      </c>
      <c r="Y21" s="586">
        <f>SUM(Y13:Y20)</f>
        <v>60860000</v>
      </c>
      <c r="Z21" s="587"/>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8"/>
      <c r="AY21" s="588"/>
      <c r="AZ21" s="588"/>
      <c r="BA21" s="588"/>
      <c r="BB21" s="588"/>
      <c r="BC21" s="588"/>
      <c r="BD21" s="588"/>
      <c r="BE21" s="588"/>
      <c r="BF21" s="588"/>
      <c r="BG21" s="588"/>
      <c r="BH21" s="588"/>
      <c r="BI21" s="589">
        <f>SUM(BI13)</f>
        <v>71548000</v>
      </c>
      <c r="BJ21" s="589">
        <f>SUM(BJ13)</f>
        <v>60860000</v>
      </c>
      <c r="BK21" s="588"/>
      <c r="BL21" s="588"/>
      <c r="BM21" s="588"/>
      <c r="BN21" s="590"/>
      <c r="BO21" s="590"/>
      <c r="BP21" s="591"/>
      <c r="BQ21" s="591"/>
      <c r="BR21" s="592"/>
    </row>
    <row r="22" spans="1:70" ht="15" customHeight="1" x14ac:dyDescent="0.2">
      <c r="S22" s="594"/>
    </row>
    <row r="23" spans="1:70" ht="22.5" customHeight="1" x14ac:dyDescent="0.25">
      <c r="J23" s="452"/>
      <c r="S23" s="595"/>
    </row>
    <row r="24" spans="1:70" x14ac:dyDescent="0.2">
      <c r="W24" s="595"/>
      <c r="X24" s="595"/>
      <c r="Y24" s="595"/>
    </row>
    <row r="27" spans="1:70" ht="15.75" x14ac:dyDescent="0.25">
      <c r="M27" s="596" t="s">
        <v>330</v>
      </c>
      <c r="N27" s="597"/>
      <c r="O27" s="597"/>
      <c r="P27" s="597"/>
      <c r="Q27" s="597"/>
      <c r="T27" s="439"/>
    </row>
    <row r="28" spans="1:70" ht="15.75" x14ac:dyDescent="0.25">
      <c r="M28" s="598" t="s">
        <v>325</v>
      </c>
      <c r="T28" s="439"/>
    </row>
  </sheetData>
  <sheetProtection password="A60F" sheet="1" objects="1" scenarios="1"/>
  <mergeCells count="140">
    <mergeCell ref="A1:BN4"/>
    <mergeCell ref="A5:N6"/>
    <mergeCell ref="Q5:BR5"/>
    <mergeCell ref="Q6:AA6"/>
    <mergeCell ref="BN6:BR6"/>
    <mergeCell ref="A7:A9"/>
    <mergeCell ref="B7:C9"/>
    <mergeCell ref="D7:D9"/>
    <mergeCell ref="E7:F9"/>
    <mergeCell ref="G7:G9"/>
    <mergeCell ref="BR7:BR9"/>
    <mergeCell ref="W8:W9"/>
    <mergeCell ref="X8:X9"/>
    <mergeCell ref="Y8:Y9"/>
    <mergeCell ref="AB8:AC8"/>
    <mergeCell ref="AD8:AE8"/>
    <mergeCell ref="AF8:AG8"/>
    <mergeCell ref="AH8:AI8"/>
    <mergeCell ref="BN7:BO8"/>
    <mergeCell ref="BP7:BQ8"/>
    <mergeCell ref="AN8:AO8"/>
    <mergeCell ref="AP8:AQ8"/>
    <mergeCell ref="AR8:AS8"/>
    <mergeCell ref="AT8:AU8"/>
    <mergeCell ref="H7:I9"/>
    <mergeCell ref="J7:J9"/>
    <mergeCell ref="K7:K9"/>
    <mergeCell ref="L7:L9"/>
    <mergeCell ref="M7:N8"/>
    <mergeCell ref="O7:O9"/>
    <mergeCell ref="W7:Y7"/>
    <mergeCell ref="Z7:Z9"/>
    <mergeCell ref="AA7:AA9"/>
    <mergeCell ref="AB7:AE7"/>
    <mergeCell ref="BI8:BI9"/>
    <mergeCell ref="BJ8:BJ9"/>
    <mergeCell ref="BK8:BK9"/>
    <mergeCell ref="BL8:BL9"/>
    <mergeCell ref="BM8:BM9"/>
    <mergeCell ref="BD8:BE8"/>
    <mergeCell ref="BH8:BH9"/>
    <mergeCell ref="AJ8:AK8"/>
    <mergeCell ref="AL8:AM8"/>
    <mergeCell ref="AN7:AY7"/>
    <mergeCell ref="AZ7:BE7"/>
    <mergeCell ref="BF7:BG8"/>
    <mergeCell ref="BH7:BM7"/>
    <mergeCell ref="A11:A20"/>
    <mergeCell ref="B11:C20"/>
    <mergeCell ref="E11:AP11"/>
    <mergeCell ref="D12:D20"/>
    <mergeCell ref="E12:F20"/>
    <mergeCell ref="AV8:AW8"/>
    <mergeCell ref="AX8:AY8"/>
    <mergeCell ref="AZ8:BA8"/>
    <mergeCell ref="BB8:BC8"/>
    <mergeCell ref="V7:V9"/>
    <mergeCell ref="AF7:AM7"/>
    <mergeCell ref="P7:P9"/>
    <mergeCell ref="Q7:Q9"/>
    <mergeCell ref="R7:R9"/>
    <mergeCell ref="S7:S9"/>
    <mergeCell ref="T7:T9"/>
    <mergeCell ref="U7:U9"/>
    <mergeCell ref="G13:G20"/>
    <mergeCell ref="H13:I20"/>
    <mergeCell ref="J13:J20"/>
    <mergeCell ref="K13:K20"/>
    <mergeCell ref="L13:L20"/>
    <mergeCell ref="M13:M20"/>
    <mergeCell ref="N13:N20"/>
    <mergeCell ref="O13:O20"/>
    <mergeCell ref="P13:P20"/>
    <mergeCell ref="Q13:Q20"/>
    <mergeCell ref="R13:R20"/>
    <mergeCell ref="S13:S20"/>
    <mergeCell ref="T13:T20"/>
    <mergeCell ref="U13:U16"/>
    <mergeCell ref="V13:V14"/>
    <mergeCell ref="U17:U20"/>
    <mergeCell ref="V19:V20"/>
    <mergeCell ref="H12:AP12"/>
    <mergeCell ref="W13:W14"/>
    <mergeCell ref="X13:X14"/>
    <mergeCell ref="Y13:Y14"/>
    <mergeCell ref="Z13:Z20"/>
    <mergeCell ref="AA13:AA20"/>
    <mergeCell ref="AB13:AB20"/>
    <mergeCell ref="X17:X18"/>
    <mergeCell ref="Y17:Y18"/>
    <mergeCell ref="W19:W20"/>
    <mergeCell ref="X19:X20"/>
    <mergeCell ref="AI13:AI20"/>
    <mergeCell ref="AJ13:AJ20"/>
    <mergeCell ref="AK13:AK20"/>
    <mergeCell ref="AL13:AL20"/>
    <mergeCell ref="AM13:AM20"/>
    <mergeCell ref="AN13:AN20"/>
    <mergeCell ref="AC13:AC20"/>
    <mergeCell ref="AD13:AD20"/>
    <mergeCell ref="AE13:AE20"/>
    <mergeCell ref="AF13:AF20"/>
    <mergeCell ref="AG13:AG20"/>
    <mergeCell ref="AH13:AH20"/>
    <mergeCell ref="Y19:Y20"/>
    <mergeCell ref="AV13:AV20"/>
    <mergeCell ref="AX13:AX20"/>
    <mergeCell ref="AZ13:AZ20"/>
    <mergeCell ref="BA13:BA20"/>
    <mergeCell ref="BB13:BB20"/>
    <mergeCell ref="AO13:AO20"/>
    <mergeCell ref="AP13:AP20"/>
    <mergeCell ref="AQ13:AQ20"/>
    <mergeCell ref="AR13:AR20"/>
    <mergeCell ref="AS13:AS20"/>
    <mergeCell ref="AT13:AT20"/>
    <mergeCell ref="G21:R21"/>
    <mergeCell ref="BO13:BO20"/>
    <mergeCell ref="BP13:BP20"/>
    <mergeCell ref="BQ13:BQ20"/>
    <mergeCell ref="BR13:BR20"/>
    <mergeCell ref="V15:V16"/>
    <mergeCell ref="W15:W16"/>
    <mergeCell ref="X15:X16"/>
    <mergeCell ref="Y15:Y16"/>
    <mergeCell ref="V17:V18"/>
    <mergeCell ref="W17:W18"/>
    <mergeCell ref="BI13:BI20"/>
    <mergeCell ref="BJ13:BJ20"/>
    <mergeCell ref="BK13:BK20"/>
    <mergeCell ref="BL13:BL20"/>
    <mergeCell ref="BM13:BM20"/>
    <mergeCell ref="BN13:BN20"/>
    <mergeCell ref="BC13:BC20"/>
    <mergeCell ref="BD13:BD20"/>
    <mergeCell ref="BE13:BE20"/>
    <mergeCell ref="BF13:BF20"/>
    <mergeCell ref="BG13:BG20"/>
    <mergeCell ref="BH13:BH20"/>
    <mergeCell ref="AU13:AU2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P368"/>
  <sheetViews>
    <sheetView showGridLines="0" zoomScale="60" zoomScaleNormal="60" workbookViewId="0">
      <selection sqref="A1:BP4"/>
    </sheetView>
  </sheetViews>
  <sheetFormatPr baseColWidth="10" defaultColWidth="30" defaultRowHeight="14.25" x14ac:dyDescent="0.2"/>
  <cols>
    <col min="1" max="1" width="15.5703125" style="2111" customWidth="1"/>
    <col min="2" max="2" width="12.42578125" style="2111" customWidth="1"/>
    <col min="3" max="3" width="11.7109375" style="2111" customWidth="1"/>
    <col min="4" max="4" width="13.28515625" style="2111" customWidth="1"/>
    <col min="5" max="5" width="12.140625" style="2111" customWidth="1"/>
    <col min="6" max="6" width="12" style="2111" customWidth="1"/>
    <col min="7" max="7" width="16.42578125" style="2111" customWidth="1"/>
    <col min="8" max="8" width="13.7109375" style="2111" customWidth="1"/>
    <col min="9" max="9" width="12.42578125" style="2111" customWidth="1"/>
    <col min="10" max="10" width="15.140625" style="2111" customWidth="1"/>
    <col min="11" max="11" width="36.42578125" style="2294" customWidth="1"/>
    <col min="12" max="12" width="20.5703125" style="2144" customWidth="1"/>
    <col min="13" max="14" width="19.140625" style="2144" customWidth="1"/>
    <col min="15" max="15" width="38.28515625" style="2832" customWidth="1"/>
    <col min="16" max="16" width="30.42578125" style="2144" customWidth="1"/>
    <col min="17" max="17" width="24.85546875" style="2294" customWidth="1"/>
    <col min="18" max="18" width="20.28515625" style="2295" customWidth="1"/>
    <col min="19" max="19" width="26.42578125" style="2832" customWidth="1"/>
    <col min="20" max="20" width="31.5703125" style="2144" customWidth="1"/>
    <col min="21" max="21" width="37.7109375" style="2294" customWidth="1"/>
    <col min="22" max="22" width="60.28515625" style="2296" customWidth="1"/>
    <col min="23" max="23" width="27.5703125" style="2296" customWidth="1"/>
    <col min="24" max="24" width="24.42578125" style="2296" customWidth="1"/>
    <col min="25" max="25" width="26.28515625" style="2296" customWidth="1"/>
    <col min="26" max="26" width="14.140625" style="2295" customWidth="1"/>
    <col min="27" max="27" width="39.7109375" style="2295" customWidth="1"/>
    <col min="28" max="29" width="8" style="2298" customWidth="1"/>
    <col min="30" max="30" width="9.140625" style="2298" bestFit="1" customWidth="1"/>
    <col min="31" max="31" width="11.28515625" style="2298" bestFit="1" customWidth="1"/>
    <col min="32" max="32" width="9.140625" style="2299" bestFit="1" customWidth="1"/>
    <col min="33" max="33" width="10.85546875" style="2299" bestFit="1" customWidth="1"/>
    <col min="34" max="34" width="8.7109375" style="2298" bestFit="1" customWidth="1"/>
    <col min="35" max="35" width="10.42578125" style="2298" bestFit="1" customWidth="1"/>
    <col min="36" max="36" width="9.42578125" style="2298" bestFit="1" customWidth="1"/>
    <col min="37" max="37" width="11.5703125" style="2298" bestFit="1" customWidth="1"/>
    <col min="38" max="38" width="8.7109375" style="2298" bestFit="1" customWidth="1"/>
    <col min="39" max="39" width="10.5703125" style="2298" bestFit="1" customWidth="1"/>
    <col min="40" max="41" width="8.7109375" style="2298" bestFit="1" customWidth="1"/>
    <col min="42" max="42" width="8.7109375" style="2300" bestFit="1" customWidth="1"/>
    <col min="43" max="43" width="9.7109375" style="2300" bestFit="1" customWidth="1"/>
    <col min="44" max="44" width="8.7109375" style="2298" bestFit="1" customWidth="1"/>
    <col min="45" max="45" width="8.42578125" style="2298" bestFit="1" customWidth="1"/>
    <col min="46" max="46" width="8.7109375" style="2299" bestFit="1" customWidth="1"/>
    <col min="47" max="47" width="8.85546875" style="2299" bestFit="1" customWidth="1"/>
    <col min="48" max="48" width="8.7109375" style="2298" bestFit="1" customWidth="1"/>
    <col min="49" max="49" width="8.85546875" style="2298" bestFit="1" customWidth="1"/>
    <col min="50" max="50" width="8.7109375" style="2298" bestFit="1" customWidth="1"/>
    <col min="51" max="51" width="8.85546875" style="2298" bestFit="1" customWidth="1"/>
    <col min="52" max="52" width="8.7109375" style="2299" bestFit="1" customWidth="1"/>
    <col min="53" max="53" width="10.42578125" style="2299" bestFit="1" customWidth="1"/>
    <col min="54" max="54" width="8.28515625" style="2299" bestFit="1" customWidth="1"/>
    <col min="55" max="55" width="9.85546875" style="2299" bestFit="1" customWidth="1"/>
    <col min="56" max="56" width="9" style="2299" bestFit="1" customWidth="1"/>
    <col min="57" max="57" width="10.42578125" style="2299" bestFit="1" customWidth="1"/>
    <col min="58" max="58" width="12.7109375" style="2299" customWidth="1"/>
    <col min="59" max="59" width="10.42578125" style="2299" bestFit="1" customWidth="1"/>
    <col min="60" max="60" width="17.7109375" style="2299" customWidth="1"/>
    <col min="61" max="61" width="27" style="2299" customWidth="1"/>
    <col min="62" max="62" width="25.85546875" style="2299" customWidth="1"/>
    <col min="63" max="63" width="17.28515625" style="2299" customWidth="1"/>
    <col min="64" max="64" width="14.140625" style="2299" bestFit="1" customWidth="1"/>
    <col min="65" max="65" width="20" style="2299" customWidth="1"/>
    <col min="66" max="66" width="11.7109375" style="2111" bestFit="1" customWidth="1"/>
    <col min="67" max="68" width="11.42578125" style="2111" bestFit="1" customWidth="1"/>
    <col min="69" max="69" width="15.5703125" style="2111" customWidth="1"/>
    <col min="70" max="70" width="27.28515625" style="2111" customWidth="1"/>
    <col min="71" max="16384" width="30" style="2111"/>
  </cols>
  <sheetData>
    <row r="1" spans="1:70" s="438" customFormat="1" ht="21.75" customHeight="1" x14ac:dyDescent="0.25">
      <c r="A1" s="5278" t="s">
        <v>1577</v>
      </c>
      <c r="B1" s="5279"/>
      <c r="C1" s="5279"/>
      <c r="D1" s="5279"/>
      <c r="E1" s="5279"/>
      <c r="F1" s="5279"/>
      <c r="G1" s="5279"/>
      <c r="H1" s="5279"/>
      <c r="I1" s="5279"/>
      <c r="J1" s="5279"/>
      <c r="K1" s="5279"/>
      <c r="L1" s="5279"/>
      <c r="M1" s="5279"/>
      <c r="N1" s="5279"/>
      <c r="O1" s="5279"/>
      <c r="P1" s="5279"/>
      <c r="Q1" s="5279"/>
      <c r="R1" s="5279"/>
      <c r="S1" s="5279"/>
      <c r="T1" s="5279"/>
      <c r="U1" s="5279"/>
      <c r="V1" s="5279"/>
      <c r="W1" s="5279"/>
      <c r="X1" s="5279"/>
      <c r="Y1" s="5279"/>
      <c r="Z1" s="5279"/>
      <c r="AA1" s="5279"/>
      <c r="AB1" s="5279"/>
      <c r="AC1" s="5279"/>
      <c r="AD1" s="5279"/>
      <c r="AE1" s="5279"/>
      <c r="AF1" s="5279"/>
      <c r="AG1" s="5279"/>
      <c r="AH1" s="5279"/>
      <c r="AI1" s="5279"/>
      <c r="AJ1" s="5279"/>
      <c r="AK1" s="5279"/>
      <c r="AL1" s="5279"/>
      <c r="AM1" s="5279"/>
      <c r="AN1" s="5279"/>
      <c r="AO1" s="5279"/>
      <c r="AP1" s="5279"/>
      <c r="AQ1" s="5279"/>
      <c r="AR1" s="5279"/>
      <c r="AS1" s="5279"/>
      <c r="AT1" s="5279"/>
      <c r="AU1" s="5279"/>
      <c r="AV1" s="5279"/>
      <c r="AW1" s="5279"/>
      <c r="AX1" s="5279"/>
      <c r="AY1" s="5279"/>
      <c r="AZ1" s="5279"/>
      <c r="BA1" s="5279"/>
      <c r="BB1" s="5279"/>
      <c r="BC1" s="5279"/>
      <c r="BD1" s="5279"/>
      <c r="BE1" s="5279"/>
      <c r="BF1" s="5279"/>
      <c r="BG1" s="5279"/>
      <c r="BH1" s="5279"/>
      <c r="BI1" s="5279"/>
      <c r="BJ1" s="5279"/>
      <c r="BK1" s="5279"/>
      <c r="BL1" s="5279"/>
      <c r="BM1" s="5279"/>
      <c r="BN1" s="5279"/>
      <c r="BO1" s="5279"/>
      <c r="BP1" s="5280"/>
      <c r="BQ1" s="132" t="s">
        <v>0</v>
      </c>
      <c r="BR1" s="609" t="s">
        <v>1</v>
      </c>
    </row>
    <row r="2" spans="1:70" s="438" customFormat="1" ht="12.75" customHeight="1" x14ac:dyDescent="0.25">
      <c r="A2" s="5281"/>
      <c r="B2" s="5282"/>
      <c r="C2" s="5282"/>
      <c r="D2" s="5282"/>
      <c r="E2" s="5282"/>
      <c r="F2" s="5282"/>
      <c r="G2" s="5282"/>
      <c r="H2" s="5282"/>
      <c r="I2" s="5282"/>
      <c r="J2" s="5282"/>
      <c r="K2" s="5282"/>
      <c r="L2" s="5282"/>
      <c r="M2" s="5282"/>
      <c r="N2" s="5282"/>
      <c r="O2" s="5282"/>
      <c r="P2" s="5282"/>
      <c r="Q2" s="5282"/>
      <c r="R2" s="5282"/>
      <c r="S2" s="5282"/>
      <c r="T2" s="5282"/>
      <c r="U2" s="5282"/>
      <c r="V2" s="5282"/>
      <c r="W2" s="5282"/>
      <c r="X2" s="5282"/>
      <c r="Y2" s="5282"/>
      <c r="Z2" s="5282"/>
      <c r="AA2" s="5282"/>
      <c r="AB2" s="5282"/>
      <c r="AC2" s="5282"/>
      <c r="AD2" s="5282"/>
      <c r="AE2" s="5282"/>
      <c r="AF2" s="5282"/>
      <c r="AG2" s="5282"/>
      <c r="AH2" s="5282"/>
      <c r="AI2" s="5282"/>
      <c r="AJ2" s="5282"/>
      <c r="AK2" s="5282"/>
      <c r="AL2" s="5282"/>
      <c r="AM2" s="5282"/>
      <c r="AN2" s="5282"/>
      <c r="AO2" s="5282"/>
      <c r="AP2" s="5282"/>
      <c r="AQ2" s="5282"/>
      <c r="AR2" s="5282"/>
      <c r="AS2" s="5282"/>
      <c r="AT2" s="5282"/>
      <c r="AU2" s="5282"/>
      <c r="AV2" s="5282"/>
      <c r="AW2" s="5282"/>
      <c r="AX2" s="5282"/>
      <c r="AY2" s="5282"/>
      <c r="AZ2" s="5282"/>
      <c r="BA2" s="5282"/>
      <c r="BB2" s="5282"/>
      <c r="BC2" s="5282"/>
      <c r="BD2" s="5282"/>
      <c r="BE2" s="5282"/>
      <c r="BF2" s="5282"/>
      <c r="BG2" s="5282"/>
      <c r="BH2" s="5282"/>
      <c r="BI2" s="5282"/>
      <c r="BJ2" s="5282"/>
      <c r="BK2" s="5282"/>
      <c r="BL2" s="5282"/>
      <c r="BM2" s="5282"/>
      <c r="BN2" s="5282"/>
      <c r="BO2" s="5282"/>
      <c r="BP2" s="5283"/>
      <c r="BQ2" s="133" t="s">
        <v>2</v>
      </c>
      <c r="BR2" s="6">
        <v>6</v>
      </c>
    </row>
    <row r="3" spans="1:70" s="438" customFormat="1" ht="13.5" customHeight="1" x14ac:dyDescent="0.25">
      <c r="A3" s="5281"/>
      <c r="B3" s="5282"/>
      <c r="C3" s="5282"/>
      <c r="D3" s="5282"/>
      <c r="E3" s="5282"/>
      <c r="F3" s="5282"/>
      <c r="G3" s="5282"/>
      <c r="H3" s="5282"/>
      <c r="I3" s="5282"/>
      <c r="J3" s="5282"/>
      <c r="K3" s="5282"/>
      <c r="L3" s="5282"/>
      <c r="M3" s="5282"/>
      <c r="N3" s="5282"/>
      <c r="O3" s="5282"/>
      <c r="P3" s="5282"/>
      <c r="Q3" s="5282"/>
      <c r="R3" s="5282"/>
      <c r="S3" s="5282"/>
      <c r="T3" s="5282"/>
      <c r="U3" s="5282"/>
      <c r="V3" s="5282"/>
      <c r="W3" s="5282"/>
      <c r="X3" s="5282"/>
      <c r="Y3" s="5282"/>
      <c r="Z3" s="5282"/>
      <c r="AA3" s="5282"/>
      <c r="AB3" s="5282"/>
      <c r="AC3" s="5282"/>
      <c r="AD3" s="5282"/>
      <c r="AE3" s="5282"/>
      <c r="AF3" s="5282"/>
      <c r="AG3" s="5282"/>
      <c r="AH3" s="5282"/>
      <c r="AI3" s="5282"/>
      <c r="AJ3" s="5282"/>
      <c r="AK3" s="5282"/>
      <c r="AL3" s="5282"/>
      <c r="AM3" s="5282"/>
      <c r="AN3" s="5282"/>
      <c r="AO3" s="5282"/>
      <c r="AP3" s="5282"/>
      <c r="AQ3" s="5282"/>
      <c r="AR3" s="5282"/>
      <c r="AS3" s="5282"/>
      <c r="AT3" s="5282"/>
      <c r="AU3" s="5282"/>
      <c r="AV3" s="5282"/>
      <c r="AW3" s="5282"/>
      <c r="AX3" s="5282"/>
      <c r="AY3" s="5282"/>
      <c r="AZ3" s="5282"/>
      <c r="BA3" s="5282"/>
      <c r="BB3" s="5282"/>
      <c r="BC3" s="5282"/>
      <c r="BD3" s="5282"/>
      <c r="BE3" s="5282"/>
      <c r="BF3" s="5282"/>
      <c r="BG3" s="5282"/>
      <c r="BH3" s="5282"/>
      <c r="BI3" s="5282"/>
      <c r="BJ3" s="5282"/>
      <c r="BK3" s="5282"/>
      <c r="BL3" s="5282"/>
      <c r="BM3" s="5282"/>
      <c r="BN3" s="5282"/>
      <c r="BO3" s="5282"/>
      <c r="BP3" s="5283"/>
      <c r="BQ3" s="132" t="s">
        <v>3</v>
      </c>
      <c r="BR3" s="7" t="s">
        <v>4</v>
      </c>
    </row>
    <row r="4" spans="1:70" s="556" customFormat="1" ht="17.25" customHeight="1" x14ac:dyDescent="0.2">
      <c r="A4" s="5284"/>
      <c r="B4" s="5285"/>
      <c r="C4" s="5285"/>
      <c r="D4" s="5285"/>
      <c r="E4" s="5285"/>
      <c r="F4" s="5285"/>
      <c r="G4" s="5285"/>
      <c r="H4" s="5285"/>
      <c r="I4" s="5285"/>
      <c r="J4" s="5285"/>
      <c r="K4" s="5285"/>
      <c r="L4" s="5285"/>
      <c r="M4" s="5285"/>
      <c r="N4" s="5285"/>
      <c r="O4" s="5285"/>
      <c r="P4" s="5285"/>
      <c r="Q4" s="5285"/>
      <c r="R4" s="5285"/>
      <c r="S4" s="5285"/>
      <c r="T4" s="5285"/>
      <c r="U4" s="5285"/>
      <c r="V4" s="5285"/>
      <c r="W4" s="5285"/>
      <c r="X4" s="5285"/>
      <c r="Y4" s="5285"/>
      <c r="Z4" s="5285"/>
      <c r="AA4" s="5285"/>
      <c r="AB4" s="5285"/>
      <c r="AC4" s="5285"/>
      <c r="AD4" s="5285"/>
      <c r="AE4" s="5285"/>
      <c r="AF4" s="5285"/>
      <c r="AG4" s="5285"/>
      <c r="AH4" s="5285"/>
      <c r="AI4" s="5285"/>
      <c r="AJ4" s="5285"/>
      <c r="AK4" s="5285"/>
      <c r="AL4" s="5285"/>
      <c r="AM4" s="5285"/>
      <c r="AN4" s="5285"/>
      <c r="AO4" s="5285"/>
      <c r="AP4" s="5285"/>
      <c r="AQ4" s="5285"/>
      <c r="AR4" s="5285"/>
      <c r="AS4" s="5285"/>
      <c r="AT4" s="5285"/>
      <c r="AU4" s="5285"/>
      <c r="AV4" s="5285"/>
      <c r="AW4" s="5285"/>
      <c r="AX4" s="5285"/>
      <c r="AY4" s="5285"/>
      <c r="AZ4" s="5285"/>
      <c r="BA4" s="5285"/>
      <c r="BB4" s="5285"/>
      <c r="BC4" s="5285"/>
      <c r="BD4" s="5285"/>
      <c r="BE4" s="5285"/>
      <c r="BF4" s="5285"/>
      <c r="BG4" s="5285"/>
      <c r="BH4" s="5285"/>
      <c r="BI4" s="5285"/>
      <c r="BJ4" s="5285"/>
      <c r="BK4" s="5285"/>
      <c r="BL4" s="5285"/>
      <c r="BM4" s="5285"/>
      <c r="BN4" s="5285"/>
      <c r="BO4" s="5285"/>
      <c r="BP4" s="5286"/>
      <c r="BQ4" s="132" t="s">
        <v>5</v>
      </c>
      <c r="BR4" s="9" t="s">
        <v>6</v>
      </c>
    </row>
    <row r="5" spans="1:70" s="438" customFormat="1" ht="22.5" customHeight="1" x14ac:dyDescent="0.2">
      <c r="A5" s="5287" t="s">
        <v>7</v>
      </c>
      <c r="B5" s="3440"/>
      <c r="C5" s="3440"/>
      <c r="D5" s="3440"/>
      <c r="E5" s="3440"/>
      <c r="F5" s="3440"/>
      <c r="G5" s="3440"/>
      <c r="H5" s="3440"/>
      <c r="I5" s="3440"/>
      <c r="J5" s="3440"/>
      <c r="K5" s="3440"/>
      <c r="L5" s="3440"/>
      <c r="M5" s="3440"/>
      <c r="N5" s="3440"/>
      <c r="O5" s="3440"/>
      <c r="P5" s="5288"/>
      <c r="Q5" s="5290" t="s">
        <v>8</v>
      </c>
      <c r="R5" s="3440"/>
      <c r="S5" s="3440"/>
      <c r="T5" s="3440"/>
      <c r="U5" s="3440"/>
      <c r="V5" s="3440"/>
      <c r="W5" s="3440"/>
      <c r="X5" s="3440"/>
      <c r="Y5" s="3440"/>
      <c r="Z5" s="3440"/>
      <c r="AA5" s="3440"/>
      <c r="AB5" s="3440"/>
      <c r="AC5" s="3440"/>
      <c r="AD5" s="3440"/>
      <c r="AE5" s="3440"/>
      <c r="AF5" s="3440"/>
      <c r="AG5" s="3440"/>
      <c r="AH5" s="3440"/>
      <c r="AI5" s="3440"/>
      <c r="AJ5" s="3440"/>
      <c r="AK5" s="3440"/>
      <c r="AL5" s="3440"/>
      <c r="AM5" s="3440"/>
      <c r="AN5" s="3440"/>
      <c r="AO5" s="3440"/>
      <c r="AP5" s="3440"/>
      <c r="AQ5" s="3440"/>
      <c r="AR5" s="3440"/>
      <c r="AS5" s="3440"/>
      <c r="AT5" s="3440"/>
      <c r="AU5" s="3440"/>
      <c r="AV5" s="3440"/>
      <c r="AW5" s="3440"/>
      <c r="AX5" s="3440"/>
      <c r="AY5" s="3440"/>
      <c r="AZ5" s="3440"/>
      <c r="BA5" s="3440"/>
      <c r="BB5" s="3440"/>
      <c r="BC5" s="3440"/>
      <c r="BD5" s="3440"/>
      <c r="BE5" s="3440"/>
      <c r="BF5" s="3440"/>
      <c r="BG5" s="3440"/>
      <c r="BH5" s="3440"/>
      <c r="BI5" s="3440"/>
      <c r="BJ5" s="3440"/>
      <c r="BK5" s="3440"/>
      <c r="BL5" s="3440"/>
      <c r="BM5" s="3440"/>
      <c r="BN5" s="3440"/>
      <c r="BO5" s="3440"/>
      <c r="BP5" s="3440"/>
      <c r="BQ5" s="3440"/>
      <c r="BR5" s="5291"/>
    </row>
    <row r="6" spans="1:70" s="438" customFormat="1" ht="25.5" customHeight="1" thickBot="1" x14ac:dyDescent="0.25">
      <c r="A6" s="5289"/>
      <c r="B6" s="3441"/>
      <c r="C6" s="3441"/>
      <c r="D6" s="3441"/>
      <c r="E6" s="3441"/>
      <c r="F6" s="3441"/>
      <c r="G6" s="3441"/>
      <c r="H6" s="3441"/>
      <c r="I6" s="3441"/>
      <c r="J6" s="3441"/>
      <c r="K6" s="3441"/>
      <c r="L6" s="3441"/>
      <c r="M6" s="3441"/>
      <c r="N6" s="3441"/>
      <c r="O6" s="3441"/>
      <c r="P6" s="3444"/>
      <c r="Q6" s="5292"/>
      <c r="R6" s="5293"/>
      <c r="S6" s="5293"/>
      <c r="T6" s="5293"/>
      <c r="U6" s="5293"/>
      <c r="V6" s="5293"/>
      <c r="W6" s="5293"/>
      <c r="X6" s="5293"/>
      <c r="Y6" s="5293"/>
      <c r="Z6" s="5293"/>
      <c r="AA6" s="5293"/>
      <c r="AB6" s="5293"/>
      <c r="AC6" s="5293"/>
      <c r="AD6" s="5293"/>
      <c r="AE6" s="5293"/>
      <c r="AF6" s="5293"/>
      <c r="AG6" s="5293"/>
      <c r="AH6" s="5293"/>
      <c r="AI6" s="5293"/>
      <c r="AJ6" s="5293"/>
      <c r="AK6" s="5293"/>
      <c r="AL6" s="5293"/>
      <c r="AM6" s="5293"/>
      <c r="AN6" s="5293"/>
      <c r="AO6" s="5293"/>
      <c r="AP6" s="5293"/>
      <c r="AQ6" s="5293"/>
      <c r="AR6" s="5293"/>
      <c r="AS6" s="5293"/>
      <c r="AT6" s="5293"/>
      <c r="AU6" s="5293"/>
      <c r="AV6" s="5293"/>
      <c r="AW6" s="5293"/>
      <c r="AX6" s="5293"/>
      <c r="AY6" s="5293"/>
      <c r="AZ6" s="5293"/>
      <c r="BA6" s="5293"/>
      <c r="BB6" s="5293"/>
      <c r="BC6" s="5293"/>
      <c r="BD6" s="5293"/>
      <c r="BE6" s="5293"/>
      <c r="BF6" s="5293"/>
      <c r="BG6" s="5293"/>
      <c r="BH6" s="5293"/>
      <c r="BI6" s="5293"/>
      <c r="BJ6" s="5293"/>
      <c r="BK6" s="5293"/>
      <c r="BL6" s="5293"/>
      <c r="BM6" s="5293"/>
      <c r="BN6" s="5293"/>
      <c r="BO6" s="5293"/>
      <c r="BP6" s="5293"/>
      <c r="BQ6" s="5293"/>
      <c r="BR6" s="5294"/>
    </row>
    <row r="7" spans="1:70" s="452" customFormat="1" ht="36.75" customHeight="1" x14ac:dyDescent="0.25">
      <c r="A7" s="4325" t="s">
        <v>0</v>
      </c>
      <c r="B7" s="4325" t="s">
        <v>9</v>
      </c>
      <c r="C7" s="4325"/>
      <c r="D7" s="4325" t="s">
        <v>0</v>
      </c>
      <c r="E7" s="4325" t="s">
        <v>10</v>
      </c>
      <c r="F7" s="4325"/>
      <c r="G7" s="4325" t="s">
        <v>0</v>
      </c>
      <c r="H7" s="4325" t="s">
        <v>11</v>
      </c>
      <c r="I7" s="4325"/>
      <c r="J7" s="4325" t="s">
        <v>0</v>
      </c>
      <c r="K7" s="4325" t="s">
        <v>12</v>
      </c>
      <c r="L7" s="4325" t="s">
        <v>13</v>
      </c>
      <c r="M7" s="5274" t="s">
        <v>14</v>
      </c>
      <c r="N7" s="5275"/>
      <c r="O7" s="4325" t="s">
        <v>15</v>
      </c>
      <c r="P7" s="4325" t="s">
        <v>16</v>
      </c>
      <c r="Q7" s="4325" t="s">
        <v>8</v>
      </c>
      <c r="R7" s="4325" t="s">
        <v>17</v>
      </c>
      <c r="S7" s="4325" t="s">
        <v>18</v>
      </c>
      <c r="T7" s="4325" t="s">
        <v>19</v>
      </c>
      <c r="U7" s="4325" t="s">
        <v>20</v>
      </c>
      <c r="V7" s="4325" t="s">
        <v>21</v>
      </c>
      <c r="W7" s="5273" t="s">
        <v>18</v>
      </c>
      <c r="X7" s="5273"/>
      <c r="Y7" s="5273"/>
      <c r="Z7" s="3451" t="s">
        <v>0</v>
      </c>
      <c r="AA7" s="5304" t="s">
        <v>22</v>
      </c>
      <c r="AB7" s="5307" t="s">
        <v>23</v>
      </c>
      <c r="AC7" s="5308"/>
      <c r="AD7" s="5308"/>
      <c r="AE7" s="2857"/>
      <c r="AF7" s="5309" t="s">
        <v>24</v>
      </c>
      <c r="AG7" s="5309"/>
      <c r="AH7" s="5309"/>
      <c r="AI7" s="5309"/>
      <c r="AJ7" s="5309"/>
      <c r="AK7" s="5309"/>
      <c r="AL7" s="5309"/>
      <c r="AM7" s="5309"/>
      <c r="AN7" s="5310" t="s">
        <v>25</v>
      </c>
      <c r="AO7" s="5310"/>
      <c r="AP7" s="5310"/>
      <c r="AQ7" s="5310"/>
      <c r="AR7" s="5310"/>
      <c r="AS7" s="5310"/>
      <c r="AT7" s="5310"/>
      <c r="AU7" s="5310"/>
      <c r="AV7" s="5310"/>
      <c r="AW7" s="5310"/>
      <c r="AX7" s="5310"/>
      <c r="AY7" s="5310"/>
      <c r="AZ7" s="5309" t="s">
        <v>26</v>
      </c>
      <c r="BA7" s="5309"/>
      <c r="BB7" s="5309"/>
      <c r="BC7" s="5309"/>
      <c r="BD7" s="5309"/>
      <c r="BE7" s="5309"/>
      <c r="BF7" s="5269" t="s">
        <v>27</v>
      </c>
      <c r="BG7" s="5270"/>
      <c r="BH7" s="3017" t="s">
        <v>28</v>
      </c>
      <c r="BI7" s="3018"/>
      <c r="BJ7" s="3018"/>
      <c r="BK7" s="3018"/>
      <c r="BL7" s="3018"/>
      <c r="BM7" s="3019"/>
      <c r="BN7" s="5295" t="s">
        <v>29</v>
      </c>
      <c r="BO7" s="5296"/>
      <c r="BP7" s="5295" t="s">
        <v>30</v>
      </c>
      <c r="BQ7" s="5296"/>
      <c r="BR7" s="5301" t="s">
        <v>31</v>
      </c>
    </row>
    <row r="8" spans="1:70" s="452" customFormat="1" ht="45" customHeight="1" x14ac:dyDescent="0.25">
      <c r="A8" s="4325"/>
      <c r="B8" s="4325"/>
      <c r="C8" s="4325"/>
      <c r="D8" s="4325"/>
      <c r="E8" s="4325"/>
      <c r="F8" s="4325"/>
      <c r="G8" s="4325"/>
      <c r="H8" s="4325"/>
      <c r="I8" s="4325"/>
      <c r="J8" s="4325"/>
      <c r="K8" s="4325"/>
      <c r="L8" s="4325"/>
      <c r="M8" s="5276"/>
      <c r="N8" s="5277"/>
      <c r="O8" s="4325"/>
      <c r="P8" s="4325"/>
      <c r="Q8" s="4325"/>
      <c r="R8" s="4325"/>
      <c r="S8" s="4325"/>
      <c r="T8" s="4325"/>
      <c r="U8" s="4325"/>
      <c r="V8" s="4325"/>
      <c r="W8" s="5273"/>
      <c r="X8" s="5273"/>
      <c r="Y8" s="5273"/>
      <c r="Z8" s="3452"/>
      <c r="AA8" s="5305"/>
      <c r="AB8" s="5265" t="s">
        <v>37</v>
      </c>
      <c r="AC8" s="5266"/>
      <c r="AD8" s="5265" t="s">
        <v>38</v>
      </c>
      <c r="AE8" s="5266"/>
      <c r="AF8" s="5265" t="s">
        <v>39</v>
      </c>
      <c r="AG8" s="5266"/>
      <c r="AH8" s="5265" t="s">
        <v>40</v>
      </c>
      <c r="AI8" s="5266"/>
      <c r="AJ8" s="5265" t="s">
        <v>201</v>
      </c>
      <c r="AK8" s="5266"/>
      <c r="AL8" s="5265" t="s">
        <v>42</v>
      </c>
      <c r="AM8" s="5266"/>
      <c r="AN8" s="5265" t="s">
        <v>43</v>
      </c>
      <c r="AO8" s="5266"/>
      <c r="AP8" s="5265" t="s">
        <v>44</v>
      </c>
      <c r="AQ8" s="5266"/>
      <c r="AR8" s="5265" t="s">
        <v>45</v>
      </c>
      <c r="AS8" s="5266"/>
      <c r="AT8" s="5265" t="s">
        <v>46</v>
      </c>
      <c r="AU8" s="5266"/>
      <c r="AV8" s="5265" t="s">
        <v>47</v>
      </c>
      <c r="AW8" s="5266"/>
      <c r="AX8" s="5265" t="s">
        <v>48</v>
      </c>
      <c r="AY8" s="5266"/>
      <c r="AZ8" s="5267" t="s">
        <v>49</v>
      </c>
      <c r="BA8" s="5268"/>
      <c r="BB8" s="5267" t="s">
        <v>50</v>
      </c>
      <c r="BC8" s="5268"/>
      <c r="BD8" s="5267" t="s">
        <v>51</v>
      </c>
      <c r="BE8" s="5268"/>
      <c r="BF8" s="5271"/>
      <c r="BG8" s="5272"/>
      <c r="BH8" s="3050" t="s">
        <v>112</v>
      </c>
      <c r="BI8" s="5261" t="s">
        <v>53</v>
      </c>
      <c r="BJ8" s="5261" t="s">
        <v>54</v>
      </c>
      <c r="BK8" s="5263" t="s">
        <v>55</v>
      </c>
      <c r="BL8" s="3050" t="s">
        <v>56</v>
      </c>
      <c r="BM8" s="3050" t="s">
        <v>57</v>
      </c>
      <c r="BN8" s="5297"/>
      <c r="BO8" s="5298"/>
      <c r="BP8" s="5299"/>
      <c r="BQ8" s="5300"/>
      <c r="BR8" s="5302"/>
    </row>
    <row r="9" spans="1:70" s="452" customFormat="1" ht="24" customHeight="1" x14ac:dyDescent="0.25">
      <c r="A9" s="4325"/>
      <c r="B9" s="4325"/>
      <c r="C9" s="4325"/>
      <c r="D9" s="4325"/>
      <c r="E9" s="4325"/>
      <c r="F9" s="4325"/>
      <c r="G9" s="4325"/>
      <c r="H9" s="4325"/>
      <c r="I9" s="4325"/>
      <c r="J9" s="4325"/>
      <c r="K9" s="4325"/>
      <c r="L9" s="4325"/>
      <c r="M9" s="2856" t="s">
        <v>32</v>
      </c>
      <c r="N9" s="2856" t="s">
        <v>33</v>
      </c>
      <c r="O9" s="4325"/>
      <c r="P9" s="4325"/>
      <c r="Q9" s="4325"/>
      <c r="R9" s="4325"/>
      <c r="S9" s="4325"/>
      <c r="T9" s="4325"/>
      <c r="U9" s="4325"/>
      <c r="V9" s="4325"/>
      <c r="W9" s="2828" t="s">
        <v>34</v>
      </c>
      <c r="X9" s="18" t="s">
        <v>35</v>
      </c>
      <c r="Y9" s="18" t="s">
        <v>36</v>
      </c>
      <c r="Z9" s="5303"/>
      <c r="AA9" s="5306"/>
      <c r="AB9" s="2856" t="s">
        <v>32</v>
      </c>
      <c r="AC9" s="2856" t="s">
        <v>33</v>
      </c>
      <c r="AD9" s="2856" t="s">
        <v>32</v>
      </c>
      <c r="AE9" s="2856" t="s">
        <v>33</v>
      </c>
      <c r="AF9" s="2856" t="s">
        <v>32</v>
      </c>
      <c r="AG9" s="2856" t="s">
        <v>33</v>
      </c>
      <c r="AH9" s="2856" t="s">
        <v>32</v>
      </c>
      <c r="AI9" s="2856" t="s">
        <v>33</v>
      </c>
      <c r="AJ9" s="2856" t="s">
        <v>32</v>
      </c>
      <c r="AK9" s="2856" t="s">
        <v>33</v>
      </c>
      <c r="AL9" s="2856" t="s">
        <v>32</v>
      </c>
      <c r="AM9" s="2856" t="s">
        <v>33</v>
      </c>
      <c r="AN9" s="2856" t="s">
        <v>32</v>
      </c>
      <c r="AO9" s="2856" t="s">
        <v>33</v>
      </c>
      <c r="AP9" s="2856" t="s">
        <v>32</v>
      </c>
      <c r="AQ9" s="2856" t="s">
        <v>33</v>
      </c>
      <c r="AR9" s="2856" t="s">
        <v>32</v>
      </c>
      <c r="AS9" s="2856" t="s">
        <v>33</v>
      </c>
      <c r="AT9" s="2856" t="s">
        <v>32</v>
      </c>
      <c r="AU9" s="2856" t="s">
        <v>33</v>
      </c>
      <c r="AV9" s="2856" t="s">
        <v>32</v>
      </c>
      <c r="AW9" s="2856" t="s">
        <v>33</v>
      </c>
      <c r="AX9" s="2856" t="s">
        <v>32</v>
      </c>
      <c r="AY9" s="2856" t="s">
        <v>33</v>
      </c>
      <c r="AZ9" s="2856" t="s">
        <v>32</v>
      </c>
      <c r="BA9" s="2856" t="s">
        <v>33</v>
      </c>
      <c r="BB9" s="2856" t="s">
        <v>32</v>
      </c>
      <c r="BC9" s="2856" t="s">
        <v>33</v>
      </c>
      <c r="BD9" s="2856" t="s">
        <v>32</v>
      </c>
      <c r="BE9" s="2856" t="s">
        <v>33</v>
      </c>
      <c r="BF9" s="2856" t="s">
        <v>32</v>
      </c>
      <c r="BG9" s="2856" t="s">
        <v>33</v>
      </c>
      <c r="BH9" s="3051"/>
      <c r="BI9" s="5262"/>
      <c r="BJ9" s="5262"/>
      <c r="BK9" s="5264"/>
      <c r="BL9" s="3051"/>
      <c r="BM9" s="3051"/>
      <c r="BN9" s="2856" t="s">
        <v>32</v>
      </c>
      <c r="BO9" s="2856" t="s">
        <v>33</v>
      </c>
      <c r="BP9" s="2856" t="s">
        <v>32</v>
      </c>
      <c r="BQ9" s="2856" t="s">
        <v>33</v>
      </c>
      <c r="BR9" s="2101"/>
    </row>
    <row r="10" spans="1:70" ht="30.75" customHeight="1" x14ac:dyDescent="0.2">
      <c r="A10" s="2102">
        <v>3</v>
      </c>
      <c r="B10" s="2103" t="s">
        <v>1578</v>
      </c>
      <c r="C10" s="2103"/>
      <c r="D10" s="2103"/>
      <c r="E10" s="2103"/>
      <c r="F10" s="2103"/>
      <c r="G10" s="2103"/>
      <c r="H10" s="2103"/>
      <c r="I10" s="2103"/>
      <c r="J10" s="2103"/>
      <c r="K10" s="2104"/>
      <c r="L10" s="2103"/>
      <c r="M10" s="2103"/>
      <c r="N10" s="2103"/>
      <c r="O10" s="2105"/>
      <c r="P10" s="2103"/>
      <c r="Q10" s="2104"/>
      <c r="R10" s="2103"/>
      <c r="S10" s="2105"/>
      <c r="T10" s="2103"/>
      <c r="U10" s="2104"/>
      <c r="V10" s="2104"/>
      <c r="W10" s="2106"/>
      <c r="X10" s="2106"/>
      <c r="Y10" s="2106"/>
      <c r="Z10" s="2105"/>
      <c r="AA10" s="2105"/>
      <c r="AB10" s="2107"/>
      <c r="AC10" s="2107"/>
      <c r="AD10" s="2107"/>
      <c r="AE10" s="2107"/>
      <c r="AF10" s="2108"/>
      <c r="AG10" s="2108"/>
      <c r="AH10" s="2107"/>
      <c r="AI10" s="2107"/>
      <c r="AJ10" s="2107"/>
      <c r="AK10" s="2107"/>
      <c r="AL10" s="2107"/>
      <c r="AM10" s="2107"/>
      <c r="AN10" s="2107"/>
      <c r="AO10" s="2107"/>
      <c r="AP10" s="2109"/>
      <c r="AQ10" s="2109"/>
      <c r="AR10" s="2107"/>
      <c r="AS10" s="2107"/>
      <c r="AT10" s="2108"/>
      <c r="AU10" s="2108"/>
      <c r="AV10" s="2107"/>
      <c r="AW10" s="2107"/>
      <c r="AX10" s="2107"/>
      <c r="AY10" s="2107"/>
      <c r="AZ10" s="2108"/>
      <c r="BA10" s="2108"/>
      <c r="BB10" s="2108"/>
      <c r="BC10" s="2108"/>
      <c r="BD10" s="2108"/>
      <c r="BE10" s="2108"/>
      <c r="BF10" s="2108"/>
      <c r="BG10" s="2108"/>
      <c r="BH10" s="2108"/>
      <c r="BI10" s="2108"/>
      <c r="BJ10" s="2108"/>
      <c r="BK10" s="2108"/>
      <c r="BL10" s="2108"/>
      <c r="BM10" s="2108"/>
      <c r="BN10" s="2103"/>
      <c r="BO10" s="2103"/>
      <c r="BP10" s="2103"/>
      <c r="BQ10" s="2103"/>
      <c r="BR10" s="2110"/>
    </row>
    <row r="11" spans="1:70" ht="13.5" customHeight="1" x14ac:dyDescent="0.2">
      <c r="A11" s="5258"/>
      <c r="B11" s="5259"/>
      <c r="C11" s="5260"/>
      <c r="D11" s="2112">
        <v>11</v>
      </c>
      <c r="E11" s="2113" t="s">
        <v>837</v>
      </c>
      <c r="F11" s="2113"/>
      <c r="G11" s="2114"/>
      <c r="H11" s="2114"/>
      <c r="I11" s="2114"/>
      <c r="J11" s="2114"/>
      <c r="K11" s="2115"/>
      <c r="L11" s="2114"/>
      <c r="M11" s="2114"/>
      <c r="N11" s="2114"/>
      <c r="O11" s="2116"/>
      <c r="P11" s="2114"/>
      <c r="Q11" s="2115"/>
      <c r="R11" s="2114"/>
      <c r="S11" s="2116"/>
      <c r="T11" s="2114"/>
      <c r="U11" s="2115"/>
      <c r="V11" s="2115"/>
      <c r="W11" s="2117"/>
      <c r="X11" s="2117"/>
      <c r="Y11" s="2117"/>
      <c r="Z11" s="2116"/>
      <c r="AA11" s="2116"/>
      <c r="AB11" s="2118"/>
      <c r="AC11" s="2118"/>
      <c r="AD11" s="2118"/>
      <c r="AE11" s="2118"/>
      <c r="AF11" s="2119"/>
      <c r="AG11" s="2119"/>
      <c r="AH11" s="2118"/>
      <c r="AI11" s="2118"/>
      <c r="AJ11" s="2118"/>
      <c r="AK11" s="2118"/>
      <c r="AL11" s="2118"/>
      <c r="AM11" s="2118"/>
      <c r="AN11" s="2118"/>
      <c r="AO11" s="2118"/>
      <c r="AP11" s="2120"/>
      <c r="AQ11" s="2120"/>
      <c r="AR11" s="2118"/>
      <c r="AS11" s="2118"/>
      <c r="AT11" s="2119"/>
      <c r="AU11" s="2119"/>
      <c r="AV11" s="2118"/>
      <c r="AW11" s="2118"/>
      <c r="AX11" s="2118"/>
      <c r="AY11" s="2118"/>
      <c r="AZ11" s="2119"/>
      <c r="BA11" s="2119"/>
      <c r="BB11" s="2119"/>
      <c r="BC11" s="2119"/>
      <c r="BD11" s="2119"/>
      <c r="BE11" s="2119"/>
      <c r="BF11" s="2119"/>
      <c r="BG11" s="2119"/>
      <c r="BH11" s="2119"/>
      <c r="BI11" s="2119"/>
      <c r="BJ11" s="2119"/>
      <c r="BK11" s="2119"/>
      <c r="BL11" s="2119"/>
      <c r="BM11" s="2119"/>
      <c r="BN11" s="2114"/>
      <c r="BO11" s="2114"/>
      <c r="BP11" s="2114"/>
      <c r="BQ11" s="2114"/>
      <c r="BR11" s="2121"/>
    </row>
    <row r="12" spans="1:70" ht="27.75" customHeight="1" x14ac:dyDescent="0.2">
      <c r="A12" s="2122"/>
      <c r="B12" s="2123"/>
      <c r="C12" s="2124"/>
      <c r="D12" s="2125"/>
      <c r="E12" s="2125"/>
      <c r="F12" s="2126"/>
      <c r="G12" s="2127">
        <v>35</v>
      </c>
      <c r="H12" s="2128" t="s">
        <v>1579</v>
      </c>
      <c r="I12" s="2128"/>
      <c r="J12" s="2128"/>
      <c r="K12" s="2129"/>
      <c r="L12" s="2128"/>
      <c r="M12" s="2128"/>
      <c r="N12" s="2128"/>
      <c r="O12" s="2130"/>
      <c r="P12" s="2128"/>
      <c r="Q12" s="2129"/>
      <c r="R12" s="2128"/>
      <c r="S12" s="2130"/>
      <c r="T12" s="2128"/>
      <c r="U12" s="2129"/>
      <c r="V12" s="2129"/>
      <c r="W12" s="2131"/>
      <c r="X12" s="2131"/>
      <c r="Y12" s="2131"/>
      <c r="Z12" s="2130"/>
      <c r="AA12" s="2130"/>
      <c r="AB12" s="2132"/>
      <c r="AC12" s="2132"/>
      <c r="AD12" s="2132"/>
      <c r="AE12" s="2132"/>
      <c r="AF12" s="2133"/>
      <c r="AG12" s="2133"/>
      <c r="AH12" s="2132"/>
      <c r="AI12" s="2132"/>
      <c r="AJ12" s="2132"/>
      <c r="AK12" s="2132"/>
      <c r="AL12" s="2132"/>
      <c r="AM12" s="2132"/>
      <c r="AN12" s="2132"/>
      <c r="AO12" s="2132"/>
      <c r="AP12" s="2134"/>
      <c r="AQ12" s="2134"/>
      <c r="AR12" s="2132"/>
      <c r="AS12" s="2132"/>
      <c r="AT12" s="2133"/>
      <c r="AU12" s="2133"/>
      <c r="AV12" s="2132"/>
      <c r="AW12" s="2132"/>
      <c r="AX12" s="2132"/>
      <c r="AY12" s="2132"/>
      <c r="AZ12" s="2133"/>
      <c r="BA12" s="2133"/>
      <c r="BB12" s="2133"/>
      <c r="BC12" s="2133"/>
      <c r="BD12" s="2133"/>
      <c r="BE12" s="2133"/>
      <c r="BF12" s="2133"/>
      <c r="BG12" s="2133"/>
      <c r="BH12" s="2133"/>
      <c r="BI12" s="2133"/>
      <c r="BJ12" s="2133"/>
      <c r="BK12" s="2133"/>
      <c r="BL12" s="2133"/>
      <c r="BM12" s="2133"/>
      <c r="BN12" s="2128"/>
      <c r="BO12" s="2128"/>
      <c r="BP12" s="2128"/>
      <c r="BQ12" s="2128"/>
      <c r="BR12" s="2135"/>
    </row>
    <row r="13" spans="1:70" s="2144" customFormat="1" ht="29.25" customHeight="1" x14ac:dyDescent="0.2">
      <c r="A13" s="2136"/>
      <c r="B13" s="2137"/>
      <c r="C13" s="2138"/>
      <c r="D13" s="2137"/>
      <c r="E13" s="2137"/>
      <c r="F13" s="2138"/>
      <c r="G13" s="2139"/>
      <c r="H13" s="2140"/>
      <c r="I13" s="2141"/>
      <c r="J13" s="5110">
        <v>127</v>
      </c>
      <c r="K13" s="5087" t="s">
        <v>1580</v>
      </c>
      <c r="L13" s="5084" t="s">
        <v>1581</v>
      </c>
      <c r="M13" s="5084">
        <v>1</v>
      </c>
      <c r="N13" s="5151">
        <v>0.8</v>
      </c>
      <c r="O13" s="5084" t="s">
        <v>648</v>
      </c>
      <c r="P13" s="5084" t="s">
        <v>1582</v>
      </c>
      <c r="Q13" s="5087" t="s">
        <v>1583</v>
      </c>
      <c r="R13" s="5118">
        <f>SUM(W13:W22)/S13</f>
        <v>0.32142857142857145</v>
      </c>
      <c r="S13" s="5101">
        <f>SUM(W13:W46)</f>
        <v>196000000</v>
      </c>
      <c r="T13" s="5087" t="s">
        <v>1584</v>
      </c>
      <c r="U13" s="5087" t="s">
        <v>1585</v>
      </c>
      <c r="V13" s="5217" t="s">
        <v>1586</v>
      </c>
      <c r="W13" s="2821">
        <v>4000000</v>
      </c>
      <c r="X13" s="2142">
        <v>4000000</v>
      </c>
      <c r="Y13" s="2142">
        <v>4000000</v>
      </c>
      <c r="Z13" s="2143">
        <v>61</v>
      </c>
      <c r="AA13" s="5084" t="s">
        <v>1587</v>
      </c>
      <c r="AB13" s="5084" t="s">
        <v>1588</v>
      </c>
      <c r="AC13" s="5084" t="s">
        <v>1588</v>
      </c>
      <c r="AD13" s="5084" t="s">
        <v>1588</v>
      </c>
      <c r="AE13" s="5084" t="s">
        <v>1588</v>
      </c>
      <c r="AF13" s="5164">
        <v>64149</v>
      </c>
      <c r="AG13" s="5084" t="s">
        <v>1588</v>
      </c>
      <c r="AH13" s="5094" t="s">
        <v>1588</v>
      </c>
      <c r="AI13" s="5084" t="s">
        <v>1588</v>
      </c>
      <c r="AJ13" s="5255" t="s">
        <v>1588</v>
      </c>
      <c r="AK13" s="5084" t="s">
        <v>1588</v>
      </c>
      <c r="AL13" s="5094" t="s">
        <v>1588</v>
      </c>
      <c r="AM13" s="5084" t="s">
        <v>1588</v>
      </c>
      <c r="AN13" s="5094" t="s">
        <v>1588</v>
      </c>
      <c r="AO13" s="5084" t="s">
        <v>1588</v>
      </c>
      <c r="AP13" s="5094" t="s">
        <v>1588</v>
      </c>
      <c r="AQ13" s="5084" t="s">
        <v>1588</v>
      </c>
      <c r="AR13" s="5094" t="s">
        <v>1588</v>
      </c>
      <c r="AS13" s="5084" t="s">
        <v>1588</v>
      </c>
      <c r="AT13" s="5094" t="s">
        <v>1588</v>
      </c>
      <c r="AU13" s="5084" t="s">
        <v>1588</v>
      </c>
      <c r="AV13" s="5094" t="s">
        <v>1588</v>
      </c>
      <c r="AW13" s="5084" t="s">
        <v>1588</v>
      </c>
      <c r="AX13" s="5255" t="s">
        <v>1588</v>
      </c>
      <c r="AY13" s="5084" t="s">
        <v>1588</v>
      </c>
      <c r="AZ13" s="5094" t="s">
        <v>1588</v>
      </c>
      <c r="BA13" s="5084" t="s">
        <v>1588</v>
      </c>
      <c r="BB13" s="5094" t="s">
        <v>1588</v>
      </c>
      <c r="BC13" s="5084" t="s">
        <v>1588</v>
      </c>
      <c r="BD13" s="5255" t="s">
        <v>1588</v>
      </c>
      <c r="BE13" s="5084" t="s">
        <v>1588</v>
      </c>
      <c r="BF13" s="5255" t="s">
        <v>1588</v>
      </c>
      <c r="BG13" s="5255" t="s">
        <v>1588</v>
      </c>
      <c r="BH13" s="5255">
        <v>21</v>
      </c>
      <c r="BI13" s="3821">
        <f>SUM(X13:X46)</f>
        <v>188769699</v>
      </c>
      <c r="BJ13" s="3821">
        <f>SUM(Y13:Y46)</f>
        <v>131075332</v>
      </c>
      <c r="BK13" s="5091">
        <f>SUM(BJ13/BI13)</f>
        <v>0.69436637709529858</v>
      </c>
      <c r="BL13" s="5255" t="s">
        <v>1589</v>
      </c>
      <c r="BM13" s="5255" t="s">
        <v>1590</v>
      </c>
      <c r="BN13" s="5078">
        <v>43467</v>
      </c>
      <c r="BO13" s="5078">
        <v>43830</v>
      </c>
      <c r="BP13" s="5078">
        <v>43830</v>
      </c>
      <c r="BQ13" s="5078">
        <v>40178</v>
      </c>
      <c r="BR13" s="5081" t="s">
        <v>1591</v>
      </c>
    </row>
    <row r="14" spans="1:70" s="2144" customFormat="1" ht="30.75" customHeight="1" x14ac:dyDescent="0.2">
      <c r="A14" s="2136"/>
      <c r="B14" s="2137"/>
      <c r="C14" s="2138"/>
      <c r="D14" s="2137"/>
      <c r="E14" s="2137"/>
      <c r="F14" s="2138"/>
      <c r="G14" s="2145"/>
      <c r="H14" s="2137"/>
      <c r="I14" s="2138"/>
      <c r="J14" s="5111"/>
      <c r="K14" s="5088"/>
      <c r="L14" s="5085"/>
      <c r="M14" s="5085"/>
      <c r="N14" s="5151"/>
      <c r="O14" s="5085"/>
      <c r="P14" s="5085"/>
      <c r="Q14" s="5088"/>
      <c r="R14" s="5119"/>
      <c r="S14" s="5102"/>
      <c r="T14" s="5088"/>
      <c r="U14" s="5088"/>
      <c r="V14" s="5218"/>
      <c r="W14" s="2821">
        <v>15000000</v>
      </c>
      <c r="X14" s="2142">
        <v>14160600</v>
      </c>
      <c r="Y14" s="2142">
        <v>2011000</v>
      </c>
      <c r="Z14" s="2143">
        <v>98</v>
      </c>
      <c r="AA14" s="5085"/>
      <c r="AB14" s="5085"/>
      <c r="AC14" s="5085"/>
      <c r="AD14" s="5085"/>
      <c r="AE14" s="5085"/>
      <c r="AF14" s="5165"/>
      <c r="AG14" s="5085"/>
      <c r="AH14" s="5095"/>
      <c r="AI14" s="5085"/>
      <c r="AJ14" s="5256"/>
      <c r="AK14" s="5085"/>
      <c r="AL14" s="5095"/>
      <c r="AM14" s="5085"/>
      <c r="AN14" s="5095"/>
      <c r="AO14" s="5085"/>
      <c r="AP14" s="5095"/>
      <c r="AQ14" s="5085"/>
      <c r="AR14" s="5095"/>
      <c r="AS14" s="5085"/>
      <c r="AT14" s="5095"/>
      <c r="AU14" s="5085"/>
      <c r="AV14" s="5095"/>
      <c r="AW14" s="5085"/>
      <c r="AX14" s="5256"/>
      <c r="AY14" s="5085"/>
      <c r="AZ14" s="5095"/>
      <c r="BA14" s="5085"/>
      <c r="BB14" s="5095"/>
      <c r="BC14" s="5085"/>
      <c r="BD14" s="5256"/>
      <c r="BE14" s="5085"/>
      <c r="BF14" s="5256"/>
      <c r="BG14" s="5256"/>
      <c r="BH14" s="5256"/>
      <c r="BI14" s="3822"/>
      <c r="BJ14" s="3822"/>
      <c r="BK14" s="5092"/>
      <c r="BL14" s="5256"/>
      <c r="BM14" s="5256"/>
      <c r="BN14" s="5079"/>
      <c r="BO14" s="5079"/>
      <c r="BP14" s="5079"/>
      <c r="BQ14" s="5079"/>
      <c r="BR14" s="5082"/>
    </row>
    <row r="15" spans="1:70" s="2144" customFormat="1" ht="92.25" customHeight="1" x14ac:dyDescent="0.2">
      <c r="A15" s="2136"/>
      <c r="B15" s="2137"/>
      <c r="C15" s="2138"/>
      <c r="D15" s="2137"/>
      <c r="E15" s="2137"/>
      <c r="F15" s="2138"/>
      <c r="G15" s="2145"/>
      <c r="H15" s="2137"/>
      <c r="I15" s="2138"/>
      <c r="J15" s="5111"/>
      <c r="K15" s="5088"/>
      <c r="L15" s="5085"/>
      <c r="M15" s="5085"/>
      <c r="N15" s="5151"/>
      <c r="O15" s="5085"/>
      <c r="P15" s="5085"/>
      <c r="Q15" s="5088"/>
      <c r="R15" s="5119"/>
      <c r="S15" s="5102"/>
      <c r="T15" s="5088"/>
      <c r="U15" s="5088"/>
      <c r="V15" s="2146" t="s">
        <v>1592</v>
      </c>
      <c r="W15" s="2821">
        <v>4000000</v>
      </c>
      <c r="X15" s="2142">
        <v>4000000</v>
      </c>
      <c r="Y15" s="2142">
        <v>4000000</v>
      </c>
      <c r="Z15" s="2143">
        <v>61</v>
      </c>
      <c r="AA15" s="5085"/>
      <c r="AB15" s="5085"/>
      <c r="AC15" s="5085"/>
      <c r="AD15" s="5085"/>
      <c r="AE15" s="5085"/>
      <c r="AF15" s="5165"/>
      <c r="AG15" s="5085"/>
      <c r="AH15" s="5095"/>
      <c r="AI15" s="5085"/>
      <c r="AJ15" s="5256"/>
      <c r="AK15" s="5085"/>
      <c r="AL15" s="5095"/>
      <c r="AM15" s="5085"/>
      <c r="AN15" s="5095"/>
      <c r="AO15" s="5085"/>
      <c r="AP15" s="5095"/>
      <c r="AQ15" s="5085"/>
      <c r="AR15" s="5095"/>
      <c r="AS15" s="5085"/>
      <c r="AT15" s="5095"/>
      <c r="AU15" s="5085"/>
      <c r="AV15" s="5095"/>
      <c r="AW15" s="5085"/>
      <c r="AX15" s="5256"/>
      <c r="AY15" s="5085"/>
      <c r="AZ15" s="5095"/>
      <c r="BA15" s="5085"/>
      <c r="BB15" s="5095"/>
      <c r="BC15" s="5085"/>
      <c r="BD15" s="5256"/>
      <c r="BE15" s="5085"/>
      <c r="BF15" s="5256"/>
      <c r="BG15" s="5256"/>
      <c r="BH15" s="5256"/>
      <c r="BI15" s="3822"/>
      <c r="BJ15" s="3822"/>
      <c r="BK15" s="5092"/>
      <c r="BL15" s="5256"/>
      <c r="BM15" s="5256"/>
      <c r="BN15" s="5079"/>
      <c r="BO15" s="5079"/>
      <c r="BP15" s="5079"/>
      <c r="BQ15" s="5079"/>
      <c r="BR15" s="5082"/>
    </row>
    <row r="16" spans="1:70" s="2144" customFormat="1" ht="29.25" customHeight="1" x14ac:dyDescent="0.2">
      <c r="A16" s="2136"/>
      <c r="B16" s="2137"/>
      <c r="C16" s="2138"/>
      <c r="D16" s="2137"/>
      <c r="E16" s="2137"/>
      <c r="F16" s="2138"/>
      <c r="G16" s="2145"/>
      <c r="H16" s="2137"/>
      <c r="I16" s="2138"/>
      <c r="J16" s="5111"/>
      <c r="K16" s="5088"/>
      <c r="L16" s="5085"/>
      <c r="M16" s="5085"/>
      <c r="N16" s="5151"/>
      <c r="O16" s="5085"/>
      <c r="P16" s="5085"/>
      <c r="Q16" s="5088"/>
      <c r="R16" s="5119"/>
      <c r="S16" s="5102"/>
      <c r="T16" s="5088"/>
      <c r="U16" s="5088"/>
      <c r="V16" s="5217" t="s">
        <v>1593</v>
      </c>
      <c r="W16" s="2821">
        <v>4000000</v>
      </c>
      <c r="X16" s="2142">
        <v>4000000</v>
      </c>
      <c r="Y16" s="2142">
        <v>4000000</v>
      </c>
      <c r="Z16" s="2143">
        <v>61</v>
      </c>
      <c r="AA16" s="5085"/>
      <c r="AB16" s="5085"/>
      <c r="AC16" s="5085"/>
      <c r="AD16" s="5085"/>
      <c r="AE16" s="5085"/>
      <c r="AF16" s="5165"/>
      <c r="AG16" s="5085"/>
      <c r="AH16" s="5095"/>
      <c r="AI16" s="5085"/>
      <c r="AJ16" s="5256"/>
      <c r="AK16" s="5085"/>
      <c r="AL16" s="5095"/>
      <c r="AM16" s="5085"/>
      <c r="AN16" s="5095"/>
      <c r="AO16" s="5085"/>
      <c r="AP16" s="5095"/>
      <c r="AQ16" s="5085"/>
      <c r="AR16" s="5095"/>
      <c r="AS16" s="5085"/>
      <c r="AT16" s="5095"/>
      <c r="AU16" s="5085"/>
      <c r="AV16" s="5095"/>
      <c r="AW16" s="5085"/>
      <c r="AX16" s="5256"/>
      <c r="AY16" s="5085"/>
      <c r="AZ16" s="5095"/>
      <c r="BA16" s="5085"/>
      <c r="BB16" s="5095"/>
      <c r="BC16" s="5085"/>
      <c r="BD16" s="5256"/>
      <c r="BE16" s="5085"/>
      <c r="BF16" s="5256"/>
      <c r="BG16" s="5256"/>
      <c r="BH16" s="5256"/>
      <c r="BI16" s="3822"/>
      <c r="BJ16" s="3822"/>
      <c r="BK16" s="5092"/>
      <c r="BL16" s="5256"/>
      <c r="BM16" s="5256"/>
      <c r="BN16" s="5079"/>
      <c r="BO16" s="5079"/>
      <c r="BP16" s="5079"/>
      <c r="BQ16" s="5079"/>
      <c r="BR16" s="5082"/>
    </row>
    <row r="17" spans="1:70" s="2144" customFormat="1" ht="30" customHeight="1" x14ac:dyDescent="0.2">
      <c r="A17" s="2136"/>
      <c r="B17" s="2137"/>
      <c r="C17" s="2138"/>
      <c r="D17" s="2137"/>
      <c r="E17" s="2137"/>
      <c r="F17" s="2138"/>
      <c r="G17" s="2145"/>
      <c r="H17" s="2137"/>
      <c r="I17" s="2138"/>
      <c r="J17" s="5111"/>
      <c r="K17" s="5088"/>
      <c r="L17" s="5085"/>
      <c r="M17" s="5085"/>
      <c r="N17" s="5151"/>
      <c r="O17" s="5085"/>
      <c r="P17" s="5085"/>
      <c r="Q17" s="5088"/>
      <c r="R17" s="5119"/>
      <c r="S17" s="5102"/>
      <c r="T17" s="5088"/>
      <c r="U17" s="5088"/>
      <c r="V17" s="5218"/>
      <c r="W17" s="2821">
        <v>10000000</v>
      </c>
      <c r="X17" s="2142">
        <v>10000000</v>
      </c>
      <c r="Y17" s="2142">
        <v>2010000</v>
      </c>
      <c r="Z17" s="2143">
        <v>98</v>
      </c>
      <c r="AA17" s="5085"/>
      <c r="AB17" s="5085"/>
      <c r="AC17" s="5085"/>
      <c r="AD17" s="5085"/>
      <c r="AE17" s="5085"/>
      <c r="AF17" s="5165"/>
      <c r="AG17" s="5085"/>
      <c r="AH17" s="5095"/>
      <c r="AI17" s="5085"/>
      <c r="AJ17" s="5256"/>
      <c r="AK17" s="5085"/>
      <c r="AL17" s="5095"/>
      <c r="AM17" s="5085"/>
      <c r="AN17" s="5095"/>
      <c r="AO17" s="5085"/>
      <c r="AP17" s="5095"/>
      <c r="AQ17" s="5085"/>
      <c r="AR17" s="5095"/>
      <c r="AS17" s="5085"/>
      <c r="AT17" s="5095"/>
      <c r="AU17" s="5085"/>
      <c r="AV17" s="5095"/>
      <c r="AW17" s="5085"/>
      <c r="AX17" s="5256"/>
      <c r="AY17" s="5085"/>
      <c r="AZ17" s="5095"/>
      <c r="BA17" s="5085"/>
      <c r="BB17" s="5095"/>
      <c r="BC17" s="5085"/>
      <c r="BD17" s="5256"/>
      <c r="BE17" s="5085"/>
      <c r="BF17" s="5256"/>
      <c r="BG17" s="5256"/>
      <c r="BH17" s="5256"/>
      <c r="BI17" s="3822"/>
      <c r="BJ17" s="3822"/>
      <c r="BK17" s="5092"/>
      <c r="BL17" s="5256"/>
      <c r="BM17" s="5256"/>
      <c r="BN17" s="5079"/>
      <c r="BO17" s="5079"/>
      <c r="BP17" s="5079"/>
      <c r="BQ17" s="5079"/>
      <c r="BR17" s="5082"/>
    </row>
    <row r="18" spans="1:70" s="2144" customFormat="1" ht="29.25" customHeight="1" x14ac:dyDescent="0.2">
      <c r="A18" s="2136"/>
      <c r="B18" s="2137"/>
      <c r="C18" s="2138"/>
      <c r="D18" s="2137"/>
      <c r="E18" s="2137"/>
      <c r="F18" s="2138"/>
      <c r="G18" s="2145"/>
      <c r="H18" s="2137"/>
      <c r="I18" s="2138"/>
      <c r="J18" s="5111"/>
      <c r="K18" s="5088"/>
      <c r="L18" s="5085"/>
      <c r="M18" s="5085"/>
      <c r="N18" s="5151"/>
      <c r="O18" s="5085"/>
      <c r="P18" s="5085"/>
      <c r="Q18" s="5088"/>
      <c r="R18" s="5119"/>
      <c r="S18" s="5102"/>
      <c r="T18" s="5088"/>
      <c r="U18" s="5088"/>
      <c r="V18" s="5217" t="s">
        <v>1594</v>
      </c>
      <c r="W18" s="2821">
        <v>1000000</v>
      </c>
      <c r="X18" s="2142">
        <v>1000000</v>
      </c>
      <c r="Y18" s="2142">
        <v>1000000</v>
      </c>
      <c r="Z18" s="2143">
        <v>61</v>
      </c>
      <c r="AA18" s="5085"/>
      <c r="AB18" s="5085"/>
      <c r="AC18" s="5085"/>
      <c r="AD18" s="5085"/>
      <c r="AE18" s="5085"/>
      <c r="AF18" s="5165"/>
      <c r="AG18" s="5085"/>
      <c r="AH18" s="5095"/>
      <c r="AI18" s="5085"/>
      <c r="AJ18" s="5256"/>
      <c r="AK18" s="5085"/>
      <c r="AL18" s="5095"/>
      <c r="AM18" s="5085"/>
      <c r="AN18" s="5095"/>
      <c r="AO18" s="5085"/>
      <c r="AP18" s="5095"/>
      <c r="AQ18" s="5085"/>
      <c r="AR18" s="5095"/>
      <c r="AS18" s="5085"/>
      <c r="AT18" s="5095"/>
      <c r="AU18" s="5085"/>
      <c r="AV18" s="5095"/>
      <c r="AW18" s="5085"/>
      <c r="AX18" s="5256"/>
      <c r="AY18" s="5085"/>
      <c r="AZ18" s="5095"/>
      <c r="BA18" s="5085"/>
      <c r="BB18" s="5095"/>
      <c r="BC18" s="5085"/>
      <c r="BD18" s="5256"/>
      <c r="BE18" s="5085"/>
      <c r="BF18" s="5256"/>
      <c r="BG18" s="5256"/>
      <c r="BH18" s="5256"/>
      <c r="BI18" s="3822"/>
      <c r="BJ18" s="3822"/>
      <c r="BK18" s="5092"/>
      <c r="BL18" s="5256"/>
      <c r="BM18" s="5256"/>
      <c r="BN18" s="5079"/>
      <c r="BO18" s="5079"/>
      <c r="BP18" s="5079"/>
      <c r="BQ18" s="5079"/>
      <c r="BR18" s="5082"/>
    </row>
    <row r="19" spans="1:70" s="2144" customFormat="1" ht="37.5" customHeight="1" x14ac:dyDescent="0.2">
      <c r="A19" s="2136"/>
      <c r="B19" s="2137"/>
      <c r="C19" s="2138"/>
      <c r="D19" s="2137"/>
      <c r="E19" s="2137"/>
      <c r="F19" s="2138"/>
      <c r="G19" s="2145"/>
      <c r="H19" s="2137"/>
      <c r="I19" s="2138"/>
      <c r="J19" s="5111"/>
      <c r="K19" s="5088"/>
      <c r="L19" s="5085"/>
      <c r="M19" s="5085"/>
      <c r="N19" s="5151"/>
      <c r="O19" s="5085"/>
      <c r="P19" s="5085"/>
      <c r="Q19" s="5088"/>
      <c r="R19" s="5119"/>
      <c r="S19" s="5102"/>
      <c r="T19" s="5088"/>
      <c r="U19" s="5088"/>
      <c r="V19" s="5218"/>
      <c r="W19" s="2821">
        <v>10000000</v>
      </c>
      <c r="X19" s="2142">
        <v>10000000</v>
      </c>
      <c r="Y19" s="2142">
        <v>2010000</v>
      </c>
      <c r="Z19" s="2143">
        <v>98</v>
      </c>
      <c r="AA19" s="5085"/>
      <c r="AB19" s="5085"/>
      <c r="AC19" s="5085"/>
      <c r="AD19" s="5085"/>
      <c r="AE19" s="5085"/>
      <c r="AF19" s="5165"/>
      <c r="AG19" s="5085"/>
      <c r="AH19" s="5095"/>
      <c r="AI19" s="5085"/>
      <c r="AJ19" s="5256"/>
      <c r="AK19" s="5085"/>
      <c r="AL19" s="5095"/>
      <c r="AM19" s="5085"/>
      <c r="AN19" s="5095"/>
      <c r="AO19" s="5085"/>
      <c r="AP19" s="5095"/>
      <c r="AQ19" s="5085"/>
      <c r="AR19" s="5095"/>
      <c r="AS19" s="5085"/>
      <c r="AT19" s="5095"/>
      <c r="AU19" s="5085"/>
      <c r="AV19" s="5095"/>
      <c r="AW19" s="5085"/>
      <c r="AX19" s="5256"/>
      <c r="AY19" s="5085"/>
      <c r="AZ19" s="5095"/>
      <c r="BA19" s="5085"/>
      <c r="BB19" s="5095"/>
      <c r="BC19" s="5085"/>
      <c r="BD19" s="5256"/>
      <c r="BE19" s="5085"/>
      <c r="BF19" s="5256"/>
      <c r="BG19" s="5256"/>
      <c r="BH19" s="5256"/>
      <c r="BI19" s="3822"/>
      <c r="BJ19" s="3822"/>
      <c r="BK19" s="5092"/>
      <c r="BL19" s="5256"/>
      <c r="BM19" s="5256"/>
      <c r="BN19" s="5079"/>
      <c r="BO19" s="5079"/>
      <c r="BP19" s="5079"/>
      <c r="BQ19" s="5079"/>
      <c r="BR19" s="5082"/>
    </row>
    <row r="20" spans="1:70" s="2144" customFormat="1" ht="59.25" customHeight="1" x14ac:dyDescent="0.2">
      <c r="A20" s="2136"/>
      <c r="B20" s="2137"/>
      <c r="C20" s="2138"/>
      <c r="D20" s="2137"/>
      <c r="E20" s="2137"/>
      <c r="F20" s="2138"/>
      <c r="G20" s="2145"/>
      <c r="H20" s="2137"/>
      <c r="I20" s="2138"/>
      <c r="J20" s="5111"/>
      <c r="K20" s="5088"/>
      <c r="L20" s="5085"/>
      <c r="M20" s="5085"/>
      <c r="N20" s="5151"/>
      <c r="O20" s="5085"/>
      <c r="P20" s="5085"/>
      <c r="Q20" s="5088"/>
      <c r="R20" s="5119"/>
      <c r="S20" s="5102"/>
      <c r="T20" s="5088"/>
      <c r="U20" s="5088"/>
      <c r="V20" s="2146" t="s">
        <v>1595</v>
      </c>
      <c r="W20" s="2821">
        <v>4000000</v>
      </c>
      <c r="X20" s="2142">
        <v>4000000</v>
      </c>
      <c r="Y20" s="2142">
        <v>4000000</v>
      </c>
      <c r="Z20" s="2143">
        <v>61</v>
      </c>
      <c r="AA20" s="5085"/>
      <c r="AB20" s="5085"/>
      <c r="AC20" s="5085"/>
      <c r="AD20" s="5085"/>
      <c r="AE20" s="5085"/>
      <c r="AF20" s="5165"/>
      <c r="AG20" s="5085"/>
      <c r="AH20" s="5095"/>
      <c r="AI20" s="5085"/>
      <c r="AJ20" s="5256"/>
      <c r="AK20" s="5085"/>
      <c r="AL20" s="5095"/>
      <c r="AM20" s="5085"/>
      <c r="AN20" s="5095"/>
      <c r="AO20" s="5085"/>
      <c r="AP20" s="5095"/>
      <c r="AQ20" s="5085"/>
      <c r="AR20" s="5095"/>
      <c r="AS20" s="5085"/>
      <c r="AT20" s="5095"/>
      <c r="AU20" s="5085"/>
      <c r="AV20" s="5095"/>
      <c r="AW20" s="5085"/>
      <c r="AX20" s="5256"/>
      <c r="AY20" s="5085"/>
      <c r="AZ20" s="5095"/>
      <c r="BA20" s="5085"/>
      <c r="BB20" s="5095"/>
      <c r="BC20" s="5085"/>
      <c r="BD20" s="5256"/>
      <c r="BE20" s="5085"/>
      <c r="BF20" s="5256"/>
      <c r="BG20" s="5256"/>
      <c r="BH20" s="5256"/>
      <c r="BI20" s="3822"/>
      <c r="BJ20" s="3822"/>
      <c r="BK20" s="5092"/>
      <c r="BL20" s="5256"/>
      <c r="BM20" s="5256"/>
      <c r="BN20" s="5079"/>
      <c r="BO20" s="5079"/>
      <c r="BP20" s="5079"/>
      <c r="BQ20" s="5079"/>
      <c r="BR20" s="5082"/>
    </row>
    <row r="21" spans="1:70" s="2144" customFormat="1" ht="59.25" customHeight="1" x14ac:dyDescent="0.2">
      <c r="A21" s="2136"/>
      <c r="B21" s="2137"/>
      <c r="C21" s="2138"/>
      <c r="D21" s="2137"/>
      <c r="E21" s="2137"/>
      <c r="F21" s="2138"/>
      <c r="G21" s="2145"/>
      <c r="H21" s="2137"/>
      <c r="I21" s="2138"/>
      <c r="J21" s="5111"/>
      <c r="K21" s="5088"/>
      <c r="L21" s="5085"/>
      <c r="M21" s="5085"/>
      <c r="N21" s="5151"/>
      <c r="O21" s="5085"/>
      <c r="P21" s="5085"/>
      <c r="Q21" s="5088"/>
      <c r="R21" s="5119"/>
      <c r="S21" s="5102"/>
      <c r="T21" s="5088"/>
      <c r="U21" s="5088"/>
      <c r="V21" s="2146" t="s">
        <v>1596</v>
      </c>
      <c r="W21" s="2821">
        <v>7000000</v>
      </c>
      <c r="X21" s="2142">
        <v>7000000</v>
      </c>
      <c r="Y21" s="2142">
        <v>7000000</v>
      </c>
      <c r="Z21" s="2143">
        <v>61</v>
      </c>
      <c r="AA21" s="5085"/>
      <c r="AB21" s="5085"/>
      <c r="AC21" s="5085"/>
      <c r="AD21" s="5085"/>
      <c r="AE21" s="5085"/>
      <c r="AF21" s="5165"/>
      <c r="AG21" s="5085"/>
      <c r="AH21" s="5095"/>
      <c r="AI21" s="5085"/>
      <c r="AJ21" s="5256"/>
      <c r="AK21" s="5085"/>
      <c r="AL21" s="5095"/>
      <c r="AM21" s="5085"/>
      <c r="AN21" s="5095"/>
      <c r="AO21" s="5085"/>
      <c r="AP21" s="5095"/>
      <c r="AQ21" s="5085"/>
      <c r="AR21" s="5095"/>
      <c r="AS21" s="5085"/>
      <c r="AT21" s="5095"/>
      <c r="AU21" s="5085"/>
      <c r="AV21" s="5095"/>
      <c r="AW21" s="5085"/>
      <c r="AX21" s="5256"/>
      <c r="AY21" s="5085"/>
      <c r="AZ21" s="5095"/>
      <c r="BA21" s="5085"/>
      <c r="BB21" s="5095"/>
      <c r="BC21" s="5085"/>
      <c r="BD21" s="5256"/>
      <c r="BE21" s="5085"/>
      <c r="BF21" s="5256"/>
      <c r="BG21" s="5256"/>
      <c r="BH21" s="5256"/>
      <c r="BI21" s="3822"/>
      <c r="BJ21" s="3822"/>
      <c r="BK21" s="5092"/>
      <c r="BL21" s="5256"/>
      <c r="BM21" s="5256"/>
      <c r="BN21" s="5079"/>
      <c r="BO21" s="5079"/>
      <c r="BP21" s="5079"/>
      <c r="BQ21" s="5079"/>
      <c r="BR21" s="5082"/>
    </row>
    <row r="22" spans="1:70" s="2144" customFormat="1" ht="68.25" customHeight="1" x14ac:dyDescent="0.2">
      <c r="A22" s="2136"/>
      <c r="B22" s="2137"/>
      <c r="C22" s="2138"/>
      <c r="D22" s="2137"/>
      <c r="E22" s="2137"/>
      <c r="F22" s="2138"/>
      <c r="G22" s="2145"/>
      <c r="H22" s="2137"/>
      <c r="I22" s="2138"/>
      <c r="J22" s="5112"/>
      <c r="K22" s="5089"/>
      <c r="L22" s="5086"/>
      <c r="M22" s="5086"/>
      <c r="N22" s="5151"/>
      <c r="O22" s="5085"/>
      <c r="P22" s="5085"/>
      <c r="Q22" s="5088"/>
      <c r="R22" s="5120"/>
      <c r="S22" s="5102"/>
      <c r="T22" s="5088"/>
      <c r="U22" s="5089"/>
      <c r="V22" s="2146" t="s">
        <v>1597</v>
      </c>
      <c r="W22" s="2821">
        <v>4000000</v>
      </c>
      <c r="X22" s="2142">
        <v>4000000</v>
      </c>
      <c r="Y22" s="2142">
        <v>4000000</v>
      </c>
      <c r="Z22" s="2143">
        <v>61</v>
      </c>
      <c r="AA22" s="5085"/>
      <c r="AB22" s="5085"/>
      <c r="AC22" s="5085"/>
      <c r="AD22" s="5085"/>
      <c r="AE22" s="5085"/>
      <c r="AF22" s="5165"/>
      <c r="AG22" s="5085"/>
      <c r="AH22" s="5095"/>
      <c r="AI22" s="5085"/>
      <c r="AJ22" s="5256"/>
      <c r="AK22" s="5085"/>
      <c r="AL22" s="5095"/>
      <c r="AM22" s="5085"/>
      <c r="AN22" s="5095"/>
      <c r="AO22" s="5085"/>
      <c r="AP22" s="5095"/>
      <c r="AQ22" s="5085"/>
      <c r="AR22" s="5095"/>
      <c r="AS22" s="5085"/>
      <c r="AT22" s="5095"/>
      <c r="AU22" s="5085"/>
      <c r="AV22" s="5095"/>
      <c r="AW22" s="5085"/>
      <c r="AX22" s="5256"/>
      <c r="AY22" s="5085"/>
      <c r="AZ22" s="5095"/>
      <c r="BA22" s="5085"/>
      <c r="BB22" s="5095"/>
      <c r="BC22" s="5085"/>
      <c r="BD22" s="5256"/>
      <c r="BE22" s="5085"/>
      <c r="BF22" s="5256"/>
      <c r="BG22" s="5256"/>
      <c r="BH22" s="5256"/>
      <c r="BI22" s="3822"/>
      <c r="BJ22" s="3822"/>
      <c r="BK22" s="5092"/>
      <c r="BL22" s="5256"/>
      <c r="BM22" s="5256"/>
      <c r="BN22" s="5079"/>
      <c r="BO22" s="5079"/>
      <c r="BP22" s="5079"/>
      <c r="BQ22" s="5079"/>
      <c r="BR22" s="5082"/>
    </row>
    <row r="23" spans="1:70" s="2144" customFormat="1" ht="48.75" customHeight="1" x14ac:dyDescent="0.2">
      <c r="A23" s="2136"/>
      <c r="B23" s="2137"/>
      <c r="C23" s="2138"/>
      <c r="D23" s="2137"/>
      <c r="E23" s="2137"/>
      <c r="F23" s="2138"/>
      <c r="G23" s="2145"/>
      <c r="H23" s="2137"/>
      <c r="I23" s="2138"/>
      <c r="J23" s="5110">
        <v>128</v>
      </c>
      <c r="K23" s="5087" t="s">
        <v>1598</v>
      </c>
      <c r="L23" s="5084" t="s">
        <v>1581</v>
      </c>
      <c r="M23" s="5084">
        <v>1</v>
      </c>
      <c r="N23" s="5151">
        <v>0.75</v>
      </c>
      <c r="O23" s="5085"/>
      <c r="P23" s="5085"/>
      <c r="Q23" s="5088"/>
      <c r="R23" s="5118">
        <f>+SUM(W23:W32)/S13</f>
        <v>0.20918367346938777</v>
      </c>
      <c r="S23" s="5102"/>
      <c r="T23" s="5088"/>
      <c r="U23" s="5087" t="s">
        <v>1599</v>
      </c>
      <c r="V23" s="5217" t="s">
        <v>1600</v>
      </c>
      <c r="W23" s="2821">
        <v>5600000</v>
      </c>
      <c r="X23" s="2142">
        <v>4790000</v>
      </c>
      <c r="Y23" s="2142">
        <v>4589000</v>
      </c>
      <c r="Z23" s="2143">
        <v>61</v>
      </c>
      <c r="AA23" s="5085"/>
      <c r="AB23" s="5085"/>
      <c r="AC23" s="5085"/>
      <c r="AD23" s="5085"/>
      <c r="AE23" s="5085"/>
      <c r="AF23" s="5165"/>
      <c r="AG23" s="5085"/>
      <c r="AH23" s="5095"/>
      <c r="AI23" s="5085"/>
      <c r="AJ23" s="5256"/>
      <c r="AK23" s="5085"/>
      <c r="AL23" s="5095"/>
      <c r="AM23" s="5085"/>
      <c r="AN23" s="5095"/>
      <c r="AO23" s="5085"/>
      <c r="AP23" s="5095"/>
      <c r="AQ23" s="5085"/>
      <c r="AR23" s="5095"/>
      <c r="AS23" s="5085"/>
      <c r="AT23" s="5095"/>
      <c r="AU23" s="5085"/>
      <c r="AV23" s="5095"/>
      <c r="AW23" s="5085"/>
      <c r="AX23" s="5256"/>
      <c r="AY23" s="5085"/>
      <c r="AZ23" s="5095"/>
      <c r="BA23" s="5085"/>
      <c r="BB23" s="5095"/>
      <c r="BC23" s="5085"/>
      <c r="BD23" s="5256"/>
      <c r="BE23" s="5085"/>
      <c r="BF23" s="5256"/>
      <c r="BG23" s="5256"/>
      <c r="BH23" s="5256"/>
      <c r="BI23" s="3822"/>
      <c r="BJ23" s="3822"/>
      <c r="BK23" s="5092"/>
      <c r="BL23" s="5256"/>
      <c r="BM23" s="5256"/>
      <c r="BN23" s="5079"/>
      <c r="BO23" s="5079"/>
      <c r="BP23" s="5079"/>
      <c r="BQ23" s="5079"/>
      <c r="BR23" s="5082"/>
    </row>
    <row r="24" spans="1:70" s="2144" customFormat="1" ht="26.25" customHeight="1" x14ac:dyDescent="0.2">
      <c r="A24" s="2136"/>
      <c r="B24" s="2137"/>
      <c r="C24" s="2138"/>
      <c r="D24" s="2137"/>
      <c r="E24" s="2137"/>
      <c r="F24" s="2138"/>
      <c r="G24" s="2145"/>
      <c r="H24" s="2137"/>
      <c r="I24" s="2138"/>
      <c r="J24" s="5111"/>
      <c r="K24" s="5088"/>
      <c r="L24" s="5085"/>
      <c r="M24" s="5085"/>
      <c r="N24" s="5151"/>
      <c r="O24" s="5085"/>
      <c r="P24" s="5085"/>
      <c r="Q24" s="5088"/>
      <c r="R24" s="5119"/>
      <c r="S24" s="5102"/>
      <c r="T24" s="5088"/>
      <c r="U24" s="5088"/>
      <c r="V24" s="5218"/>
      <c r="W24" s="2821">
        <v>2000000</v>
      </c>
      <c r="X24" s="2142">
        <v>2000000</v>
      </c>
      <c r="Y24" s="2142">
        <v>559600</v>
      </c>
      <c r="Z24" s="2143">
        <v>98</v>
      </c>
      <c r="AA24" s="5085"/>
      <c r="AB24" s="5085"/>
      <c r="AC24" s="5085"/>
      <c r="AD24" s="5085"/>
      <c r="AE24" s="5085"/>
      <c r="AF24" s="5165"/>
      <c r="AG24" s="5085"/>
      <c r="AH24" s="5095"/>
      <c r="AI24" s="5085"/>
      <c r="AJ24" s="5256"/>
      <c r="AK24" s="5085"/>
      <c r="AL24" s="5095"/>
      <c r="AM24" s="5085"/>
      <c r="AN24" s="5095"/>
      <c r="AO24" s="5085"/>
      <c r="AP24" s="5095"/>
      <c r="AQ24" s="5085"/>
      <c r="AR24" s="5095"/>
      <c r="AS24" s="5085"/>
      <c r="AT24" s="5095"/>
      <c r="AU24" s="5085"/>
      <c r="AV24" s="5095"/>
      <c r="AW24" s="5085"/>
      <c r="AX24" s="5256"/>
      <c r="AY24" s="5085"/>
      <c r="AZ24" s="5095"/>
      <c r="BA24" s="5085"/>
      <c r="BB24" s="5095"/>
      <c r="BC24" s="5085"/>
      <c r="BD24" s="5256"/>
      <c r="BE24" s="5085"/>
      <c r="BF24" s="5256"/>
      <c r="BG24" s="5256"/>
      <c r="BH24" s="5256"/>
      <c r="BI24" s="3822"/>
      <c r="BJ24" s="3822"/>
      <c r="BK24" s="5092"/>
      <c r="BL24" s="5256"/>
      <c r="BM24" s="5256"/>
      <c r="BN24" s="5079"/>
      <c r="BO24" s="5079"/>
      <c r="BP24" s="5079"/>
      <c r="BQ24" s="5079"/>
      <c r="BR24" s="5082"/>
    </row>
    <row r="25" spans="1:70" s="2144" customFormat="1" ht="50.25" customHeight="1" x14ac:dyDescent="0.2">
      <c r="A25" s="2136"/>
      <c r="B25" s="2137"/>
      <c r="C25" s="2138"/>
      <c r="D25" s="2137"/>
      <c r="E25" s="2137"/>
      <c r="F25" s="2138"/>
      <c r="G25" s="2145"/>
      <c r="H25" s="2137"/>
      <c r="I25" s="2138"/>
      <c r="J25" s="5111"/>
      <c r="K25" s="5088"/>
      <c r="L25" s="5085"/>
      <c r="M25" s="5085"/>
      <c r="N25" s="5151"/>
      <c r="O25" s="5085"/>
      <c r="P25" s="5085"/>
      <c r="Q25" s="5088"/>
      <c r="R25" s="5119"/>
      <c r="S25" s="5102"/>
      <c r="T25" s="5088"/>
      <c r="U25" s="5088"/>
      <c r="V25" s="5217" t="s">
        <v>1601</v>
      </c>
      <c r="W25" s="2821">
        <v>5600000</v>
      </c>
      <c r="X25" s="2142">
        <v>4790000</v>
      </c>
      <c r="Y25" s="2142">
        <v>4589000</v>
      </c>
      <c r="Z25" s="2143">
        <v>61</v>
      </c>
      <c r="AA25" s="5085"/>
      <c r="AB25" s="5085"/>
      <c r="AC25" s="5085"/>
      <c r="AD25" s="5085"/>
      <c r="AE25" s="5085"/>
      <c r="AF25" s="5165"/>
      <c r="AG25" s="5085"/>
      <c r="AH25" s="5095"/>
      <c r="AI25" s="5085"/>
      <c r="AJ25" s="5256"/>
      <c r="AK25" s="5085"/>
      <c r="AL25" s="5095"/>
      <c r="AM25" s="5085"/>
      <c r="AN25" s="5095"/>
      <c r="AO25" s="5085"/>
      <c r="AP25" s="5095"/>
      <c r="AQ25" s="5085"/>
      <c r="AR25" s="5095"/>
      <c r="AS25" s="5085"/>
      <c r="AT25" s="5095"/>
      <c r="AU25" s="5085"/>
      <c r="AV25" s="5095"/>
      <c r="AW25" s="5085"/>
      <c r="AX25" s="5256"/>
      <c r="AY25" s="5085"/>
      <c r="AZ25" s="5095"/>
      <c r="BA25" s="5085"/>
      <c r="BB25" s="5095"/>
      <c r="BC25" s="5085"/>
      <c r="BD25" s="5256"/>
      <c r="BE25" s="5085"/>
      <c r="BF25" s="5256"/>
      <c r="BG25" s="5256"/>
      <c r="BH25" s="5256"/>
      <c r="BI25" s="3822"/>
      <c r="BJ25" s="3822"/>
      <c r="BK25" s="5092"/>
      <c r="BL25" s="5256"/>
      <c r="BM25" s="5256"/>
      <c r="BN25" s="5079"/>
      <c r="BO25" s="5079"/>
      <c r="BP25" s="5079"/>
      <c r="BQ25" s="5079"/>
      <c r="BR25" s="5082"/>
    </row>
    <row r="26" spans="1:70" s="2144" customFormat="1" ht="28.5" customHeight="1" x14ac:dyDescent="0.2">
      <c r="A26" s="2136"/>
      <c r="B26" s="2137"/>
      <c r="C26" s="2138"/>
      <c r="D26" s="2137"/>
      <c r="E26" s="2137"/>
      <c r="F26" s="2138"/>
      <c r="G26" s="2145"/>
      <c r="H26" s="2137"/>
      <c r="I26" s="2138"/>
      <c r="J26" s="5111"/>
      <c r="K26" s="5088"/>
      <c r="L26" s="5085"/>
      <c r="M26" s="5085"/>
      <c r="N26" s="5151"/>
      <c r="O26" s="5085"/>
      <c r="P26" s="5085"/>
      <c r="Q26" s="5088"/>
      <c r="R26" s="5119"/>
      <c r="S26" s="5102"/>
      <c r="T26" s="5088"/>
      <c r="U26" s="5088"/>
      <c r="V26" s="5218"/>
      <c r="W26" s="2821">
        <v>2000000</v>
      </c>
      <c r="X26" s="2142">
        <v>2000000</v>
      </c>
      <c r="Y26" s="2142">
        <v>559600</v>
      </c>
      <c r="Z26" s="2143">
        <v>98</v>
      </c>
      <c r="AA26" s="5085"/>
      <c r="AB26" s="5085"/>
      <c r="AC26" s="5085"/>
      <c r="AD26" s="5085"/>
      <c r="AE26" s="5085"/>
      <c r="AF26" s="5165"/>
      <c r="AG26" s="5085"/>
      <c r="AH26" s="5095"/>
      <c r="AI26" s="5085"/>
      <c r="AJ26" s="5256"/>
      <c r="AK26" s="5085"/>
      <c r="AL26" s="5095"/>
      <c r="AM26" s="5085"/>
      <c r="AN26" s="5095"/>
      <c r="AO26" s="5085"/>
      <c r="AP26" s="5095"/>
      <c r="AQ26" s="5085"/>
      <c r="AR26" s="5095"/>
      <c r="AS26" s="5085"/>
      <c r="AT26" s="5095"/>
      <c r="AU26" s="5085"/>
      <c r="AV26" s="5095"/>
      <c r="AW26" s="5085"/>
      <c r="AX26" s="5256"/>
      <c r="AY26" s="5085"/>
      <c r="AZ26" s="5095"/>
      <c r="BA26" s="5085"/>
      <c r="BB26" s="5095"/>
      <c r="BC26" s="5085"/>
      <c r="BD26" s="5256"/>
      <c r="BE26" s="5085"/>
      <c r="BF26" s="5256"/>
      <c r="BG26" s="5256"/>
      <c r="BH26" s="5256"/>
      <c r="BI26" s="3822"/>
      <c r="BJ26" s="3822"/>
      <c r="BK26" s="5092"/>
      <c r="BL26" s="5256"/>
      <c r="BM26" s="5256"/>
      <c r="BN26" s="5079"/>
      <c r="BO26" s="5079"/>
      <c r="BP26" s="5079"/>
      <c r="BQ26" s="5079"/>
      <c r="BR26" s="5082"/>
    </row>
    <row r="27" spans="1:70" s="2144" customFormat="1" ht="27.75" customHeight="1" x14ac:dyDescent="0.2">
      <c r="A27" s="2136"/>
      <c r="B27" s="2137"/>
      <c r="C27" s="2138"/>
      <c r="D27" s="2137"/>
      <c r="E27" s="2137"/>
      <c r="F27" s="2138"/>
      <c r="G27" s="2145"/>
      <c r="H27" s="2137"/>
      <c r="I27" s="2138"/>
      <c r="J27" s="5111"/>
      <c r="K27" s="5088"/>
      <c r="L27" s="5085"/>
      <c r="M27" s="5085"/>
      <c r="N27" s="5151"/>
      <c r="O27" s="5085"/>
      <c r="P27" s="5085"/>
      <c r="Q27" s="5088"/>
      <c r="R27" s="5119"/>
      <c r="S27" s="5102"/>
      <c r="T27" s="5088"/>
      <c r="U27" s="5088"/>
      <c r="V27" s="5217" t="s">
        <v>1602</v>
      </c>
      <c r="W27" s="2821">
        <v>5600000</v>
      </c>
      <c r="X27" s="2142">
        <v>4790000</v>
      </c>
      <c r="Y27" s="2142">
        <v>4589000</v>
      </c>
      <c r="Z27" s="2143">
        <v>61</v>
      </c>
      <c r="AA27" s="5085"/>
      <c r="AB27" s="5085"/>
      <c r="AC27" s="5085"/>
      <c r="AD27" s="5085"/>
      <c r="AE27" s="5085"/>
      <c r="AF27" s="5165"/>
      <c r="AG27" s="5085"/>
      <c r="AH27" s="5095"/>
      <c r="AI27" s="5085"/>
      <c r="AJ27" s="5256"/>
      <c r="AK27" s="5085"/>
      <c r="AL27" s="5095"/>
      <c r="AM27" s="5085"/>
      <c r="AN27" s="5095"/>
      <c r="AO27" s="5085"/>
      <c r="AP27" s="5095"/>
      <c r="AQ27" s="5085"/>
      <c r="AR27" s="5095"/>
      <c r="AS27" s="5085"/>
      <c r="AT27" s="5095"/>
      <c r="AU27" s="5085"/>
      <c r="AV27" s="5095"/>
      <c r="AW27" s="5085"/>
      <c r="AX27" s="5256"/>
      <c r="AY27" s="5085"/>
      <c r="AZ27" s="5095"/>
      <c r="BA27" s="5085"/>
      <c r="BB27" s="5095"/>
      <c r="BC27" s="5085"/>
      <c r="BD27" s="5256"/>
      <c r="BE27" s="5085"/>
      <c r="BF27" s="5256"/>
      <c r="BG27" s="5256"/>
      <c r="BH27" s="5256"/>
      <c r="BI27" s="3822"/>
      <c r="BJ27" s="3822"/>
      <c r="BK27" s="5092"/>
      <c r="BL27" s="5256"/>
      <c r="BM27" s="5256"/>
      <c r="BN27" s="5079"/>
      <c r="BO27" s="5079"/>
      <c r="BP27" s="5079"/>
      <c r="BQ27" s="5079"/>
      <c r="BR27" s="5082"/>
    </row>
    <row r="28" spans="1:70" s="2144" customFormat="1" ht="28.5" customHeight="1" x14ac:dyDescent="0.2">
      <c r="A28" s="2136"/>
      <c r="B28" s="2137"/>
      <c r="C28" s="2138"/>
      <c r="D28" s="2137"/>
      <c r="E28" s="2137"/>
      <c r="F28" s="2138"/>
      <c r="G28" s="2145"/>
      <c r="H28" s="2137"/>
      <c r="I28" s="2138"/>
      <c r="J28" s="5111"/>
      <c r="K28" s="5088"/>
      <c r="L28" s="5085"/>
      <c r="M28" s="5085"/>
      <c r="N28" s="5151"/>
      <c r="O28" s="5085"/>
      <c r="P28" s="5085"/>
      <c r="Q28" s="5088"/>
      <c r="R28" s="5119"/>
      <c r="S28" s="5102"/>
      <c r="T28" s="5088"/>
      <c r="U28" s="5088"/>
      <c r="V28" s="5218"/>
      <c r="W28" s="2821">
        <v>3000000</v>
      </c>
      <c r="X28" s="2142">
        <v>3000000</v>
      </c>
      <c r="Y28" s="2142">
        <v>559600</v>
      </c>
      <c r="Z28" s="2143">
        <v>98</v>
      </c>
      <c r="AA28" s="5085"/>
      <c r="AB28" s="5085"/>
      <c r="AC28" s="5085"/>
      <c r="AD28" s="5085"/>
      <c r="AE28" s="5085"/>
      <c r="AF28" s="5165"/>
      <c r="AG28" s="5085"/>
      <c r="AH28" s="5095"/>
      <c r="AI28" s="5085"/>
      <c r="AJ28" s="5256"/>
      <c r="AK28" s="5085"/>
      <c r="AL28" s="5095"/>
      <c r="AM28" s="5085"/>
      <c r="AN28" s="5095"/>
      <c r="AO28" s="5085"/>
      <c r="AP28" s="5095"/>
      <c r="AQ28" s="5085"/>
      <c r="AR28" s="5095"/>
      <c r="AS28" s="5085"/>
      <c r="AT28" s="5095"/>
      <c r="AU28" s="5085"/>
      <c r="AV28" s="5095"/>
      <c r="AW28" s="5085"/>
      <c r="AX28" s="5256"/>
      <c r="AY28" s="5085"/>
      <c r="AZ28" s="5095"/>
      <c r="BA28" s="5085"/>
      <c r="BB28" s="5095"/>
      <c r="BC28" s="5085"/>
      <c r="BD28" s="5256"/>
      <c r="BE28" s="5085"/>
      <c r="BF28" s="5256"/>
      <c r="BG28" s="5256"/>
      <c r="BH28" s="5256"/>
      <c r="BI28" s="3822"/>
      <c r="BJ28" s="3822"/>
      <c r="BK28" s="5092"/>
      <c r="BL28" s="5256"/>
      <c r="BM28" s="5256"/>
      <c r="BN28" s="5079"/>
      <c r="BO28" s="5079"/>
      <c r="BP28" s="5079"/>
      <c r="BQ28" s="5079"/>
      <c r="BR28" s="5082"/>
    </row>
    <row r="29" spans="1:70" s="2144" customFormat="1" ht="30.75" customHeight="1" x14ac:dyDescent="0.2">
      <c r="A29" s="2136"/>
      <c r="B29" s="2137"/>
      <c r="C29" s="2138"/>
      <c r="D29" s="2137"/>
      <c r="E29" s="2137"/>
      <c r="F29" s="2138"/>
      <c r="G29" s="2145"/>
      <c r="H29" s="2137"/>
      <c r="I29" s="2138"/>
      <c r="J29" s="5111"/>
      <c r="K29" s="5088"/>
      <c r="L29" s="5085"/>
      <c r="M29" s="5085"/>
      <c r="N29" s="5151"/>
      <c r="O29" s="5085"/>
      <c r="P29" s="5085"/>
      <c r="Q29" s="5088"/>
      <c r="R29" s="5119"/>
      <c r="S29" s="5102"/>
      <c r="T29" s="5088"/>
      <c r="U29" s="5088"/>
      <c r="V29" s="5217" t="s">
        <v>1603</v>
      </c>
      <c r="W29" s="2821">
        <v>5600000</v>
      </c>
      <c r="X29" s="2142">
        <v>4790000</v>
      </c>
      <c r="Y29" s="2142">
        <v>4589000</v>
      </c>
      <c r="Z29" s="2143">
        <v>61</v>
      </c>
      <c r="AA29" s="5085"/>
      <c r="AB29" s="5085"/>
      <c r="AC29" s="5085"/>
      <c r="AD29" s="5085"/>
      <c r="AE29" s="5085"/>
      <c r="AF29" s="5165"/>
      <c r="AG29" s="5085"/>
      <c r="AH29" s="5095"/>
      <c r="AI29" s="5085"/>
      <c r="AJ29" s="5256"/>
      <c r="AK29" s="5085"/>
      <c r="AL29" s="5095"/>
      <c r="AM29" s="5085"/>
      <c r="AN29" s="5095"/>
      <c r="AO29" s="5085"/>
      <c r="AP29" s="5095"/>
      <c r="AQ29" s="5085"/>
      <c r="AR29" s="5095"/>
      <c r="AS29" s="5085"/>
      <c r="AT29" s="5095"/>
      <c r="AU29" s="5085"/>
      <c r="AV29" s="5095"/>
      <c r="AW29" s="5085"/>
      <c r="AX29" s="5256"/>
      <c r="AY29" s="5085"/>
      <c r="AZ29" s="5095"/>
      <c r="BA29" s="5085"/>
      <c r="BB29" s="5095"/>
      <c r="BC29" s="5085"/>
      <c r="BD29" s="5256"/>
      <c r="BE29" s="5085"/>
      <c r="BF29" s="5256"/>
      <c r="BG29" s="5256"/>
      <c r="BH29" s="5256"/>
      <c r="BI29" s="3822"/>
      <c r="BJ29" s="3822"/>
      <c r="BK29" s="5092"/>
      <c r="BL29" s="5256"/>
      <c r="BM29" s="5256"/>
      <c r="BN29" s="5079"/>
      <c r="BO29" s="5079"/>
      <c r="BP29" s="5079"/>
      <c r="BQ29" s="5079"/>
      <c r="BR29" s="5082"/>
    </row>
    <row r="30" spans="1:70" s="2144" customFormat="1" ht="28.5" customHeight="1" x14ac:dyDescent="0.2">
      <c r="A30" s="2136"/>
      <c r="B30" s="2137"/>
      <c r="C30" s="2138"/>
      <c r="D30" s="2137"/>
      <c r="E30" s="2137"/>
      <c r="F30" s="2138"/>
      <c r="G30" s="2145"/>
      <c r="H30" s="2137"/>
      <c r="I30" s="2138"/>
      <c r="J30" s="5111"/>
      <c r="K30" s="5088"/>
      <c r="L30" s="5085"/>
      <c r="M30" s="5085"/>
      <c r="N30" s="5151"/>
      <c r="O30" s="5085"/>
      <c r="P30" s="5085"/>
      <c r="Q30" s="5088"/>
      <c r="R30" s="5119"/>
      <c r="S30" s="5102"/>
      <c r="T30" s="5088"/>
      <c r="U30" s="5088"/>
      <c r="V30" s="5218"/>
      <c r="W30" s="2821">
        <v>3000000</v>
      </c>
      <c r="X30" s="2142">
        <v>3000000</v>
      </c>
      <c r="Y30" s="2142">
        <v>559600</v>
      </c>
      <c r="Z30" s="2143">
        <v>98</v>
      </c>
      <c r="AA30" s="5085"/>
      <c r="AB30" s="5085"/>
      <c r="AC30" s="5085"/>
      <c r="AD30" s="5085"/>
      <c r="AE30" s="5085"/>
      <c r="AF30" s="5165"/>
      <c r="AG30" s="5085"/>
      <c r="AH30" s="5095"/>
      <c r="AI30" s="5085"/>
      <c r="AJ30" s="5256"/>
      <c r="AK30" s="5085"/>
      <c r="AL30" s="5095"/>
      <c r="AM30" s="5085"/>
      <c r="AN30" s="5095"/>
      <c r="AO30" s="5085"/>
      <c r="AP30" s="5095"/>
      <c r="AQ30" s="5085"/>
      <c r="AR30" s="5095"/>
      <c r="AS30" s="5085"/>
      <c r="AT30" s="5095"/>
      <c r="AU30" s="5085"/>
      <c r="AV30" s="5095"/>
      <c r="AW30" s="5085"/>
      <c r="AX30" s="5256"/>
      <c r="AY30" s="5085"/>
      <c r="AZ30" s="5095"/>
      <c r="BA30" s="5085"/>
      <c r="BB30" s="5095"/>
      <c r="BC30" s="5085"/>
      <c r="BD30" s="5256"/>
      <c r="BE30" s="5085"/>
      <c r="BF30" s="5256"/>
      <c r="BG30" s="5256"/>
      <c r="BH30" s="5256"/>
      <c r="BI30" s="3822"/>
      <c r="BJ30" s="3822"/>
      <c r="BK30" s="5092"/>
      <c r="BL30" s="5256"/>
      <c r="BM30" s="5256"/>
      <c r="BN30" s="5079"/>
      <c r="BO30" s="5079"/>
      <c r="BP30" s="5079"/>
      <c r="BQ30" s="5079"/>
      <c r="BR30" s="5082"/>
    </row>
    <row r="31" spans="1:70" s="2144" customFormat="1" ht="28.5" customHeight="1" x14ac:dyDescent="0.2">
      <c r="A31" s="2136"/>
      <c r="B31" s="2137"/>
      <c r="C31" s="2138"/>
      <c r="D31" s="2137"/>
      <c r="E31" s="2137"/>
      <c r="F31" s="2138"/>
      <c r="G31" s="2145"/>
      <c r="H31" s="2137"/>
      <c r="I31" s="2138"/>
      <c r="J31" s="5111"/>
      <c r="K31" s="5088"/>
      <c r="L31" s="5085"/>
      <c r="M31" s="5085"/>
      <c r="N31" s="5151"/>
      <c r="O31" s="5085"/>
      <c r="P31" s="5085"/>
      <c r="Q31" s="5088"/>
      <c r="R31" s="5119"/>
      <c r="S31" s="5102"/>
      <c r="T31" s="5088"/>
      <c r="U31" s="5088"/>
      <c r="V31" s="5217" t="s">
        <v>1604</v>
      </c>
      <c r="W31" s="2821">
        <v>5600000</v>
      </c>
      <c r="X31" s="2142">
        <v>4790000</v>
      </c>
      <c r="Y31" s="2142">
        <v>4589000</v>
      </c>
      <c r="Z31" s="2143">
        <v>61</v>
      </c>
      <c r="AA31" s="5085"/>
      <c r="AB31" s="5085"/>
      <c r="AC31" s="5085"/>
      <c r="AD31" s="5085"/>
      <c r="AE31" s="5085"/>
      <c r="AF31" s="5165"/>
      <c r="AG31" s="5085"/>
      <c r="AH31" s="5095"/>
      <c r="AI31" s="5085"/>
      <c r="AJ31" s="5256"/>
      <c r="AK31" s="5085"/>
      <c r="AL31" s="5095"/>
      <c r="AM31" s="5085"/>
      <c r="AN31" s="5095"/>
      <c r="AO31" s="5085"/>
      <c r="AP31" s="5095"/>
      <c r="AQ31" s="5085"/>
      <c r="AR31" s="5095"/>
      <c r="AS31" s="5085"/>
      <c r="AT31" s="5095"/>
      <c r="AU31" s="5085"/>
      <c r="AV31" s="5095"/>
      <c r="AW31" s="5085"/>
      <c r="AX31" s="5256"/>
      <c r="AY31" s="5085"/>
      <c r="AZ31" s="5095"/>
      <c r="BA31" s="5085"/>
      <c r="BB31" s="5095"/>
      <c r="BC31" s="5085"/>
      <c r="BD31" s="5256"/>
      <c r="BE31" s="5085"/>
      <c r="BF31" s="5256"/>
      <c r="BG31" s="5256"/>
      <c r="BH31" s="5256"/>
      <c r="BI31" s="3822"/>
      <c r="BJ31" s="3822"/>
      <c r="BK31" s="5092"/>
      <c r="BL31" s="5256"/>
      <c r="BM31" s="5256"/>
      <c r="BN31" s="5079"/>
      <c r="BO31" s="5079"/>
      <c r="BP31" s="5079"/>
      <c r="BQ31" s="5079"/>
      <c r="BR31" s="5082"/>
    </row>
    <row r="32" spans="1:70" s="2144" customFormat="1" ht="30.75" customHeight="1" x14ac:dyDescent="0.2">
      <c r="A32" s="2136"/>
      <c r="B32" s="2137"/>
      <c r="C32" s="2138"/>
      <c r="D32" s="2137"/>
      <c r="E32" s="2137"/>
      <c r="F32" s="2138"/>
      <c r="G32" s="2145"/>
      <c r="H32" s="2137"/>
      <c r="I32" s="2138"/>
      <c r="J32" s="5111"/>
      <c r="K32" s="5088"/>
      <c r="L32" s="5085"/>
      <c r="M32" s="5085"/>
      <c r="N32" s="5151"/>
      <c r="O32" s="5085"/>
      <c r="P32" s="5085"/>
      <c r="Q32" s="5088"/>
      <c r="R32" s="5119"/>
      <c r="S32" s="5102"/>
      <c r="T32" s="5088"/>
      <c r="U32" s="5088"/>
      <c r="V32" s="5218"/>
      <c r="W32" s="2821">
        <v>3000000</v>
      </c>
      <c r="X32" s="2142">
        <v>3000000</v>
      </c>
      <c r="Y32" s="2142">
        <v>559600</v>
      </c>
      <c r="Z32" s="2143">
        <v>98</v>
      </c>
      <c r="AA32" s="5085"/>
      <c r="AB32" s="5085"/>
      <c r="AC32" s="5085"/>
      <c r="AD32" s="5085"/>
      <c r="AE32" s="5085"/>
      <c r="AF32" s="5165"/>
      <c r="AG32" s="5085"/>
      <c r="AH32" s="5095"/>
      <c r="AI32" s="5085"/>
      <c r="AJ32" s="5256"/>
      <c r="AK32" s="5085"/>
      <c r="AL32" s="5095"/>
      <c r="AM32" s="5085"/>
      <c r="AN32" s="5095"/>
      <c r="AO32" s="5085"/>
      <c r="AP32" s="5095"/>
      <c r="AQ32" s="5085"/>
      <c r="AR32" s="5095"/>
      <c r="AS32" s="5085"/>
      <c r="AT32" s="5095"/>
      <c r="AU32" s="5085"/>
      <c r="AV32" s="5095"/>
      <c r="AW32" s="5085"/>
      <c r="AX32" s="5256"/>
      <c r="AY32" s="5085"/>
      <c r="AZ32" s="5095"/>
      <c r="BA32" s="5085"/>
      <c r="BB32" s="5095"/>
      <c r="BC32" s="5085"/>
      <c r="BD32" s="5256"/>
      <c r="BE32" s="5085"/>
      <c r="BF32" s="5256"/>
      <c r="BG32" s="5256"/>
      <c r="BH32" s="5256"/>
      <c r="BI32" s="3822"/>
      <c r="BJ32" s="3822"/>
      <c r="BK32" s="5092"/>
      <c r="BL32" s="5256"/>
      <c r="BM32" s="5256"/>
      <c r="BN32" s="5079"/>
      <c r="BO32" s="5079"/>
      <c r="BP32" s="5079"/>
      <c r="BQ32" s="5079"/>
      <c r="BR32" s="5082"/>
    </row>
    <row r="33" spans="1:70" s="2144" customFormat="1" ht="42" customHeight="1" x14ac:dyDescent="0.2">
      <c r="A33" s="2136"/>
      <c r="B33" s="2137"/>
      <c r="C33" s="2138"/>
      <c r="D33" s="2137"/>
      <c r="E33" s="2137"/>
      <c r="F33" s="2138"/>
      <c r="G33" s="2145"/>
      <c r="H33" s="2137"/>
      <c r="I33" s="2138"/>
      <c r="J33" s="5152">
        <v>129</v>
      </c>
      <c r="K33" s="5087" t="s">
        <v>1605</v>
      </c>
      <c r="L33" s="5084" t="s">
        <v>1581</v>
      </c>
      <c r="M33" s="5084">
        <v>6</v>
      </c>
      <c r="N33" s="5151">
        <v>5</v>
      </c>
      <c r="O33" s="5085"/>
      <c r="P33" s="5085"/>
      <c r="Q33" s="5088"/>
      <c r="R33" s="5118">
        <f>SUM(W33:W46)/S13</f>
        <v>0.46938775510204084</v>
      </c>
      <c r="S33" s="5102"/>
      <c r="T33" s="5088"/>
      <c r="U33" s="5087" t="s">
        <v>1606</v>
      </c>
      <c r="V33" s="5217" t="s">
        <v>1607</v>
      </c>
      <c r="W33" s="2821">
        <v>6000000</v>
      </c>
      <c r="X33" s="2821">
        <v>6000000</v>
      </c>
      <c r="Y33" s="2821">
        <v>6000000</v>
      </c>
      <c r="Z33" s="2143">
        <v>61</v>
      </c>
      <c r="AA33" s="5085"/>
      <c r="AB33" s="5085"/>
      <c r="AC33" s="5085"/>
      <c r="AD33" s="5085"/>
      <c r="AE33" s="5085"/>
      <c r="AF33" s="5165"/>
      <c r="AG33" s="5085"/>
      <c r="AH33" s="5095"/>
      <c r="AI33" s="5085"/>
      <c r="AJ33" s="5256"/>
      <c r="AK33" s="5085"/>
      <c r="AL33" s="5095"/>
      <c r="AM33" s="5085"/>
      <c r="AN33" s="5095"/>
      <c r="AO33" s="5085"/>
      <c r="AP33" s="5095"/>
      <c r="AQ33" s="5085"/>
      <c r="AR33" s="5095"/>
      <c r="AS33" s="5085"/>
      <c r="AT33" s="5095"/>
      <c r="AU33" s="5085"/>
      <c r="AV33" s="5095"/>
      <c r="AW33" s="5085"/>
      <c r="AX33" s="5256"/>
      <c r="AY33" s="5085"/>
      <c r="AZ33" s="5095"/>
      <c r="BA33" s="5085"/>
      <c r="BB33" s="5095"/>
      <c r="BC33" s="5085"/>
      <c r="BD33" s="5256"/>
      <c r="BE33" s="5085"/>
      <c r="BF33" s="5256"/>
      <c r="BG33" s="5256"/>
      <c r="BH33" s="5256"/>
      <c r="BI33" s="3822"/>
      <c r="BJ33" s="3822"/>
      <c r="BK33" s="5092"/>
      <c r="BL33" s="5256"/>
      <c r="BM33" s="5256"/>
      <c r="BN33" s="5079"/>
      <c r="BO33" s="5079"/>
      <c r="BP33" s="5079"/>
      <c r="BQ33" s="5079"/>
      <c r="BR33" s="5082"/>
    </row>
    <row r="34" spans="1:70" s="2144" customFormat="1" ht="28.5" customHeight="1" x14ac:dyDescent="0.2">
      <c r="A34" s="2136"/>
      <c r="B34" s="2137"/>
      <c r="C34" s="2138"/>
      <c r="D34" s="2137"/>
      <c r="E34" s="2137"/>
      <c r="F34" s="2138"/>
      <c r="G34" s="2145"/>
      <c r="H34" s="2137"/>
      <c r="I34" s="2138"/>
      <c r="J34" s="5152"/>
      <c r="K34" s="5088"/>
      <c r="L34" s="5085"/>
      <c r="M34" s="5085"/>
      <c r="N34" s="5151"/>
      <c r="O34" s="5085"/>
      <c r="P34" s="5085"/>
      <c r="Q34" s="5088"/>
      <c r="R34" s="5119"/>
      <c r="S34" s="5102"/>
      <c r="T34" s="5088"/>
      <c r="U34" s="5088"/>
      <c r="V34" s="5218"/>
      <c r="W34" s="2821">
        <v>3000000</v>
      </c>
      <c r="X34" s="2142">
        <v>3000000</v>
      </c>
      <c r="Y34" s="2142">
        <v>3000000</v>
      </c>
      <c r="Z34" s="2143">
        <v>98</v>
      </c>
      <c r="AA34" s="5085"/>
      <c r="AB34" s="5085"/>
      <c r="AC34" s="5085"/>
      <c r="AD34" s="5085"/>
      <c r="AE34" s="5085"/>
      <c r="AF34" s="5165"/>
      <c r="AG34" s="5085"/>
      <c r="AH34" s="5095"/>
      <c r="AI34" s="5085"/>
      <c r="AJ34" s="5256"/>
      <c r="AK34" s="5085"/>
      <c r="AL34" s="5095"/>
      <c r="AM34" s="5085"/>
      <c r="AN34" s="5095"/>
      <c r="AO34" s="5085"/>
      <c r="AP34" s="5095"/>
      <c r="AQ34" s="5085"/>
      <c r="AR34" s="5095"/>
      <c r="AS34" s="5085"/>
      <c r="AT34" s="5095"/>
      <c r="AU34" s="5085"/>
      <c r="AV34" s="5095"/>
      <c r="AW34" s="5085"/>
      <c r="AX34" s="5256"/>
      <c r="AY34" s="5085"/>
      <c r="AZ34" s="5095"/>
      <c r="BA34" s="5085"/>
      <c r="BB34" s="5095"/>
      <c r="BC34" s="5085"/>
      <c r="BD34" s="5256"/>
      <c r="BE34" s="5085"/>
      <c r="BF34" s="5256"/>
      <c r="BG34" s="5256"/>
      <c r="BH34" s="5256"/>
      <c r="BI34" s="3822"/>
      <c r="BJ34" s="3822"/>
      <c r="BK34" s="5092"/>
      <c r="BL34" s="5256"/>
      <c r="BM34" s="5256"/>
      <c r="BN34" s="5079"/>
      <c r="BO34" s="5079"/>
      <c r="BP34" s="5079"/>
      <c r="BQ34" s="5079"/>
      <c r="BR34" s="5082"/>
    </row>
    <row r="35" spans="1:70" s="2144" customFormat="1" ht="33" customHeight="1" x14ac:dyDescent="0.2">
      <c r="A35" s="2136"/>
      <c r="B35" s="2137"/>
      <c r="C35" s="2138"/>
      <c r="D35" s="2137"/>
      <c r="E35" s="2137"/>
      <c r="F35" s="2138"/>
      <c r="G35" s="2145"/>
      <c r="H35" s="2137"/>
      <c r="I35" s="2138"/>
      <c r="J35" s="5152"/>
      <c r="K35" s="5088"/>
      <c r="L35" s="5085"/>
      <c r="M35" s="5085"/>
      <c r="N35" s="5151"/>
      <c r="O35" s="5085"/>
      <c r="P35" s="5085"/>
      <c r="Q35" s="5088"/>
      <c r="R35" s="5119"/>
      <c r="S35" s="5102"/>
      <c r="T35" s="5088"/>
      <c r="U35" s="5088"/>
      <c r="V35" s="5217" t="s">
        <v>1608</v>
      </c>
      <c r="W35" s="2821">
        <v>6000000</v>
      </c>
      <c r="X35" s="2821">
        <v>6000000</v>
      </c>
      <c r="Y35" s="2821">
        <v>6000000</v>
      </c>
      <c r="Z35" s="2143">
        <v>61</v>
      </c>
      <c r="AA35" s="5085"/>
      <c r="AB35" s="5085"/>
      <c r="AC35" s="5085"/>
      <c r="AD35" s="5085"/>
      <c r="AE35" s="5085"/>
      <c r="AF35" s="5165"/>
      <c r="AG35" s="5085"/>
      <c r="AH35" s="5095"/>
      <c r="AI35" s="5085"/>
      <c r="AJ35" s="5256"/>
      <c r="AK35" s="5085"/>
      <c r="AL35" s="5095"/>
      <c r="AM35" s="5085"/>
      <c r="AN35" s="5095"/>
      <c r="AO35" s="5085"/>
      <c r="AP35" s="5095"/>
      <c r="AQ35" s="5085"/>
      <c r="AR35" s="5095"/>
      <c r="AS35" s="5085"/>
      <c r="AT35" s="5095"/>
      <c r="AU35" s="5085"/>
      <c r="AV35" s="5095"/>
      <c r="AW35" s="5085"/>
      <c r="AX35" s="5256"/>
      <c r="AY35" s="5085"/>
      <c r="AZ35" s="5095"/>
      <c r="BA35" s="5085"/>
      <c r="BB35" s="5095"/>
      <c r="BC35" s="5085"/>
      <c r="BD35" s="5256"/>
      <c r="BE35" s="5085"/>
      <c r="BF35" s="5256"/>
      <c r="BG35" s="5256"/>
      <c r="BH35" s="5256"/>
      <c r="BI35" s="3822"/>
      <c r="BJ35" s="3822"/>
      <c r="BK35" s="5092"/>
      <c r="BL35" s="5256"/>
      <c r="BM35" s="5256"/>
      <c r="BN35" s="5079"/>
      <c r="BO35" s="5079"/>
      <c r="BP35" s="5079"/>
      <c r="BQ35" s="5079"/>
      <c r="BR35" s="5082"/>
    </row>
    <row r="36" spans="1:70" s="2144" customFormat="1" ht="22.5" customHeight="1" x14ac:dyDescent="0.2">
      <c r="A36" s="2136"/>
      <c r="B36" s="2137"/>
      <c r="C36" s="2138"/>
      <c r="D36" s="2137"/>
      <c r="E36" s="2137"/>
      <c r="F36" s="2138"/>
      <c r="G36" s="2145"/>
      <c r="H36" s="2137"/>
      <c r="I36" s="2138"/>
      <c r="J36" s="5152"/>
      <c r="K36" s="5088"/>
      <c r="L36" s="5085"/>
      <c r="M36" s="5085"/>
      <c r="N36" s="5151"/>
      <c r="O36" s="5085"/>
      <c r="P36" s="5085"/>
      <c r="Q36" s="5088"/>
      <c r="R36" s="5119"/>
      <c r="S36" s="5102"/>
      <c r="T36" s="5088"/>
      <c r="U36" s="5088"/>
      <c r="V36" s="5218"/>
      <c r="W36" s="2821">
        <v>3000000</v>
      </c>
      <c r="X36" s="2142">
        <v>3000000</v>
      </c>
      <c r="Y36" s="2142">
        <v>3000000</v>
      </c>
      <c r="Z36" s="2143">
        <v>98</v>
      </c>
      <c r="AA36" s="5085"/>
      <c r="AB36" s="5085"/>
      <c r="AC36" s="5085"/>
      <c r="AD36" s="5085"/>
      <c r="AE36" s="5085"/>
      <c r="AF36" s="5165"/>
      <c r="AG36" s="5085"/>
      <c r="AH36" s="5095"/>
      <c r="AI36" s="5085"/>
      <c r="AJ36" s="5256"/>
      <c r="AK36" s="5085"/>
      <c r="AL36" s="5095"/>
      <c r="AM36" s="5085"/>
      <c r="AN36" s="5095"/>
      <c r="AO36" s="5085"/>
      <c r="AP36" s="5095"/>
      <c r="AQ36" s="5085"/>
      <c r="AR36" s="5095"/>
      <c r="AS36" s="5085"/>
      <c r="AT36" s="5095"/>
      <c r="AU36" s="5085"/>
      <c r="AV36" s="5095"/>
      <c r="AW36" s="5085"/>
      <c r="AX36" s="5256"/>
      <c r="AY36" s="5085"/>
      <c r="AZ36" s="5095"/>
      <c r="BA36" s="5085"/>
      <c r="BB36" s="5095"/>
      <c r="BC36" s="5085"/>
      <c r="BD36" s="5256"/>
      <c r="BE36" s="5085"/>
      <c r="BF36" s="5256"/>
      <c r="BG36" s="5256"/>
      <c r="BH36" s="5256"/>
      <c r="BI36" s="3822"/>
      <c r="BJ36" s="3822"/>
      <c r="BK36" s="5092"/>
      <c r="BL36" s="5256"/>
      <c r="BM36" s="5256"/>
      <c r="BN36" s="5079"/>
      <c r="BO36" s="5079"/>
      <c r="BP36" s="5079"/>
      <c r="BQ36" s="5079"/>
      <c r="BR36" s="5082"/>
    </row>
    <row r="37" spans="1:70" s="2144" customFormat="1" ht="28.5" customHeight="1" x14ac:dyDescent="0.2">
      <c r="A37" s="2136"/>
      <c r="B37" s="2137"/>
      <c r="C37" s="2138"/>
      <c r="D37" s="2137"/>
      <c r="E37" s="2137"/>
      <c r="F37" s="2138"/>
      <c r="G37" s="2145"/>
      <c r="H37" s="2137"/>
      <c r="I37" s="2138"/>
      <c r="J37" s="5152"/>
      <c r="K37" s="5088"/>
      <c r="L37" s="5085"/>
      <c r="M37" s="5085"/>
      <c r="N37" s="5151"/>
      <c r="O37" s="5085"/>
      <c r="P37" s="5085"/>
      <c r="Q37" s="5088"/>
      <c r="R37" s="5119"/>
      <c r="S37" s="5102"/>
      <c r="T37" s="5088"/>
      <c r="U37" s="5088"/>
      <c r="V37" s="5217" t="s">
        <v>1609</v>
      </c>
      <c r="W37" s="2821">
        <v>6000000</v>
      </c>
      <c r="X37" s="2821">
        <v>6000000</v>
      </c>
      <c r="Y37" s="2821">
        <v>6000000</v>
      </c>
      <c r="Z37" s="2143">
        <v>61</v>
      </c>
      <c r="AA37" s="5085"/>
      <c r="AB37" s="5085"/>
      <c r="AC37" s="5085"/>
      <c r="AD37" s="5085"/>
      <c r="AE37" s="5085"/>
      <c r="AF37" s="5165"/>
      <c r="AG37" s="5085"/>
      <c r="AH37" s="5095"/>
      <c r="AI37" s="5085"/>
      <c r="AJ37" s="5256"/>
      <c r="AK37" s="5085"/>
      <c r="AL37" s="5095"/>
      <c r="AM37" s="5085"/>
      <c r="AN37" s="5095"/>
      <c r="AO37" s="5085"/>
      <c r="AP37" s="5095"/>
      <c r="AQ37" s="5085"/>
      <c r="AR37" s="5095"/>
      <c r="AS37" s="5085"/>
      <c r="AT37" s="5095"/>
      <c r="AU37" s="5085"/>
      <c r="AV37" s="5095"/>
      <c r="AW37" s="5085"/>
      <c r="AX37" s="5256"/>
      <c r="AY37" s="5085"/>
      <c r="AZ37" s="5095"/>
      <c r="BA37" s="5085"/>
      <c r="BB37" s="5095"/>
      <c r="BC37" s="5085"/>
      <c r="BD37" s="5256"/>
      <c r="BE37" s="5085"/>
      <c r="BF37" s="5256"/>
      <c r="BG37" s="5256"/>
      <c r="BH37" s="5256"/>
      <c r="BI37" s="3822"/>
      <c r="BJ37" s="3822"/>
      <c r="BK37" s="5092"/>
      <c r="BL37" s="5256"/>
      <c r="BM37" s="5256"/>
      <c r="BN37" s="5079"/>
      <c r="BO37" s="5079"/>
      <c r="BP37" s="5079"/>
      <c r="BQ37" s="5079"/>
      <c r="BR37" s="5082"/>
    </row>
    <row r="38" spans="1:70" s="2144" customFormat="1" ht="38.25" customHeight="1" x14ac:dyDescent="0.2">
      <c r="A38" s="2136"/>
      <c r="B38" s="2137"/>
      <c r="C38" s="2138"/>
      <c r="D38" s="2137"/>
      <c r="E38" s="2137"/>
      <c r="F38" s="2138"/>
      <c r="G38" s="2145"/>
      <c r="H38" s="2137"/>
      <c r="I38" s="2138"/>
      <c r="J38" s="5152"/>
      <c r="K38" s="5088"/>
      <c r="L38" s="5085"/>
      <c r="M38" s="5085"/>
      <c r="N38" s="5151"/>
      <c r="O38" s="5085"/>
      <c r="P38" s="5085"/>
      <c r="Q38" s="5088"/>
      <c r="R38" s="5119"/>
      <c r="S38" s="5102"/>
      <c r="T38" s="5088"/>
      <c r="U38" s="5088"/>
      <c r="V38" s="5218"/>
      <c r="W38" s="2821">
        <v>3000000</v>
      </c>
      <c r="X38" s="2142">
        <v>3000000</v>
      </c>
      <c r="Y38" s="2142">
        <v>3000000</v>
      </c>
      <c r="Z38" s="2143">
        <v>98</v>
      </c>
      <c r="AA38" s="5085"/>
      <c r="AB38" s="5085"/>
      <c r="AC38" s="5085"/>
      <c r="AD38" s="5085"/>
      <c r="AE38" s="5085"/>
      <c r="AF38" s="5165"/>
      <c r="AG38" s="5085"/>
      <c r="AH38" s="5095"/>
      <c r="AI38" s="5085"/>
      <c r="AJ38" s="5256"/>
      <c r="AK38" s="5085"/>
      <c r="AL38" s="5095"/>
      <c r="AM38" s="5085"/>
      <c r="AN38" s="5095"/>
      <c r="AO38" s="5085"/>
      <c r="AP38" s="5095"/>
      <c r="AQ38" s="5085"/>
      <c r="AR38" s="5095"/>
      <c r="AS38" s="5085"/>
      <c r="AT38" s="5095"/>
      <c r="AU38" s="5085"/>
      <c r="AV38" s="5095"/>
      <c r="AW38" s="5085"/>
      <c r="AX38" s="5256"/>
      <c r="AY38" s="5085"/>
      <c r="AZ38" s="5095"/>
      <c r="BA38" s="5085"/>
      <c r="BB38" s="5095"/>
      <c r="BC38" s="5085"/>
      <c r="BD38" s="5256"/>
      <c r="BE38" s="5085"/>
      <c r="BF38" s="5256"/>
      <c r="BG38" s="5256"/>
      <c r="BH38" s="5256"/>
      <c r="BI38" s="3822"/>
      <c r="BJ38" s="3822"/>
      <c r="BK38" s="5092"/>
      <c r="BL38" s="5256"/>
      <c r="BM38" s="5256"/>
      <c r="BN38" s="5079"/>
      <c r="BO38" s="5079"/>
      <c r="BP38" s="5079"/>
      <c r="BQ38" s="5079"/>
      <c r="BR38" s="5082"/>
    </row>
    <row r="39" spans="1:70" s="2144" customFormat="1" ht="39" customHeight="1" x14ac:dyDescent="0.2">
      <c r="A39" s="2136"/>
      <c r="B39" s="2137"/>
      <c r="C39" s="2138"/>
      <c r="D39" s="2137"/>
      <c r="E39" s="2137"/>
      <c r="F39" s="2138"/>
      <c r="G39" s="2145"/>
      <c r="H39" s="2137"/>
      <c r="I39" s="2138"/>
      <c r="J39" s="5152"/>
      <c r="K39" s="5088"/>
      <c r="L39" s="5085"/>
      <c r="M39" s="5085"/>
      <c r="N39" s="5151"/>
      <c r="O39" s="5085"/>
      <c r="P39" s="5085"/>
      <c r="Q39" s="5088"/>
      <c r="R39" s="5119"/>
      <c r="S39" s="5102"/>
      <c r="T39" s="5088"/>
      <c r="U39" s="5088"/>
      <c r="V39" s="5217" t="s">
        <v>1610</v>
      </c>
      <c r="W39" s="2821">
        <v>28000000</v>
      </c>
      <c r="X39" s="2142">
        <f>22660282+3651684</f>
        <v>26311966</v>
      </c>
      <c r="Y39" s="2142">
        <v>11784583</v>
      </c>
      <c r="Z39" s="2143">
        <v>61</v>
      </c>
      <c r="AA39" s="5085"/>
      <c r="AB39" s="5085"/>
      <c r="AC39" s="5085"/>
      <c r="AD39" s="5085"/>
      <c r="AE39" s="5085"/>
      <c r="AF39" s="5165"/>
      <c r="AG39" s="5085"/>
      <c r="AH39" s="5095"/>
      <c r="AI39" s="5085"/>
      <c r="AJ39" s="5256"/>
      <c r="AK39" s="5085"/>
      <c r="AL39" s="5095"/>
      <c r="AM39" s="5085"/>
      <c r="AN39" s="5095"/>
      <c r="AO39" s="5085"/>
      <c r="AP39" s="5095"/>
      <c r="AQ39" s="5085"/>
      <c r="AR39" s="5095"/>
      <c r="AS39" s="5085"/>
      <c r="AT39" s="5095"/>
      <c r="AU39" s="5085"/>
      <c r="AV39" s="5095"/>
      <c r="AW39" s="5085"/>
      <c r="AX39" s="5256"/>
      <c r="AY39" s="5085"/>
      <c r="AZ39" s="5095"/>
      <c r="BA39" s="5085"/>
      <c r="BB39" s="5095"/>
      <c r="BC39" s="5085"/>
      <c r="BD39" s="5256"/>
      <c r="BE39" s="5085"/>
      <c r="BF39" s="5256"/>
      <c r="BG39" s="5256"/>
      <c r="BH39" s="5256"/>
      <c r="BI39" s="3822"/>
      <c r="BJ39" s="3822"/>
      <c r="BK39" s="5092"/>
      <c r="BL39" s="5256"/>
      <c r="BM39" s="5256"/>
      <c r="BN39" s="5079"/>
      <c r="BO39" s="5079"/>
      <c r="BP39" s="5079"/>
      <c r="BQ39" s="5079"/>
      <c r="BR39" s="5082"/>
    </row>
    <row r="40" spans="1:70" s="2144" customFormat="1" ht="36" customHeight="1" x14ac:dyDescent="0.2">
      <c r="A40" s="2136"/>
      <c r="B40" s="2137"/>
      <c r="C40" s="2138"/>
      <c r="D40" s="2137"/>
      <c r="E40" s="2137"/>
      <c r="F40" s="2138"/>
      <c r="G40" s="2145"/>
      <c r="H40" s="2137"/>
      <c r="I40" s="2138"/>
      <c r="J40" s="5152"/>
      <c r="K40" s="5088"/>
      <c r="L40" s="5085"/>
      <c r="M40" s="5085"/>
      <c r="N40" s="5151"/>
      <c r="O40" s="5085"/>
      <c r="P40" s="5085"/>
      <c r="Q40" s="5088"/>
      <c r="R40" s="5119"/>
      <c r="S40" s="5102"/>
      <c r="T40" s="5088"/>
      <c r="U40" s="5088"/>
      <c r="V40" s="5218"/>
      <c r="W40" s="2821">
        <v>3000000</v>
      </c>
      <c r="X40" s="2142">
        <v>3000000</v>
      </c>
      <c r="Y40" s="2142">
        <v>3000000</v>
      </c>
      <c r="Z40" s="2143">
        <v>98</v>
      </c>
      <c r="AA40" s="5085"/>
      <c r="AB40" s="5085"/>
      <c r="AC40" s="5085"/>
      <c r="AD40" s="5085"/>
      <c r="AE40" s="5085"/>
      <c r="AF40" s="5165"/>
      <c r="AG40" s="5085"/>
      <c r="AH40" s="5095"/>
      <c r="AI40" s="5085"/>
      <c r="AJ40" s="5256"/>
      <c r="AK40" s="5085"/>
      <c r="AL40" s="5095"/>
      <c r="AM40" s="5085"/>
      <c r="AN40" s="5095"/>
      <c r="AO40" s="5085"/>
      <c r="AP40" s="5095"/>
      <c r="AQ40" s="5085"/>
      <c r="AR40" s="5095"/>
      <c r="AS40" s="5085"/>
      <c r="AT40" s="5095"/>
      <c r="AU40" s="5085"/>
      <c r="AV40" s="5095"/>
      <c r="AW40" s="5085"/>
      <c r="AX40" s="5256"/>
      <c r="AY40" s="5085"/>
      <c r="AZ40" s="5095"/>
      <c r="BA40" s="5085"/>
      <c r="BB40" s="5095"/>
      <c r="BC40" s="5085"/>
      <c r="BD40" s="5256"/>
      <c r="BE40" s="5085"/>
      <c r="BF40" s="5256"/>
      <c r="BG40" s="5256"/>
      <c r="BH40" s="5256"/>
      <c r="BI40" s="3822"/>
      <c r="BJ40" s="3822"/>
      <c r="BK40" s="5092"/>
      <c r="BL40" s="5256"/>
      <c r="BM40" s="5256"/>
      <c r="BN40" s="5079"/>
      <c r="BO40" s="5079"/>
      <c r="BP40" s="5079"/>
      <c r="BQ40" s="5079"/>
      <c r="BR40" s="5082"/>
    </row>
    <row r="41" spans="1:70" s="2144" customFormat="1" ht="36" customHeight="1" x14ac:dyDescent="0.2">
      <c r="A41" s="2136"/>
      <c r="B41" s="2137"/>
      <c r="C41" s="2138"/>
      <c r="D41" s="2137"/>
      <c r="E41" s="2137"/>
      <c r="F41" s="2138"/>
      <c r="G41" s="2145"/>
      <c r="H41" s="2137"/>
      <c r="I41" s="2138"/>
      <c r="J41" s="5152"/>
      <c r="K41" s="5088"/>
      <c r="L41" s="5085"/>
      <c r="M41" s="5085"/>
      <c r="N41" s="5151"/>
      <c r="O41" s="5085"/>
      <c r="P41" s="5085"/>
      <c r="Q41" s="5088"/>
      <c r="R41" s="5119"/>
      <c r="S41" s="5102"/>
      <c r="T41" s="5088"/>
      <c r="U41" s="5088"/>
      <c r="V41" s="5217" t="s">
        <v>1611</v>
      </c>
      <c r="W41" s="2821">
        <v>6000000</v>
      </c>
      <c r="X41" s="2821">
        <v>6000000</v>
      </c>
      <c r="Y41" s="2821">
        <v>6000000</v>
      </c>
      <c r="Z41" s="2143">
        <v>61</v>
      </c>
      <c r="AA41" s="5085"/>
      <c r="AB41" s="5085"/>
      <c r="AC41" s="5085"/>
      <c r="AD41" s="5085"/>
      <c r="AE41" s="5085"/>
      <c r="AF41" s="5165"/>
      <c r="AG41" s="5085"/>
      <c r="AH41" s="5095"/>
      <c r="AI41" s="5085"/>
      <c r="AJ41" s="5256"/>
      <c r="AK41" s="5085"/>
      <c r="AL41" s="5095"/>
      <c r="AM41" s="5085"/>
      <c r="AN41" s="5095"/>
      <c r="AO41" s="5085"/>
      <c r="AP41" s="5095"/>
      <c r="AQ41" s="5085"/>
      <c r="AR41" s="5095"/>
      <c r="AS41" s="5085"/>
      <c r="AT41" s="5095"/>
      <c r="AU41" s="5085"/>
      <c r="AV41" s="5095"/>
      <c r="AW41" s="5085"/>
      <c r="AX41" s="5256"/>
      <c r="AY41" s="5085"/>
      <c r="AZ41" s="5095"/>
      <c r="BA41" s="5085"/>
      <c r="BB41" s="5095"/>
      <c r="BC41" s="5085"/>
      <c r="BD41" s="5256"/>
      <c r="BE41" s="5085"/>
      <c r="BF41" s="5256"/>
      <c r="BG41" s="5256"/>
      <c r="BH41" s="5256"/>
      <c r="BI41" s="3822"/>
      <c r="BJ41" s="3822"/>
      <c r="BK41" s="5092"/>
      <c r="BL41" s="5256"/>
      <c r="BM41" s="5256"/>
      <c r="BN41" s="5079"/>
      <c r="BO41" s="5079"/>
      <c r="BP41" s="5079"/>
      <c r="BQ41" s="5079"/>
      <c r="BR41" s="5082"/>
    </row>
    <row r="42" spans="1:70" s="2144" customFormat="1" ht="24" customHeight="1" x14ac:dyDescent="0.2">
      <c r="A42" s="2136"/>
      <c r="B42" s="2137"/>
      <c r="C42" s="2138"/>
      <c r="D42" s="2137"/>
      <c r="E42" s="2137"/>
      <c r="F42" s="2138"/>
      <c r="G42" s="2145"/>
      <c r="H42" s="2137"/>
      <c r="I42" s="2138"/>
      <c r="J42" s="5152"/>
      <c r="K42" s="5088"/>
      <c r="L42" s="5085"/>
      <c r="M42" s="5085"/>
      <c r="N42" s="5151"/>
      <c r="O42" s="5085"/>
      <c r="P42" s="5085"/>
      <c r="Q42" s="5088"/>
      <c r="R42" s="5119"/>
      <c r="S42" s="5102"/>
      <c r="T42" s="5088"/>
      <c r="U42" s="5088"/>
      <c r="V42" s="5218"/>
      <c r="W42" s="2821">
        <v>3500000</v>
      </c>
      <c r="X42" s="2142">
        <v>3173633</v>
      </c>
      <c r="Y42" s="2142">
        <v>3173633</v>
      </c>
      <c r="Z42" s="2143">
        <v>98</v>
      </c>
      <c r="AA42" s="5085"/>
      <c r="AB42" s="5085"/>
      <c r="AC42" s="5085"/>
      <c r="AD42" s="5085"/>
      <c r="AE42" s="5085"/>
      <c r="AF42" s="5165"/>
      <c r="AG42" s="5085"/>
      <c r="AH42" s="5095"/>
      <c r="AI42" s="5085"/>
      <c r="AJ42" s="5256"/>
      <c r="AK42" s="5085"/>
      <c r="AL42" s="5095"/>
      <c r="AM42" s="5085"/>
      <c r="AN42" s="5095"/>
      <c r="AO42" s="5085"/>
      <c r="AP42" s="5095"/>
      <c r="AQ42" s="5085"/>
      <c r="AR42" s="5095"/>
      <c r="AS42" s="5085"/>
      <c r="AT42" s="5095"/>
      <c r="AU42" s="5085"/>
      <c r="AV42" s="5095"/>
      <c r="AW42" s="5085"/>
      <c r="AX42" s="5256"/>
      <c r="AY42" s="5085"/>
      <c r="AZ42" s="5095"/>
      <c r="BA42" s="5085"/>
      <c r="BB42" s="5095"/>
      <c r="BC42" s="5085"/>
      <c r="BD42" s="5256"/>
      <c r="BE42" s="5085"/>
      <c r="BF42" s="5256"/>
      <c r="BG42" s="5256"/>
      <c r="BH42" s="5256"/>
      <c r="BI42" s="3822"/>
      <c r="BJ42" s="3822"/>
      <c r="BK42" s="5092"/>
      <c r="BL42" s="5256"/>
      <c r="BM42" s="5256"/>
      <c r="BN42" s="5079"/>
      <c r="BO42" s="5079"/>
      <c r="BP42" s="5079"/>
      <c r="BQ42" s="5079"/>
      <c r="BR42" s="5082"/>
    </row>
    <row r="43" spans="1:70" s="2144" customFormat="1" ht="33" customHeight="1" x14ac:dyDescent="0.2">
      <c r="A43" s="2136"/>
      <c r="B43" s="2137"/>
      <c r="C43" s="2138"/>
      <c r="D43" s="2137"/>
      <c r="E43" s="2137"/>
      <c r="F43" s="2138"/>
      <c r="G43" s="2145"/>
      <c r="H43" s="2137"/>
      <c r="I43" s="2138"/>
      <c r="J43" s="5152"/>
      <c r="K43" s="5088"/>
      <c r="L43" s="5085"/>
      <c r="M43" s="5085"/>
      <c r="N43" s="5151"/>
      <c r="O43" s="5085"/>
      <c r="P43" s="5085"/>
      <c r="Q43" s="5088"/>
      <c r="R43" s="5119"/>
      <c r="S43" s="5102"/>
      <c r="T43" s="5088"/>
      <c r="U43" s="5088"/>
      <c r="V43" s="5217" t="s">
        <v>1612</v>
      </c>
      <c r="W43" s="2821">
        <v>6000000</v>
      </c>
      <c r="X43" s="2821">
        <v>6000000</v>
      </c>
      <c r="Y43" s="2821">
        <v>6000000</v>
      </c>
      <c r="Z43" s="2143">
        <v>61</v>
      </c>
      <c r="AA43" s="5085"/>
      <c r="AB43" s="5085"/>
      <c r="AC43" s="5085"/>
      <c r="AD43" s="5085"/>
      <c r="AE43" s="5085"/>
      <c r="AF43" s="5165"/>
      <c r="AG43" s="5085"/>
      <c r="AH43" s="5095"/>
      <c r="AI43" s="5085"/>
      <c r="AJ43" s="5256"/>
      <c r="AK43" s="5085"/>
      <c r="AL43" s="5095"/>
      <c r="AM43" s="5085"/>
      <c r="AN43" s="5095"/>
      <c r="AO43" s="5085"/>
      <c r="AP43" s="5095"/>
      <c r="AQ43" s="5085"/>
      <c r="AR43" s="5095"/>
      <c r="AS43" s="5085"/>
      <c r="AT43" s="5095"/>
      <c r="AU43" s="5085"/>
      <c r="AV43" s="5095"/>
      <c r="AW43" s="5085"/>
      <c r="AX43" s="5256"/>
      <c r="AY43" s="5085"/>
      <c r="AZ43" s="5095"/>
      <c r="BA43" s="5085"/>
      <c r="BB43" s="5095"/>
      <c r="BC43" s="5085"/>
      <c r="BD43" s="5256"/>
      <c r="BE43" s="5085"/>
      <c r="BF43" s="5256"/>
      <c r="BG43" s="5256"/>
      <c r="BH43" s="5256"/>
      <c r="BI43" s="3822"/>
      <c r="BJ43" s="3822"/>
      <c r="BK43" s="5092"/>
      <c r="BL43" s="5256"/>
      <c r="BM43" s="5256"/>
      <c r="BN43" s="5079"/>
      <c r="BO43" s="5079"/>
      <c r="BP43" s="5079"/>
      <c r="BQ43" s="5079"/>
      <c r="BR43" s="5082"/>
    </row>
    <row r="44" spans="1:70" s="2144" customFormat="1" ht="33" customHeight="1" x14ac:dyDescent="0.2">
      <c r="A44" s="2136"/>
      <c r="B44" s="2137"/>
      <c r="C44" s="2138"/>
      <c r="D44" s="2137"/>
      <c r="E44" s="2137"/>
      <c r="F44" s="2138"/>
      <c r="G44" s="2145"/>
      <c r="H44" s="2137"/>
      <c r="I44" s="2138"/>
      <c r="J44" s="5152"/>
      <c r="K44" s="5088"/>
      <c r="L44" s="5085"/>
      <c r="M44" s="5085"/>
      <c r="N44" s="5151"/>
      <c r="O44" s="5085"/>
      <c r="P44" s="5085"/>
      <c r="Q44" s="5088"/>
      <c r="R44" s="5119"/>
      <c r="S44" s="5102"/>
      <c r="T44" s="5088"/>
      <c r="U44" s="5088"/>
      <c r="V44" s="5218"/>
      <c r="W44" s="2821">
        <v>3500000</v>
      </c>
      <c r="X44" s="2142">
        <v>3173500</v>
      </c>
      <c r="Y44" s="2142">
        <f>1035666+487201</f>
        <v>1522867</v>
      </c>
      <c r="Z44" s="2143">
        <v>98</v>
      </c>
      <c r="AA44" s="5085"/>
      <c r="AB44" s="5085"/>
      <c r="AC44" s="5085"/>
      <c r="AD44" s="5085"/>
      <c r="AE44" s="5085"/>
      <c r="AF44" s="5165"/>
      <c r="AG44" s="5085"/>
      <c r="AH44" s="5095"/>
      <c r="AI44" s="5085"/>
      <c r="AJ44" s="5256"/>
      <c r="AK44" s="5085"/>
      <c r="AL44" s="5095"/>
      <c r="AM44" s="5085"/>
      <c r="AN44" s="5095"/>
      <c r="AO44" s="5085"/>
      <c r="AP44" s="5095"/>
      <c r="AQ44" s="5085"/>
      <c r="AR44" s="5095"/>
      <c r="AS44" s="5085"/>
      <c r="AT44" s="5095"/>
      <c r="AU44" s="5085"/>
      <c r="AV44" s="5095"/>
      <c r="AW44" s="5085"/>
      <c r="AX44" s="5256"/>
      <c r="AY44" s="5085"/>
      <c r="AZ44" s="5095"/>
      <c r="BA44" s="5085"/>
      <c r="BB44" s="5095"/>
      <c r="BC44" s="5085"/>
      <c r="BD44" s="5256"/>
      <c r="BE44" s="5085"/>
      <c r="BF44" s="5256"/>
      <c r="BG44" s="5256"/>
      <c r="BH44" s="5256"/>
      <c r="BI44" s="3822"/>
      <c r="BJ44" s="3822"/>
      <c r="BK44" s="5092"/>
      <c r="BL44" s="5256"/>
      <c r="BM44" s="5256"/>
      <c r="BN44" s="5079"/>
      <c r="BO44" s="5079"/>
      <c r="BP44" s="5079"/>
      <c r="BQ44" s="5079"/>
      <c r="BR44" s="5082"/>
    </row>
    <row r="45" spans="1:70" s="2144" customFormat="1" ht="33" customHeight="1" x14ac:dyDescent="0.2">
      <c r="A45" s="2136"/>
      <c r="B45" s="2137"/>
      <c r="C45" s="2138"/>
      <c r="D45" s="2137"/>
      <c r="E45" s="2137"/>
      <c r="F45" s="2138"/>
      <c r="G45" s="2145"/>
      <c r="H45" s="2137"/>
      <c r="I45" s="2138"/>
      <c r="J45" s="5152"/>
      <c r="K45" s="5088"/>
      <c r="L45" s="5085"/>
      <c r="M45" s="5085"/>
      <c r="N45" s="5151"/>
      <c r="O45" s="5085"/>
      <c r="P45" s="5085"/>
      <c r="Q45" s="5088"/>
      <c r="R45" s="5119"/>
      <c r="S45" s="5102"/>
      <c r="T45" s="5088"/>
      <c r="U45" s="5088"/>
      <c r="V45" s="5217" t="s">
        <v>1613</v>
      </c>
      <c r="W45" s="2821">
        <v>12000000</v>
      </c>
      <c r="X45" s="2821">
        <v>12000000</v>
      </c>
      <c r="Y45" s="2142">
        <v>11784583</v>
      </c>
      <c r="Z45" s="2143">
        <v>61</v>
      </c>
      <c r="AA45" s="5085"/>
      <c r="AB45" s="5085"/>
      <c r="AC45" s="5085"/>
      <c r="AD45" s="5085"/>
      <c r="AE45" s="5085"/>
      <c r="AF45" s="5165"/>
      <c r="AG45" s="5085"/>
      <c r="AH45" s="5095"/>
      <c r="AI45" s="5085"/>
      <c r="AJ45" s="5256"/>
      <c r="AK45" s="5085"/>
      <c r="AL45" s="5095"/>
      <c r="AM45" s="5085"/>
      <c r="AN45" s="5095"/>
      <c r="AO45" s="5085"/>
      <c r="AP45" s="5095"/>
      <c r="AQ45" s="5085"/>
      <c r="AR45" s="5095"/>
      <c r="AS45" s="5085"/>
      <c r="AT45" s="5095"/>
      <c r="AU45" s="5085"/>
      <c r="AV45" s="5095"/>
      <c r="AW45" s="5085"/>
      <c r="AX45" s="5256"/>
      <c r="AY45" s="5085"/>
      <c r="AZ45" s="5095"/>
      <c r="BA45" s="5085"/>
      <c r="BB45" s="5095"/>
      <c r="BC45" s="5085"/>
      <c r="BD45" s="5256"/>
      <c r="BE45" s="5085"/>
      <c r="BF45" s="5256"/>
      <c r="BG45" s="5256"/>
      <c r="BH45" s="5256"/>
      <c r="BI45" s="3822"/>
      <c r="BJ45" s="3822"/>
      <c r="BK45" s="5092"/>
      <c r="BL45" s="5256"/>
      <c r="BM45" s="5256"/>
      <c r="BN45" s="5079"/>
      <c r="BO45" s="5079"/>
      <c r="BP45" s="5079"/>
      <c r="BQ45" s="5079"/>
      <c r="BR45" s="5082"/>
    </row>
    <row r="46" spans="1:70" s="2144" customFormat="1" ht="28.5" customHeight="1" x14ac:dyDescent="0.2">
      <c r="A46" s="2136"/>
      <c r="B46" s="2137"/>
      <c r="C46" s="2138"/>
      <c r="D46" s="2147"/>
      <c r="E46" s="2147"/>
      <c r="F46" s="2148"/>
      <c r="G46" s="2149"/>
      <c r="H46" s="2147"/>
      <c r="I46" s="2148"/>
      <c r="J46" s="5152"/>
      <c r="K46" s="5089"/>
      <c r="L46" s="5086"/>
      <c r="M46" s="5086"/>
      <c r="N46" s="5151"/>
      <c r="O46" s="5086"/>
      <c r="P46" s="5086"/>
      <c r="Q46" s="5089"/>
      <c r="R46" s="5120"/>
      <c r="S46" s="5121"/>
      <c r="T46" s="5089"/>
      <c r="U46" s="5089"/>
      <c r="V46" s="5218"/>
      <c r="W46" s="2821">
        <v>3000000</v>
      </c>
      <c r="X46" s="2142">
        <v>3000000</v>
      </c>
      <c r="Y46" s="2142">
        <v>1035666</v>
      </c>
      <c r="Z46" s="2143">
        <v>98</v>
      </c>
      <c r="AA46" s="5086"/>
      <c r="AB46" s="5086"/>
      <c r="AC46" s="5086"/>
      <c r="AD46" s="5086"/>
      <c r="AE46" s="5086"/>
      <c r="AF46" s="5166"/>
      <c r="AG46" s="5086"/>
      <c r="AH46" s="5103"/>
      <c r="AI46" s="5086"/>
      <c r="AJ46" s="5257"/>
      <c r="AK46" s="5086"/>
      <c r="AL46" s="5103"/>
      <c r="AM46" s="5086"/>
      <c r="AN46" s="5103"/>
      <c r="AO46" s="5086"/>
      <c r="AP46" s="5103"/>
      <c r="AQ46" s="5086"/>
      <c r="AR46" s="5103"/>
      <c r="AS46" s="5086"/>
      <c r="AT46" s="5103"/>
      <c r="AU46" s="5086"/>
      <c r="AV46" s="5103"/>
      <c r="AW46" s="5086"/>
      <c r="AX46" s="5257"/>
      <c r="AY46" s="5086"/>
      <c r="AZ46" s="5103"/>
      <c r="BA46" s="5086"/>
      <c r="BB46" s="5103"/>
      <c r="BC46" s="5086"/>
      <c r="BD46" s="5257"/>
      <c r="BE46" s="5086"/>
      <c r="BF46" s="5257"/>
      <c r="BG46" s="5257"/>
      <c r="BH46" s="5257"/>
      <c r="BI46" s="3823"/>
      <c r="BJ46" s="3823"/>
      <c r="BK46" s="5109"/>
      <c r="BL46" s="5257"/>
      <c r="BM46" s="5257"/>
      <c r="BN46" s="5117"/>
      <c r="BO46" s="5117"/>
      <c r="BP46" s="5117"/>
      <c r="BQ46" s="5117"/>
      <c r="BR46" s="5098"/>
    </row>
    <row r="47" spans="1:70" ht="36" customHeight="1" x14ac:dyDescent="0.2">
      <c r="A47" s="2122"/>
      <c r="C47" s="2150"/>
      <c r="D47" s="2151">
        <v>12</v>
      </c>
      <c r="E47" s="2152" t="s">
        <v>1614</v>
      </c>
      <c r="F47" s="2153"/>
      <c r="G47" s="2114"/>
      <c r="H47" s="2114"/>
      <c r="I47" s="2114"/>
      <c r="J47" s="2114"/>
      <c r="K47" s="2115"/>
      <c r="L47" s="2114"/>
      <c r="M47" s="2114"/>
      <c r="N47" s="2114"/>
      <c r="O47" s="2116"/>
      <c r="P47" s="2114"/>
      <c r="Q47" s="2115"/>
      <c r="R47" s="2114"/>
      <c r="S47" s="2154"/>
      <c r="T47" s="2115"/>
      <c r="U47" s="2115"/>
      <c r="V47" s="2115"/>
      <c r="W47" s="2155"/>
      <c r="X47" s="2155"/>
      <c r="Y47" s="2155"/>
      <c r="Z47" s="2156"/>
      <c r="AA47" s="2116"/>
      <c r="AB47" s="2116"/>
      <c r="AC47" s="2116"/>
      <c r="AD47" s="2116"/>
      <c r="AE47" s="2116"/>
      <c r="AF47" s="2116"/>
      <c r="AG47" s="2116"/>
      <c r="AH47" s="2116"/>
      <c r="AI47" s="2116"/>
      <c r="AJ47" s="2116"/>
      <c r="AK47" s="2116"/>
      <c r="AL47" s="2116"/>
      <c r="AM47" s="2116"/>
      <c r="AN47" s="2116"/>
      <c r="AO47" s="2116"/>
      <c r="AP47" s="2116"/>
      <c r="AQ47" s="2116"/>
      <c r="AR47" s="2116"/>
      <c r="AS47" s="2116"/>
      <c r="AT47" s="2116"/>
      <c r="AU47" s="2116"/>
      <c r="AV47" s="2116"/>
      <c r="AW47" s="2116"/>
      <c r="AX47" s="2116"/>
      <c r="AY47" s="2116"/>
      <c r="AZ47" s="2116"/>
      <c r="BA47" s="2116"/>
      <c r="BB47" s="2116"/>
      <c r="BC47" s="2116"/>
      <c r="BD47" s="2116"/>
      <c r="BE47" s="2116"/>
      <c r="BF47" s="2116"/>
      <c r="BG47" s="2116"/>
      <c r="BH47" s="2116"/>
      <c r="BI47" s="2157"/>
      <c r="BJ47" s="2157"/>
      <c r="BK47" s="2116"/>
      <c r="BL47" s="2116"/>
      <c r="BM47" s="2116"/>
      <c r="BN47" s="2114"/>
      <c r="BO47" s="2114"/>
      <c r="BP47" s="2114"/>
      <c r="BQ47" s="2114"/>
      <c r="BR47" s="2121"/>
    </row>
    <row r="48" spans="1:70" ht="36" customHeight="1" x14ac:dyDescent="0.2">
      <c r="A48" s="2122"/>
      <c r="B48" s="2123"/>
      <c r="C48" s="2124"/>
      <c r="D48" s="2125"/>
      <c r="E48" s="2125"/>
      <c r="F48" s="2126"/>
      <c r="G48" s="2158">
        <v>36</v>
      </c>
      <c r="H48" s="2128" t="s">
        <v>1615</v>
      </c>
      <c r="I48" s="2128"/>
      <c r="J48" s="2128"/>
      <c r="K48" s="2129"/>
      <c r="L48" s="2128"/>
      <c r="M48" s="2128"/>
      <c r="N48" s="2128"/>
      <c r="O48" s="2130"/>
      <c r="P48" s="2128"/>
      <c r="Q48" s="2129"/>
      <c r="R48" s="2128"/>
      <c r="S48" s="2159"/>
      <c r="T48" s="2129"/>
      <c r="U48" s="2129"/>
      <c r="V48" s="2129"/>
      <c r="W48" s="2160"/>
      <c r="X48" s="2160"/>
      <c r="Y48" s="2160"/>
      <c r="Z48" s="2161"/>
      <c r="AA48" s="2130"/>
      <c r="AB48" s="2130"/>
      <c r="AC48" s="2130"/>
      <c r="AD48" s="2130"/>
      <c r="AE48" s="2130"/>
      <c r="AF48" s="2130"/>
      <c r="AG48" s="2130"/>
      <c r="AH48" s="2130"/>
      <c r="AI48" s="2130"/>
      <c r="AJ48" s="2130"/>
      <c r="AK48" s="2130"/>
      <c r="AL48" s="2130"/>
      <c r="AM48" s="2130"/>
      <c r="AN48" s="2130"/>
      <c r="AO48" s="2130"/>
      <c r="AP48" s="2130"/>
      <c r="AQ48" s="2130"/>
      <c r="AR48" s="2130"/>
      <c r="AS48" s="2130"/>
      <c r="AT48" s="2130"/>
      <c r="AU48" s="2130"/>
      <c r="AV48" s="2130"/>
      <c r="AW48" s="2130"/>
      <c r="AX48" s="2130"/>
      <c r="AY48" s="2130"/>
      <c r="AZ48" s="2130"/>
      <c r="BA48" s="2130"/>
      <c r="BB48" s="2130"/>
      <c r="BC48" s="2130"/>
      <c r="BD48" s="2130"/>
      <c r="BE48" s="2130"/>
      <c r="BF48" s="2130"/>
      <c r="BG48" s="2130"/>
      <c r="BH48" s="2130"/>
      <c r="BI48" s="2162"/>
      <c r="BJ48" s="2162"/>
      <c r="BK48" s="2130"/>
      <c r="BL48" s="2130"/>
      <c r="BM48" s="2130"/>
      <c r="BN48" s="2128"/>
      <c r="BO48" s="2128"/>
      <c r="BP48" s="2128"/>
      <c r="BQ48" s="2128"/>
      <c r="BR48" s="2135"/>
    </row>
    <row r="49" spans="1:70" s="2144" customFormat="1" ht="68.25" customHeight="1" x14ac:dyDescent="0.2">
      <c r="A49" s="2136"/>
      <c r="B49" s="2137"/>
      <c r="C49" s="2138"/>
      <c r="D49" s="2137"/>
      <c r="E49" s="2137"/>
      <c r="F49" s="2138"/>
      <c r="G49" s="2139"/>
      <c r="H49" s="2140"/>
      <c r="I49" s="2141"/>
      <c r="J49" s="5110">
        <v>130</v>
      </c>
      <c r="K49" s="5087" t="s">
        <v>1616</v>
      </c>
      <c r="L49" s="5084" t="s">
        <v>1581</v>
      </c>
      <c r="M49" s="5084">
        <v>1</v>
      </c>
      <c r="N49" s="5151">
        <v>0.65</v>
      </c>
      <c r="O49" s="5084" t="s">
        <v>1617</v>
      </c>
      <c r="P49" s="5084" t="s">
        <v>1618</v>
      </c>
      <c r="Q49" s="5087" t="s">
        <v>1619</v>
      </c>
      <c r="R49" s="5118">
        <f>(W49+W50)/S49</f>
        <v>0.40517241379310343</v>
      </c>
      <c r="S49" s="5101">
        <f>SUM(W49:W54)</f>
        <v>232000000</v>
      </c>
      <c r="T49" s="5087" t="s">
        <v>1620</v>
      </c>
      <c r="U49" s="5087" t="s">
        <v>1621</v>
      </c>
      <c r="V49" s="5217" t="s">
        <v>1622</v>
      </c>
      <c r="W49" s="2142">
        <f>60000000+24000000</f>
        <v>84000000</v>
      </c>
      <c r="X49" s="2827">
        <v>83382200</v>
      </c>
      <c r="Y49" s="2827">
        <v>52656000</v>
      </c>
      <c r="Z49" s="2143">
        <v>61</v>
      </c>
      <c r="AA49" s="5084" t="s">
        <v>1623</v>
      </c>
      <c r="AB49" s="5164">
        <v>292684</v>
      </c>
      <c r="AC49" s="5164">
        <v>187318</v>
      </c>
      <c r="AD49" s="5164">
        <v>282326</v>
      </c>
      <c r="AE49" s="5164">
        <v>180689</v>
      </c>
      <c r="AF49" s="5164">
        <v>135912</v>
      </c>
      <c r="AG49" s="5164">
        <v>86984</v>
      </c>
      <c r="AH49" s="5164">
        <v>45122</v>
      </c>
      <c r="AI49" s="5164">
        <v>28878</v>
      </c>
      <c r="AJ49" s="5164">
        <v>307101</v>
      </c>
      <c r="AK49" s="5164">
        <v>196545</v>
      </c>
      <c r="AL49" s="5164">
        <v>86875</v>
      </c>
      <c r="AM49" s="5164">
        <v>55600</v>
      </c>
      <c r="AN49" s="5164">
        <v>2145</v>
      </c>
      <c r="AO49" s="5164">
        <v>1373</v>
      </c>
      <c r="AP49" s="5164">
        <v>12718</v>
      </c>
      <c r="AQ49" s="5164">
        <v>8140</v>
      </c>
      <c r="AR49" s="5164">
        <v>26</v>
      </c>
      <c r="AS49" s="5164">
        <v>17</v>
      </c>
      <c r="AT49" s="5164">
        <v>37</v>
      </c>
      <c r="AU49" s="5164">
        <v>24</v>
      </c>
      <c r="AV49" s="5164">
        <v>16897</v>
      </c>
      <c r="AW49" s="5164">
        <v>10814</v>
      </c>
      <c r="AX49" s="5164" t="s">
        <v>1588</v>
      </c>
      <c r="AY49" s="5164" t="s">
        <v>1588</v>
      </c>
      <c r="AZ49" s="5164">
        <v>53164</v>
      </c>
      <c r="BA49" s="5164">
        <v>34025</v>
      </c>
      <c r="BB49" s="5164">
        <v>16982</v>
      </c>
      <c r="BC49" s="5164">
        <v>10868</v>
      </c>
      <c r="BD49" s="5164">
        <v>60013</v>
      </c>
      <c r="BE49" s="5164">
        <v>38408</v>
      </c>
      <c r="BF49" s="5164">
        <v>575010</v>
      </c>
      <c r="BG49" s="5164">
        <v>368006</v>
      </c>
      <c r="BH49" s="5254">
        <v>21</v>
      </c>
      <c r="BI49" s="3625">
        <f>SUM(X49:X54)</f>
        <v>224687033</v>
      </c>
      <c r="BJ49" s="3625">
        <f>SUM(Y49:Y54)</f>
        <v>142139000</v>
      </c>
      <c r="BK49" s="5249">
        <f>+BJ49/BI49</f>
        <v>0.63260882527208417</v>
      </c>
      <c r="BL49" s="5094" t="s">
        <v>1589</v>
      </c>
      <c r="BM49" s="5094" t="s">
        <v>1590</v>
      </c>
      <c r="BN49" s="5078">
        <v>43467</v>
      </c>
      <c r="BO49" s="5078">
        <v>43830</v>
      </c>
      <c r="BP49" s="5078">
        <v>43830</v>
      </c>
      <c r="BQ49" s="5078">
        <v>43830</v>
      </c>
      <c r="BR49" s="5081" t="s">
        <v>1591</v>
      </c>
    </row>
    <row r="50" spans="1:70" s="2144" customFormat="1" ht="51.75" customHeight="1" x14ac:dyDescent="0.2">
      <c r="A50" s="2136"/>
      <c r="B50" s="2137"/>
      <c r="C50" s="2138"/>
      <c r="D50" s="2137"/>
      <c r="E50" s="2137"/>
      <c r="F50" s="2138"/>
      <c r="G50" s="2145"/>
      <c r="H50" s="2137"/>
      <c r="I50" s="2138"/>
      <c r="J50" s="5112"/>
      <c r="K50" s="5089"/>
      <c r="L50" s="5086"/>
      <c r="M50" s="5086"/>
      <c r="N50" s="5151"/>
      <c r="O50" s="5085"/>
      <c r="P50" s="5085"/>
      <c r="Q50" s="5088"/>
      <c r="R50" s="5120"/>
      <c r="S50" s="5102"/>
      <c r="T50" s="5088"/>
      <c r="U50" s="5089"/>
      <c r="V50" s="5218"/>
      <c r="W50" s="2142">
        <v>10000000</v>
      </c>
      <c r="X50" s="2827">
        <v>10000000</v>
      </c>
      <c r="Y50" s="2827">
        <v>8394000</v>
      </c>
      <c r="Z50" s="2143">
        <v>98</v>
      </c>
      <c r="AA50" s="5085"/>
      <c r="AB50" s="5165"/>
      <c r="AC50" s="5165"/>
      <c r="AD50" s="5165"/>
      <c r="AE50" s="5165"/>
      <c r="AF50" s="5165"/>
      <c r="AG50" s="5165"/>
      <c r="AH50" s="5165"/>
      <c r="AI50" s="5165"/>
      <c r="AJ50" s="5165"/>
      <c r="AK50" s="5165"/>
      <c r="AL50" s="5165"/>
      <c r="AM50" s="5165"/>
      <c r="AN50" s="5165"/>
      <c r="AO50" s="5165"/>
      <c r="AP50" s="5165"/>
      <c r="AQ50" s="5165"/>
      <c r="AR50" s="5165"/>
      <c r="AS50" s="5165"/>
      <c r="AT50" s="5165"/>
      <c r="AU50" s="5165"/>
      <c r="AV50" s="5165"/>
      <c r="AW50" s="5165"/>
      <c r="AX50" s="5165"/>
      <c r="AY50" s="5165"/>
      <c r="AZ50" s="5165"/>
      <c r="BA50" s="5165"/>
      <c r="BB50" s="5165"/>
      <c r="BC50" s="5165"/>
      <c r="BD50" s="5165"/>
      <c r="BE50" s="5165"/>
      <c r="BF50" s="5165"/>
      <c r="BG50" s="5165"/>
      <c r="BH50" s="5252"/>
      <c r="BI50" s="3626"/>
      <c r="BJ50" s="3626"/>
      <c r="BK50" s="5250"/>
      <c r="BL50" s="5252"/>
      <c r="BM50" s="5095"/>
      <c r="BN50" s="5079"/>
      <c r="BO50" s="5079"/>
      <c r="BP50" s="5079"/>
      <c r="BQ50" s="5079"/>
      <c r="BR50" s="5082"/>
    </row>
    <row r="51" spans="1:70" s="2144" customFormat="1" ht="69" customHeight="1" x14ac:dyDescent="0.2">
      <c r="A51" s="2136"/>
      <c r="B51" s="2137"/>
      <c r="C51" s="2138"/>
      <c r="D51" s="2137"/>
      <c r="E51" s="2137"/>
      <c r="F51" s="2138"/>
      <c r="G51" s="2145"/>
      <c r="H51" s="2137"/>
      <c r="I51" s="2138"/>
      <c r="J51" s="5110">
        <v>131</v>
      </c>
      <c r="K51" s="5087" t="s">
        <v>1624</v>
      </c>
      <c r="L51" s="5084" t="s">
        <v>1581</v>
      </c>
      <c r="M51" s="5084">
        <v>5</v>
      </c>
      <c r="N51" s="5151">
        <v>3.8</v>
      </c>
      <c r="O51" s="5085"/>
      <c r="P51" s="5085"/>
      <c r="Q51" s="5088"/>
      <c r="R51" s="5118">
        <f>SUM(W51:W54)/S49</f>
        <v>0.59482758620689657</v>
      </c>
      <c r="S51" s="5102"/>
      <c r="T51" s="5088"/>
      <c r="U51" s="5087" t="s">
        <v>1625</v>
      </c>
      <c r="V51" s="2146" t="s">
        <v>1626</v>
      </c>
      <c r="W51" s="2821">
        <v>28000000</v>
      </c>
      <c r="X51" s="2827">
        <v>28000000</v>
      </c>
      <c r="Y51" s="2827">
        <v>25835333</v>
      </c>
      <c r="Z51" s="2143">
        <v>61</v>
      </c>
      <c r="AA51" s="5085"/>
      <c r="AB51" s="5165"/>
      <c r="AC51" s="5165"/>
      <c r="AD51" s="5165"/>
      <c r="AE51" s="5165"/>
      <c r="AF51" s="5165"/>
      <c r="AG51" s="5165"/>
      <c r="AH51" s="5165"/>
      <c r="AI51" s="5165"/>
      <c r="AJ51" s="5165"/>
      <c r="AK51" s="5165"/>
      <c r="AL51" s="5165"/>
      <c r="AM51" s="5165"/>
      <c r="AN51" s="5165"/>
      <c r="AO51" s="5165"/>
      <c r="AP51" s="5165"/>
      <c r="AQ51" s="5165"/>
      <c r="AR51" s="5165"/>
      <c r="AS51" s="5165"/>
      <c r="AT51" s="5165"/>
      <c r="AU51" s="5165"/>
      <c r="AV51" s="5165"/>
      <c r="AW51" s="5165"/>
      <c r="AX51" s="5165"/>
      <c r="AY51" s="5165"/>
      <c r="AZ51" s="5165"/>
      <c r="BA51" s="5165"/>
      <c r="BB51" s="5165"/>
      <c r="BC51" s="5165"/>
      <c r="BD51" s="5165"/>
      <c r="BE51" s="5165"/>
      <c r="BF51" s="5165"/>
      <c r="BG51" s="5165"/>
      <c r="BH51" s="5252"/>
      <c r="BI51" s="3626"/>
      <c r="BJ51" s="3626"/>
      <c r="BK51" s="5250"/>
      <c r="BL51" s="5252"/>
      <c r="BM51" s="5095"/>
      <c r="BN51" s="5079"/>
      <c r="BO51" s="5079"/>
      <c r="BP51" s="5079"/>
      <c r="BQ51" s="5079"/>
      <c r="BR51" s="5082"/>
    </row>
    <row r="52" spans="1:70" s="2144" customFormat="1" ht="40.5" customHeight="1" x14ac:dyDescent="0.2">
      <c r="A52" s="2136"/>
      <c r="B52" s="2137"/>
      <c r="C52" s="2138"/>
      <c r="D52" s="2137"/>
      <c r="E52" s="2137"/>
      <c r="F52" s="2138"/>
      <c r="G52" s="2145"/>
      <c r="H52" s="2137"/>
      <c r="I52" s="2138"/>
      <c r="J52" s="5111"/>
      <c r="K52" s="5088"/>
      <c r="L52" s="5085"/>
      <c r="M52" s="5085"/>
      <c r="N52" s="5151"/>
      <c r="O52" s="5085"/>
      <c r="P52" s="5085"/>
      <c r="Q52" s="5088"/>
      <c r="R52" s="5119"/>
      <c r="S52" s="5102"/>
      <c r="T52" s="5088"/>
      <c r="U52" s="5088"/>
      <c r="V52" s="5217" t="s">
        <v>1627</v>
      </c>
      <c r="W52" s="2821">
        <v>40000000</v>
      </c>
      <c r="X52" s="2821">
        <v>40000000</v>
      </c>
      <c r="Y52" s="2827">
        <v>25835333</v>
      </c>
      <c r="Z52" s="2143">
        <v>61</v>
      </c>
      <c r="AA52" s="5085"/>
      <c r="AB52" s="5165"/>
      <c r="AC52" s="5165"/>
      <c r="AD52" s="5165"/>
      <c r="AE52" s="5165"/>
      <c r="AF52" s="5165"/>
      <c r="AG52" s="5165"/>
      <c r="AH52" s="5165"/>
      <c r="AI52" s="5165"/>
      <c r="AJ52" s="5165"/>
      <c r="AK52" s="5165"/>
      <c r="AL52" s="5165"/>
      <c r="AM52" s="5165"/>
      <c r="AN52" s="5165"/>
      <c r="AO52" s="5165"/>
      <c r="AP52" s="5165"/>
      <c r="AQ52" s="5165"/>
      <c r="AR52" s="5165"/>
      <c r="AS52" s="5165"/>
      <c r="AT52" s="5165"/>
      <c r="AU52" s="5165"/>
      <c r="AV52" s="5165"/>
      <c r="AW52" s="5165"/>
      <c r="AX52" s="5165"/>
      <c r="AY52" s="5165"/>
      <c r="AZ52" s="5165"/>
      <c r="BA52" s="5165"/>
      <c r="BB52" s="5165"/>
      <c r="BC52" s="5165"/>
      <c r="BD52" s="5165"/>
      <c r="BE52" s="5165"/>
      <c r="BF52" s="5165"/>
      <c r="BG52" s="5165"/>
      <c r="BH52" s="5252"/>
      <c r="BI52" s="3626"/>
      <c r="BJ52" s="3626"/>
      <c r="BK52" s="5250"/>
      <c r="BL52" s="5252"/>
      <c r="BM52" s="5095"/>
      <c r="BN52" s="5079"/>
      <c r="BO52" s="5079"/>
      <c r="BP52" s="5079"/>
      <c r="BQ52" s="5079"/>
      <c r="BR52" s="5082"/>
    </row>
    <row r="53" spans="1:70" s="2144" customFormat="1" ht="37.5" customHeight="1" x14ac:dyDescent="0.2">
      <c r="A53" s="2136"/>
      <c r="B53" s="2137"/>
      <c r="C53" s="2138"/>
      <c r="D53" s="2137"/>
      <c r="E53" s="2137"/>
      <c r="F53" s="2138"/>
      <c r="G53" s="2145"/>
      <c r="H53" s="2137"/>
      <c r="I53" s="2138"/>
      <c r="J53" s="5111"/>
      <c r="K53" s="5088"/>
      <c r="L53" s="5085"/>
      <c r="M53" s="5085"/>
      <c r="N53" s="5151"/>
      <c r="O53" s="5085"/>
      <c r="P53" s="5085"/>
      <c r="Q53" s="5088"/>
      <c r="R53" s="5119"/>
      <c r="S53" s="5102"/>
      <c r="T53" s="5088"/>
      <c r="U53" s="5088"/>
      <c r="V53" s="5218"/>
      <c r="W53" s="2142">
        <v>10000000</v>
      </c>
      <c r="X53" s="2827">
        <v>10000000</v>
      </c>
      <c r="Y53" s="2827">
        <v>3583000</v>
      </c>
      <c r="Z53" s="2143">
        <v>98</v>
      </c>
      <c r="AA53" s="5085"/>
      <c r="AB53" s="5165"/>
      <c r="AC53" s="5165"/>
      <c r="AD53" s="5165"/>
      <c r="AE53" s="5165"/>
      <c r="AF53" s="5165"/>
      <c r="AG53" s="5165"/>
      <c r="AH53" s="5165"/>
      <c r="AI53" s="5165"/>
      <c r="AJ53" s="5165"/>
      <c r="AK53" s="5165"/>
      <c r="AL53" s="5165"/>
      <c r="AM53" s="5165"/>
      <c r="AN53" s="5165"/>
      <c r="AO53" s="5165"/>
      <c r="AP53" s="5165"/>
      <c r="AQ53" s="5165"/>
      <c r="AR53" s="5165"/>
      <c r="AS53" s="5165"/>
      <c r="AT53" s="5165"/>
      <c r="AU53" s="5165"/>
      <c r="AV53" s="5165"/>
      <c r="AW53" s="5165"/>
      <c r="AX53" s="5165"/>
      <c r="AY53" s="5165"/>
      <c r="AZ53" s="5165"/>
      <c r="BA53" s="5165"/>
      <c r="BB53" s="5165"/>
      <c r="BC53" s="5165"/>
      <c r="BD53" s="5165"/>
      <c r="BE53" s="5165"/>
      <c r="BF53" s="5165"/>
      <c r="BG53" s="5165"/>
      <c r="BH53" s="5252"/>
      <c r="BI53" s="3626"/>
      <c r="BJ53" s="3626"/>
      <c r="BK53" s="5250"/>
      <c r="BL53" s="5252"/>
      <c r="BM53" s="5095"/>
      <c r="BN53" s="5079"/>
      <c r="BO53" s="5079"/>
      <c r="BP53" s="5079"/>
      <c r="BQ53" s="5079"/>
      <c r="BR53" s="5082"/>
    </row>
    <row r="54" spans="1:70" s="2144" customFormat="1" ht="57" x14ac:dyDescent="0.2">
      <c r="A54" s="2136"/>
      <c r="B54" s="2137"/>
      <c r="C54" s="2138"/>
      <c r="D54" s="2137"/>
      <c r="E54" s="2137"/>
      <c r="F54" s="2138"/>
      <c r="G54" s="2149"/>
      <c r="H54" s="2147"/>
      <c r="I54" s="2148"/>
      <c r="J54" s="5112"/>
      <c r="K54" s="5089"/>
      <c r="L54" s="5086"/>
      <c r="M54" s="5086"/>
      <c r="N54" s="5151"/>
      <c r="O54" s="5086"/>
      <c r="P54" s="5086"/>
      <c r="Q54" s="5089"/>
      <c r="R54" s="5120"/>
      <c r="S54" s="5121"/>
      <c r="T54" s="5089"/>
      <c r="U54" s="5089"/>
      <c r="V54" s="2146" t="s">
        <v>1628</v>
      </c>
      <c r="W54" s="2821">
        <v>60000000</v>
      </c>
      <c r="X54" s="2827">
        <f>46652417+6652416</f>
        <v>53304833</v>
      </c>
      <c r="Y54" s="2827">
        <v>25835334</v>
      </c>
      <c r="Z54" s="2143">
        <v>61</v>
      </c>
      <c r="AA54" s="5086"/>
      <c r="AB54" s="5166"/>
      <c r="AC54" s="5166"/>
      <c r="AD54" s="5166"/>
      <c r="AE54" s="5166"/>
      <c r="AF54" s="5166"/>
      <c r="AG54" s="5166"/>
      <c r="AH54" s="5166"/>
      <c r="AI54" s="5166"/>
      <c r="AJ54" s="5166"/>
      <c r="AK54" s="5166"/>
      <c r="AL54" s="5166"/>
      <c r="AM54" s="5166"/>
      <c r="AN54" s="5166"/>
      <c r="AO54" s="5166"/>
      <c r="AP54" s="5166"/>
      <c r="AQ54" s="5166"/>
      <c r="AR54" s="5166"/>
      <c r="AS54" s="5166"/>
      <c r="AT54" s="5166"/>
      <c r="AU54" s="5166"/>
      <c r="AV54" s="5166"/>
      <c r="AW54" s="5166"/>
      <c r="AX54" s="5166"/>
      <c r="AY54" s="5166"/>
      <c r="AZ54" s="5166"/>
      <c r="BA54" s="5166"/>
      <c r="BB54" s="5166"/>
      <c r="BC54" s="5166"/>
      <c r="BD54" s="5166"/>
      <c r="BE54" s="5166"/>
      <c r="BF54" s="5166"/>
      <c r="BG54" s="5166"/>
      <c r="BH54" s="5253"/>
      <c r="BI54" s="3627"/>
      <c r="BJ54" s="3627"/>
      <c r="BK54" s="5251"/>
      <c r="BL54" s="5253"/>
      <c r="BM54" s="5103"/>
      <c r="BN54" s="5117"/>
      <c r="BO54" s="5117"/>
      <c r="BP54" s="5117"/>
      <c r="BQ54" s="5117"/>
      <c r="BR54" s="5098"/>
    </row>
    <row r="55" spans="1:70" ht="36" customHeight="1" x14ac:dyDescent="0.2">
      <c r="A55" s="2122"/>
      <c r="B55" s="2123"/>
      <c r="C55" s="2124"/>
      <c r="D55" s="2123"/>
      <c r="E55" s="2123"/>
      <c r="F55" s="2124"/>
      <c r="G55" s="2158">
        <v>37</v>
      </c>
      <c r="H55" s="2128" t="s">
        <v>1629</v>
      </c>
      <c r="I55" s="2128"/>
      <c r="J55" s="2128"/>
      <c r="K55" s="2129"/>
      <c r="L55" s="2128"/>
      <c r="M55" s="2128"/>
      <c r="N55" s="2128"/>
      <c r="O55" s="2130"/>
      <c r="P55" s="2128"/>
      <c r="Q55" s="2129"/>
      <c r="R55" s="2128"/>
      <c r="S55" s="2159"/>
      <c r="T55" s="2129"/>
      <c r="U55" s="2129"/>
      <c r="V55" s="2129"/>
      <c r="W55" s="2163"/>
      <c r="X55" s="2163"/>
      <c r="Y55" s="2163"/>
      <c r="Z55" s="2161"/>
      <c r="AA55" s="2130"/>
      <c r="AB55" s="2130"/>
      <c r="AC55" s="2130"/>
      <c r="AD55" s="2130"/>
      <c r="AE55" s="2130"/>
      <c r="AF55" s="2130"/>
      <c r="AG55" s="2130"/>
      <c r="AH55" s="2130"/>
      <c r="AI55" s="2130"/>
      <c r="AJ55" s="2130"/>
      <c r="AK55" s="2130"/>
      <c r="AL55" s="2130"/>
      <c r="AM55" s="2130"/>
      <c r="AN55" s="2130"/>
      <c r="AO55" s="2130"/>
      <c r="AP55" s="2130"/>
      <c r="AQ55" s="2130"/>
      <c r="AR55" s="2130"/>
      <c r="AS55" s="2130"/>
      <c r="AT55" s="2130"/>
      <c r="AU55" s="2130"/>
      <c r="AV55" s="2130"/>
      <c r="AW55" s="2130"/>
      <c r="AX55" s="2130"/>
      <c r="AY55" s="2130"/>
      <c r="AZ55" s="2130"/>
      <c r="BA55" s="2130"/>
      <c r="BB55" s="2130"/>
      <c r="BC55" s="2130"/>
      <c r="BD55" s="2130"/>
      <c r="BE55" s="2130"/>
      <c r="BF55" s="2130"/>
      <c r="BG55" s="2130"/>
      <c r="BH55" s="2130"/>
      <c r="BI55" s="2162"/>
      <c r="BJ55" s="2162"/>
      <c r="BK55" s="2130"/>
      <c r="BL55" s="2130"/>
      <c r="BM55" s="2130"/>
      <c r="BN55" s="2128"/>
      <c r="BO55" s="2128"/>
      <c r="BP55" s="2128"/>
      <c r="BQ55" s="2128"/>
      <c r="BR55" s="2135"/>
    </row>
    <row r="56" spans="1:70" s="2144" customFormat="1" ht="42" customHeight="1" x14ac:dyDescent="0.2">
      <c r="A56" s="2164"/>
      <c r="B56" s="2165"/>
      <c r="C56" s="2166"/>
      <c r="D56" s="2165"/>
      <c r="E56" s="2165"/>
      <c r="F56" s="2166"/>
      <c r="G56" s="2167"/>
      <c r="H56" s="2168"/>
      <c r="I56" s="2169"/>
      <c r="J56" s="5110">
        <v>132</v>
      </c>
      <c r="K56" s="5087" t="s">
        <v>1630</v>
      </c>
      <c r="L56" s="5084" t="s">
        <v>1581</v>
      </c>
      <c r="M56" s="5084">
        <v>8</v>
      </c>
      <c r="N56" s="5151">
        <v>8</v>
      </c>
      <c r="O56" s="5084" t="s">
        <v>1631</v>
      </c>
      <c r="P56" s="5084" t="s">
        <v>1632</v>
      </c>
      <c r="Q56" s="5087" t="s">
        <v>1633</v>
      </c>
      <c r="R56" s="5118">
        <f>SUM(W56:W61)/S56</f>
        <v>0.25</v>
      </c>
      <c r="S56" s="5101">
        <f>SUM(W56:W83)</f>
        <v>168000000</v>
      </c>
      <c r="T56" s="5087" t="s">
        <v>1634</v>
      </c>
      <c r="U56" s="5087" t="s">
        <v>1635</v>
      </c>
      <c r="V56" s="5217" t="s">
        <v>1636</v>
      </c>
      <c r="W56" s="2170">
        <v>10000000</v>
      </c>
      <c r="X56" s="2142">
        <v>7891500</v>
      </c>
      <c r="Y56" s="2142">
        <v>4929334</v>
      </c>
      <c r="Z56" s="2143">
        <v>61</v>
      </c>
      <c r="AA56" s="5084" t="s">
        <v>1637</v>
      </c>
      <c r="AB56" s="5084">
        <v>292684</v>
      </c>
      <c r="AC56" s="5084">
        <v>175610</v>
      </c>
      <c r="AD56" s="5084">
        <v>282326</v>
      </c>
      <c r="AE56" s="5084">
        <v>169395.6</v>
      </c>
      <c r="AF56" s="5084">
        <v>135912</v>
      </c>
      <c r="AG56" s="5084">
        <v>81547.199999999997</v>
      </c>
      <c r="AH56" s="5084">
        <v>45122</v>
      </c>
      <c r="AI56" s="5084">
        <v>27073.200000000001</v>
      </c>
      <c r="AJ56" s="5084">
        <f>SUM(AJ49)</f>
        <v>307101</v>
      </c>
      <c r="AK56" s="5084">
        <v>184260.6</v>
      </c>
      <c r="AL56" s="5084">
        <f>SUM(AL49)</f>
        <v>86875</v>
      </c>
      <c r="AM56" s="5084">
        <v>52125</v>
      </c>
      <c r="AN56" s="5084">
        <v>2145</v>
      </c>
      <c r="AO56" s="5084">
        <v>1287</v>
      </c>
      <c r="AP56" s="5084">
        <v>12718</v>
      </c>
      <c r="AQ56" s="5084">
        <v>7631</v>
      </c>
      <c r="AR56" s="5084">
        <v>1908</v>
      </c>
      <c r="AS56" s="5084">
        <v>1145</v>
      </c>
      <c r="AT56" s="5084">
        <v>37</v>
      </c>
      <c r="AU56" s="5084">
        <v>22.2</v>
      </c>
      <c r="AV56" s="5084" t="s">
        <v>1588</v>
      </c>
      <c r="AW56" s="5084" t="s">
        <v>1588</v>
      </c>
      <c r="AX56" s="5084" t="s">
        <v>1588</v>
      </c>
      <c r="AY56" s="5084" t="s">
        <v>1588</v>
      </c>
      <c r="AZ56" s="5084">
        <v>53164</v>
      </c>
      <c r="BA56" s="5084">
        <v>31898.400000000001</v>
      </c>
      <c r="BB56" s="5084">
        <v>16982</v>
      </c>
      <c r="BC56" s="5084">
        <v>10189</v>
      </c>
      <c r="BD56" s="5084">
        <v>60013</v>
      </c>
      <c r="BE56" s="5084">
        <v>36007.800000000003</v>
      </c>
      <c r="BF56" s="5084">
        <v>575010</v>
      </c>
      <c r="BG56" s="5094">
        <v>287505</v>
      </c>
      <c r="BH56" s="5094">
        <v>14</v>
      </c>
      <c r="BI56" s="3821">
        <f>SUM(X56:X83)</f>
        <v>157334000</v>
      </c>
      <c r="BJ56" s="3821">
        <f>SUM(Y56:Y83)</f>
        <v>106330000</v>
      </c>
      <c r="BK56" s="5091">
        <f>+BJ56/BI56</f>
        <v>0.67582340752793424</v>
      </c>
      <c r="BL56" s="5094" t="s">
        <v>1589</v>
      </c>
      <c r="BM56" s="5094" t="s">
        <v>1590</v>
      </c>
      <c r="BN56" s="5078">
        <v>43467</v>
      </c>
      <c r="BO56" s="5078">
        <v>43830</v>
      </c>
      <c r="BP56" s="5078">
        <v>43830</v>
      </c>
      <c r="BQ56" s="5078">
        <v>43830</v>
      </c>
      <c r="BR56" s="5081" t="s">
        <v>1591</v>
      </c>
    </row>
    <row r="57" spans="1:70" s="2144" customFormat="1" ht="39.75" customHeight="1" x14ac:dyDescent="0.2">
      <c r="A57" s="2164"/>
      <c r="B57" s="2165"/>
      <c r="C57" s="2166"/>
      <c r="D57" s="2165"/>
      <c r="E57" s="2165"/>
      <c r="F57" s="2166"/>
      <c r="G57" s="2171"/>
      <c r="H57" s="2165"/>
      <c r="I57" s="2166"/>
      <c r="J57" s="5111"/>
      <c r="K57" s="5088"/>
      <c r="L57" s="5085"/>
      <c r="M57" s="5085"/>
      <c r="N57" s="5151"/>
      <c r="O57" s="5085"/>
      <c r="P57" s="5085"/>
      <c r="Q57" s="5088"/>
      <c r="R57" s="5119"/>
      <c r="S57" s="5102"/>
      <c r="T57" s="5088"/>
      <c r="U57" s="5088"/>
      <c r="V57" s="5218"/>
      <c r="W57" s="2170">
        <v>7000000</v>
      </c>
      <c r="X57" s="2142">
        <v>6436000</v>
      </c>
      <c r="Y57" s="2142">
        <v>1399000</v>
      </c>
      <c r="Z57" s="2143">
        <v>98</v>
      </c>
      <c r="AA57" s="5085"/>
      <c r="AB57" s="5085"/>
      <c r="AC57" s="5085"/>
      <c r="AD57" s="5085"/>
      <c r="AE57" s="5085"/>
      <c r="AF57" s="5085"/>
      <c r="AG57" s="5085"/>
      <c r="AH57" s="5085"/>
      <c r="AI57" s="5085"/>
      <c r="AJ57" s="5085"/>
      <c r="AK57" s="5085"/>
      <c r="AL57" s="5085"/>
      <c r="AM57" s="5085"/>
      <c r="AN57" s="5085"/>
      <c r="AO57" s="5085"/>
      <c r="AP57" s="5085"/>
      <c r="AQ57" s="5085"/>
      <c r="AR57" s="5085"/>
      <c r="AS57" s="5085"/>
      <c r="AT57" s="5085"/>
      <c r="AU57" s="5085"/>
      <c r="AV57" s="5085"/>
      <c r="AW57" s="5085"/>
      <c r="AX57" s="5085"/>
      <c r="AY57" s="5085"/>
      <c r="AZ57" s="5085"/>
      <c r="BA57" s="5085"/>
      <c r="BB57" s="5085"/>
      <c r="BC57" s="5085"/>
      <c r="BD57" s="5085"/>
      <c r="BE57" s="5085"/>
      <c r="BF57" s="5085"/>
      <c r="BG57" s="5095"/>
      <c r="BH57" s="5095"/>
      <c r="BI57" s="3822"/>
      <c r="BJ57" s="3822"/>
      <c r="BK57" s="5092"/>
      <c r="BL57" s="5095"/>
      <c r="BM57" s="5095"/>
      <c r="BN57" s="5079"/>
      <c r="BO57" s="5079"/>
      <c r="BP57" s="5079"/>
      <c r="BQ57" s="5079"/>
      <c r="BR57" s="5082"/>
    </row>
    <row r="58" spans="1:70" s="2144" customFormat="1" ht="29.25" customHeight="1" x14ac:dyDescent="0.2">
      <c r="A58" s="2164"/>
      <c r="B58" s="2165"/>
      <c r="C58" s="2166"/>
      <c r="D58" s="2165"/>
      <c r="E58" s="2165"/>
      <c r="F58" s="2166"/>
      <c r="G58" s="2171"/>
      <c r="H58" s="2165"/>
      <c r="I58" s="2166"/>
      <c r="J58" s="5111"/>
      <c r="K58" s="5088"/>
      <c r="L58" s="5085"/>
      <c r="M58" s="5085"/>
      <c r="N58" s="5151"/>
      <c r="O58" s="5085"/>
      <c r="P58" s="5085"/>
      <c r="Q58" s="5088"/>
      <c r="R58" s="5119"/>
      <c r="S58" s="5102"/>
      <c r="T58" s="5088"/>
      <c r="U58" s="5088"/>
      <c r="V58" s="5217" t="s">
        <v>1638</v>
      </c>
      <c r="W58" s="2170">
        <v>10000000</v>
      </c>
      <c r="X58" s="2142">
        <v>7891500</v>
      </c>
      <c r="Y58" s="2142">
        <v>4929333</v>
      </c>
      <c r="Z58" s="2143">
        <v>61</v>
      </c>
      <c r="AA58" s="5085"/>
      <c r="AB58" s="5085"/>
      <c r="AC58" s="5085"/>
      <c r="AD58" s="5085"/>
      <c r="AE58" s="5085"/>
      <c r="AF58" s="5085"/>
      <c r="AG58" s="5085"/>
      <c r="AH58" s="5085"/>
      <c r="AI58" s="5085"/>
      <c r="AJ58" s="5085"/>
      <c r="AK58" s="5085"/>
      <c r="AL58" s="5085"/>
      <c r="AM58" s="5085"/>
      <c r="AN58" s="5085"/>
      <c r="AO58" s="5085"/>
      <c r="AP58" s="5085"/>
      <c r="AQ58" s="5085"/>
      <c r="AR58" s="5085"/>
      <c r="AS58" s="5085"/>
      <c r="AT58" s="5085"/>
      <c r="AU58" s="5085"/>
      <c r="AV58" s="5085"/>
      <c r="AW58" s="5085"/>
      <c r="AX58" s="5085"/>
      <c r="AY58" s="5085"/>
      <c r="AZ58" s="5085"/>
      <c r="BA58" s="5085"/>
      <c r="BB58" s="5085"/>
      <c r="BC58" s="5085"/>
      <c r="BD58" s="5085"/>
      <c r="BE58" s="5085"/>
      <c r="BF58" s="5085"/>
      <c r="BG58" s="5095"/>
      <c r="BH58" s="5095"/>
      <c r="BI58" s="3822"/>
      <c r="BJ58" s="3822"/>
      <c r="BK58" s="5092"/>
      <c r="BL58" s="5095"/>
      <c r="BM58" s="5095"/>
      <c r="BN58" s="5079"/>
      <c r="BO58" s="5079"/>
      <c r="BP58" s="5079"/>
      <c r="BQ58" s="5079"/>
      <c r="BR58" s="5082"/>
    </row>
    <row r="59" spans="1:70" s="2144" customFormat="1" ht="33" customHeight="1" x14ac:dyDescent="0.2">
      <c r="A59" s="2164"/>
      <c r="B59" s="2165"/>
      <c r="C59" s="2166"/>
      <c r="D59" s="2165"/>
      <c r="E59" s="2165"/>
      <c r="F59" s="2166"/>
      <c r="G59" s="2171"/>
      <c r="H59" s="2165"/>
      <c r="I59" s="2166"/>
      <c r="J59" s="5111"/>
      <c r="K59" s="5088"/>
      <c r="L59" s="5085"/>
      <c r="M59" s="5085"/>
      <c r="N59" s="5151"/>
      <c r="O59" s="5085"/>
      <c r="P59" s="5085"/>
      <c r="Q59" s="5088"/>
      <c r="R59" s="5119"/>
      <c r="S59" s="5102"/>
      <c r="T59" s="5088"/>
      <c r="U59" s="5088"/>
      <c r="V59" s="5218"/>
      <c r="W59" s="2170">
        <v>7000000</v>
      </c>
      <c r="X59" s="2142">
        <v>6436000</v>
      </c>
      <c r="Y59" s="2142">
        <v>1399000</v>
      </c>
      <c r="Z59" s="2143">
        <v>98</v>
      </c>
      <c r="AA59" s="5085"/>
      <c r="AB59" s="5085"/>
      <c r="AC59" s="5085"/>
      <c r="AD59" s="5085"/>
      <c r="AE59" s="5085"/>
      <c r="AF59" s="5085"/>
      <c r="AG59" s="5085"/>
      <c r="AH59" s="5085"/>
      <c r="AI59" s="5085"/>
      <c r="AJ59" s="5085"/>
      <c r="AK59" s="5085"/>
      <c r="AL59" s="5085"/>
      <c r="AM59" s="5085"/>
      <c r="AN59" s="5085"/>
      <c r="AO59" s="5085"/>
      <c r="AP59" s="5085"/>
      <c r="AQ59" s="5085"/>
      <c r="AR59" s="5085"/>
      <c r="AS59" s="5085"/>
      <c r="AT59" s="5085"/>
      <c r="AU59" s="5085"/>
      <c r="AV59" s="5085"/>
      <c r="AW59" s="5085"/>
      <c r="AX59" s="5085"/>
      <c r="AY59" s="5085"/>
      <c r="AZ59" s="5085"/>
      <c r="BA59" s="5085"/>
      <c r="BB59" s="5085"/>
      <c r="BC59" s="5085"/>
      <c r="BD59" s="5085"/>
      <c r="BE59" s="5085"/>
      <c r="BF59" s="5085"/>
      <c r="BG59" s="5095"/>
      <c r="BH59" s="5095"/>
      <c r="BI59" s="3822"/>
      <c r="BJ59" s="3822"/>
      <c r="BK59" s="5092"/>
      <c r="BL59" s="5095"/>
      <c r="BM59" s="5095"/>
      <c r="BN59" s="5079"/>
      <c r="BO59" s="5079"/>
      <c r="BP59" s="5079"/>
      <c r="BQ59" s="5079"/>
      <c r="BR59" s="5082"/>
    </row>
    <row r="60" spans="1:70" s="2144" customFormat="1" ht="84.75" customHeight="1" x14ac:dyDescent="0.2">
      <c r="A60" s="2164"/>
      <c r="B60" s="2165"/>
      <c r="C60" s="2166"/>
      <c r="D60" s="2165"/>
      <c r="E60" s="2165"/>
      <c r="F60" s="2166"/>
      <c r="G60" s="2171"/>
      <c r="H60" s="2165"/>
      <c r="I60" s="2166"/>
      <c r="J60" s="5111"/>
      <c r="K60" s="5088"/>
      <c r="L60" s="5085"/>
      <c r="M60" s="5085"/>
      <c r="N60" s="5151"/>
      <c r="O60" s="5085"/>
      <c r="P60" s="5085"/>
      <c r="Q60" s="5088"/>
      <c r="R60" s="5119"/>
      <c r="S60" s="5102"/>
      <c r="T60" s="5088"/>
      <c r="U60" s="5088"/>
      <c r="V60" s="2146" t="s">
        <v>1639</v>
      </c>
      <c r="W60" s="2170">
        <v>2000000</v>
      </c>
      <c r="X60" s="2142">
        <v>2000000</v>
      </c>
      <c r="Y60" s="2142">
        <v>2000000</v>
      </c>
      <c r="Z60" s="2143">
        <v>61</v>
      </c>
      <c r="AA60" s="5085"/>
      <c r="AB60" s="5085"/>
      <c r="AC60" s="5085"/>
      <c r="AD60" s="5085"/>
      <c r="AE60" s="5085"/>
      <c r="AF60" s="5085"/>
      <c r="AG60" s="5085"/>
      <c r="AH60" s="5085"/>
      <c r="AI60" s="5085"/>
      <c r="AJ60" s="5085"/>
      <c r="AK60" s="5085"/>
      <c r="AL60" s="5085"/>
      <c r="AM60" s="5085"/>
      <c r="AN60" s="5085"/>
      <c r="AO60" s="5085"/>
      <c r="AP60" s="5085"/>
      <c r="AQ60" s="5085"/>
      <c r="AR60" s="5085"/>
      <c r="AS60" s="5085"/>
      <c r="AT60" s="5085"/>
      <c r="AU60" s="5085"/>
      <c r="AV60" s="5085"/>
      <c r="AW60" s="5085"/>
      <c r="AX60" s="5085"/>
      <c r="AY60" s="5085"/>
      <c r="AZ60" s="5085"/>
      <c r="BA60" s="5085"/>
      <c r="BB60" s="5085"/>
      <c r="BC60" s="5085"/>
      <c r="BD60" s="5085"/>
      <c r="BE60" s="5085"/>
      <c r="BF60" s="5085"/>
      <c r="BG60" s="5095"/>
      <c r="BH60" s="5095"/>
      <c r="BI60" s="3822"/>
      <c r="BJ60" s="3822"/>
      <c r="BK60" s="5092"/>
      <c r="BL60" s="5095"/>
      <c r="BM60" s="5095"/>
      <c r="BN60" s="5079"/>
      <c r="BO60" s="5079"/>
      <c r="BP60" s="5079"/>
      <c r="BQ60" s="5079"/>
      <c r="BR60" s="5082"/>
    </row>
    <row r="61" spans="1:70" s="2144" customFormat="1" ht="86.25" customHeight="1" x14ac:dyDescent="0.2">
      <c r="A61" s="2164"/>
      <c r="B61" s="2165"/>
      <c r="C61" s="2166"/>
      <c r="D61" s="2165"/>
      <c r="E61" s="2165"/>
      <c r="F61" s="2166"/>
      <c r="G61" s="2171"/>
      <c r="H61" s="2165"/>
      <c r="I61" s="2166"/>
      <c r="J61" s="5112"/>
      <c r="K61" s="5089"/>
      <c r="L61" s="5086"/>
      <c r="M61" s="5086"/>
      <c r="N61" s="5151"/>
      <c r="O61" s="5085"/>
      <c r="P61" s="5085"/>
      <c r="Q61" s="5088"/>
      <c r="R61" s="5120"/>
      <c r="S61" s="5102"/>
      <c r="T61" s="5088"/>
      <c r="U61" s="5088"/>
      <c r="V61" s="2146" t="s">
        <v>1640</v>
      </c>
      <c r="W61" s="2170">
        <v>6000000</v>
      </c>
      <c r="X61" s="2142">
        <v>6000000</v>
      </c>
      <c r="Y61" s="2142">
        <v>4929333</v>
      </c>
      <c r="Z61" s="2143">
        <v>61</v>
      </c>
      <c r="AA61" s="5085"/>
      <c r="AB61" s="5085"/>
      <c r="AC61" s="5085"/>
      <c r="AD61" s="5085"/>
      <c r="AE61" s="5085"/>
      <c r="AF61" s="5085"/>
      <c r="AG61" s="5085"/>
      <c r="AH61" s="5085"/>
      <c r="AI61" s="5085"/>
      <c r="AJ61" s="5085"/>
      <c r="AK61" s="5085"/>
      <c r="AL61" s="5085"/>
      <c r="AM61" s="5085"/>
      <c r="AN61" s="5085"/>
      <c r="AO61" s="5085"/>
      <c r="AP61" s="5085"/>
      <c r="AQ61" s="5085"/>
      <c r="AR61" s="5085"/>
      <c r="AS61" s="5085"/>
      <c r="AT61" s="5085"/>
      <c r="AU61" s="5085"/>
      <c r="AV61" s="5085"/>
      <c r="AW61" s="5085"/>
      <c r="AX61" s="5085"/>
      <c r="AY61" s="5085"/>
      <c r="AZ61" s="5085"/>
      <c r="BA61" s="5085"/>
      <c r="BB61" s="5085"/>
      <c r="BC61" s="5085"/>
      <c r="BD61" s="5085"/>
      <c r="BE61" s="5085"/>
      <c r="BF61" s="5085"/>
      <c r="BG61" s="5095"/>
      <c r="BH61" s="5095"/>
      <c r="BI61" s="3822"/>
      <c r="BJ61" s="3822"/>
      <c r="BK61" s="5092"/>
      <c r="BL61" s="5095"/>
      <c r="BM61" s="5095"/>
      <c r="BN61" s="5079"/>
      <c r="BO61" s="5079"/>
      <c r="BP61" s="5079"/>
      <c r="BQ61" s="5079"/>
      <c r="BR61" s="5082"/>
    </row>
    <row r="62" spans="1:70" s="2144" customFormat="1" ht="63.75" customHeight="1" x14ac:dyDescent="0.2">
      <c r="A62" s="2164"/>
      <c r="B62" s="2165"/>
      <c r="C62" s="2166"/>
      <c r="D62" s="2165"/>
      <c r="E62" s="2165"/>
      <c r="F62" s="2166"/>
      <c r="G62" s="2171"/>
      <c r="H62" s="2165"/>
      <c r="I62" s="2166"/>
      <c r="J62" s="5111">
        <v>133</v>
      </c>
      <c r="K62" s="5088" t="s">
        <v>2092</v>
      </c>
      <c r="L62" s="5085" t="s">
        <v>16</v>
      </c>
      <c r="M62" s="5085">
        <v>12</v>
      </c>
      <c r="N62" s="5151">
        <v>9</v>
      </c>
      <c r="O62" s="5085"/>
      <c r="P62" s="5085"/>
      <c r="Q62" s="5088"/>
      <c r="R62" s="3792">
        <f>SUM(W62:W66)/S56</f>
        <v>0.16666666666666666</v>
      </c>
      <c r="S62" s="5102"/>
      <c r="T62" s="5088"/>
      <c r="U62" s="5088"/>
      <c r="V62" s="2146" t="s">
        <v>1641</v>
      </c>
      <c r="W62" s="2172">
        <v>8000000</v>
      </c>
      <c r="X62" s="2142">
        <v>8000000</v>
      </c>
      <c r="Y62" s="2142">
        <v>5900000</v>
      </c>
      <c r="Z62" s="2143">
        <v>61</v>
      </c>
      <c r="AA62" s="5085"/>
      <c r="AB62" s="5085"/>
      <c r="AC62" s="5085"/>
      <c r="AD62" s="5085"/>
      <c r="AE62" s="5085"/>
      <c r="AF62" s="5085"/>
      <c r="AG62" s="5085"/>
      <c r="AH62" s="5085"/>
      <c r="AI62" s="5085"/>
      <c r="AJ62" s="5085"/>
      <c r="AK62" s="5085"/>
      <c r="AL62" s="5085"/>
      <c r="AM62" s="5085"/>
      <c r="AN62" s="5085"/>
      <c r="AO62" s="5085"/>
      <c r="AP62" s="5085"/>
      <c r="AQ62" s="5085"/>
      <c r="AR62" s="5085"/>
      <c r="AS62" s="5085"/>
      <c r="AT62" s="5085"/>
      <c r="AU62" s="5085"/>
      <c r="AV62" s="5085"/>
      <c r="AW62" s="5085"/>
      <c r="AX62" s="5085"/>
      <c r="AY62" s="5085"/>
      <c r="AZ62" s="5085"/>
      <c r="BA62" s="5085"/>
      <c r="BB62" s="5085"/>
      <c r="BC62" s="5085"/>
      <c r="BD62" s="5085"/>
      <c r="BE62" s="5085"/>
      <c r="BF62" s="5085"/>
      <c r="BG62" s="5095"/>
      <c r="BH62" s="5095"/>
      <c r="BI62" s="3822"/>
      <c r="BJ62" s="3822"/>
      <c r="BK62" s="5092"/>
      <c r="BL62" s="5095"/>
      <c r="BM62" s="5095"/>
      <c r="BN62" s="5079"/>
      <c r="BO62" s="5079"/>
      <c r="BP62" s="5079"/>
      <c r="BQ62" s="5079"/>
      <c r="BR62" s="5082"/>
    </row>
    <row r="63" spans="1:70" s="2144" customFormat="1" ht="76.5" customHeight="1" x14ac:dyDescent="0.2">
      <c r="A63" s="2164"/>
      <c r="B63" s="2165"/>
      <c r="C63" s="2166"/>
      <c r="D63" s="2165"/>
      <c r="E63" s="2165"/>
      <c r="F63" s="2166"/>
      <c r="G63" s="2171"/>
      <c r="H63" s="2165"/>
      <c r="I63" s="2166"/>
      <c r="J63" s="5111"/>
      <c r="K63" s="5088"/>
      <c r="L63" s="5085"/>
      <c r="M63" s="5085"/>
      <c r="N63" s="5151"/>
      <c r="O63" s="5085"/>
      <c r="P63" s="5085"/>
      <c r="Q63" s="5088"/>
      <c r="R63" s="3793"/>
      <c r="S63" s="5102"/>
      <c r="T63" s="5088"/>
      <c r="U63" s="5088"/>
      <c r="V63" s="2146" t="s">
        <v>1642</v>
      </c>
      <c r="W63" s="2172">
        <v>10000000</v>
      </c>
      <c r="X63" s="2142">
        <v>10000000</v>
      </c>
      <c r="Y63" s="2142">
        <v>4348000</v>
      </c>
      <c r="Z63" s="2143">
        <v>61</v>
      </c>
      <c r="AA63" s="5085"/>
      <c r="AB63" s="5085"/>
      <c r="AC63" s="5085"/>
      <c r="AD63" s="5085"/>
      <c r="AE63" s="5085"/>
      <c r="AF63" s="5085"/>
      <c r="AG63" s="5085"/>
      <c r="AH63" s="5085"/>
      <c r="AI63" s="5085"/>
      <c r="AJ63" s="5085"/>
      <c r="AK63" s="5085"/>
      <c r="AL63" s="5085"/>
      <c r="AM63" s="5085"/>
      <c r="AN63" s="5085"/>
      <c r="AO63" s="5085"/>
      <c r="AP63" s="5085"/>
      <c r="AQ63" s="5085"/>
      <c r="AR63" s="5085"/>
      <c r="AS63" s="5085"/>
      <c r="AT63" s="5085"/>
      <c r="AU63" s="5085"/>
      <c r="AV63" s="5085"/>
      <c r="AW63" s="5085"/>
      <c r="AX63" s="5085"/>
      <c r="AY63" s="5085"/>
      <c r="AZ63" s="5085"/>
      <c r="BA63" s="5085"/>
      <c r="BB63" s="5085"/>
      <c r="BC63" s="5085"/>
      <c r="BD63" s="5085"/>
      <c r="BE63" s="5085"/>
      <c r="BF63" s="5085"/>
      <c r="BG63" s="5095"/>
      <c r="BH63" s="5095"/>
      <c r="BI63" s="3822"/>
      <c r="BJ63" s="3822"/>
      <c r="BK63" s="5092"/>
      <c r="BL63" s="5095"/>
      <c r="BM63" s="5095"/>
      <c r="BN63" s="5079"/>
      <c r="BO63" s="5079"/>
      <c r="BP63" s="5079"/>
      <c r="BQ63" s="5079"/>
      <c r="BR63" s="5082"/>
    </row>
    <row r="64" spans="1:70" s="2144" customFormat="1" ht="118.5" customHeight="1" x14ac:dyDescent="0.2">
      <c r="A64" s="2164"/>
      <c r="B64" s="2165"/>
      <c r="C64" s="2166"/>
      <c r="D64" s="2165"/>
      <c r="E64" s="2165"/>
      <c r="F64" s="2166"/>
      <c r="G64" s="2171"/>
      <c r="H64" s="2165"/>
      <c r="I64" s="2166"/>
      <c r="J64" s="5111"/>
      <c r="K64" s="5088"/>
      <c r="L64" s="5085"/>
      <c r="M64" s="5085"/>
      <c r="N64" s="5151"/>
      <c r="O64" s="5085"/>
      <c r="P64" s="5085"/>
      <c r="Q64" s="5088"/>
      <c r="R64" s="3793"/>
      <c r="S64" s="5102"/>
      <c r="T64" s="5088"/>
      <c r="U64" s="5088"/>
      <c r="V64" s="2146" t="s">
        <v>1643</v>
      </c>
      <c r="W64" s="2172">
        <v>2000000</v>
      </c>
      <c r="X64" s="2142">
        <v>2000000</v>
      </c>
      <c r="Y64" s="2142">
        <v>2000000</v>
      </c>
      <c r="Z64" s="2143">
        <v>61</v>
      </c>
      <c r="AA64" s="5085"/>
      <c r="AB64" s="5085"/>
      <c r="AC64" s="5085"/>
      <c r="AD64" s="5085"/>
      <c r="AE64" s="5085"/>
      <c r="AF64" s="5085"/>
      <c r="AG64" s="5085"/>
      <c r="AH64" s="5085"/>
      <c r="AI64" s="5085"/>
      <c r="AJ64" s="5085"/>
      <c r="AK64" s="5085"/>
      <c r="AL64" s="5085"/>
      <c r="AM64" s="5085"/>
      <c r="AN64" s="5085"/>
      <c r="AO64" s="5085"/>
      <c r="AP64" s="5085"/>
      <c r="AQ64" s="5085"/>
      <c r="AR64" s="5085"/>
      <c r="AS64" s="5085"/>
      <c r="AT64" s="5085"/>
      <c r="AU64" s="5085"/>
      <c r="AV64" s="5085"/>
      <c r="AW64" s="5085"/>
      <c r="AX64" s="5085"/>
      <c r="AY64" s="5085"/>
      <c r="AZ64" s="5085"/>
      <c r="BA64" s="5085"/>
      <c r="BB64" s="5085"/>
      <c r="BC64" s="5085"/>
      <c r="BD64" s="5085"/>
      <c r="BE64" s="5085"/>
      <c r="BF64" s="5085"/>
      <c r="BG64" s="5095"/>
      <c r="BH64" s="5095"/>
      <c r="BI64" s="3822"/>
      <c r="BJ64" s="3822"/>
      <c r="BK64" s="5092"/>
      <c r="BL64" s="5095"/>
      <c r="BM64" s="5095"/>
      <c r="BN64" s="5079"/>
      <c r="BO64" s="5079"/>
      <c r="BP64" s="5079"/>
      <c r="BQ64" s="5079"/>
      <c r="BR64" s="5082"/>
    </row>
    <row r="65" spans="1:70" s="2144" customFormat="1" ht="57" x14ac:dyDescent="0.2">
      <c r="A65" s="2164"/>
      <c r="B65" s="2165"/>
      <c r="C65" s="2166"/>
      <c r="D65" s="2165"/>
      <c r="E65" s="2165"/>
      <c r="F65" s="2166"/>
      <c r="G65" s="2171"/>
      <c r="H65" s="2165"/>
      <c r="I65" s="2166"/>
      <c r="J65" s="5111"/>
      <c r="K65" s="5088"/>
      <c r="L65" s="5085"/>
      <c r="M65" s="5085"/>
      <c r="N65" s="5151"/>
      <c r="O65" s="5085"/>
      <c r="P65" s="5085"/>
      <c r="Q65" s="5088"/>
      <c r="R65" s="3793"/>
      <c r="S65" s="5102"/>
      <c r="T65" s="5088"/>
      <c r="U65" s="5088"/>
      <c r="V65" s="2146" t="s">
        <v>1644</v>
      </c>
      <c r="W65" s="2172">
        <v>4000000</v>
      </c>
      <c r="X65" s="2142">
        <v>4000000</v>
      </c>
      <c r="Y65" s="2142">
        <v>3416000</v>
      </c>
      <c r="Z65" s="2143">
        <v>61</v>
      </c>
      <c r="AA65" s="5085"/>
      <c r="AB65" s="5085"/>
      <c r="AC65" s="5085"/>
      <c r="AD65" s="5085"/>
      <c r="AE65" s="5085"/>
      <c r="AF65" s="5085"/>
      <c r="AG65" s="5085"/>
      <c r="AH65" s="5085"/>
      <c r="AI65" s="5085"/>
      <c r="AJ65" s="5085"/>
      <c r="AK65" s="5085"/>
      <c r="AL65" s="5085"/>
      <c r="AM65" s="5085"/>
      <c r="AN65" s="5085"/>
      <c r="AO65" s="5085"/>
      <c r="AP65" s="5085"/>
      <c r="AQ65" s="5085"/>
      <c r="AR65" s="5085"/>
      <c r="AS65" s="5085"/>
      <c r="AT65" s="5085"/>
      <c r="AU65" s="5085"/>
      <c r="AV65" s="5085"/>
      <c r="AW65" s="5085"/>
      <c r="AX65" s="5085"/>
      <c r="AY65" s="5085"/>
      <c r="AZ65" s="5085"/>
      <c r="BA65" s="5085"/>
      <c r="BB65" s="5085"/>
      <c r="BC65" s="5085"/>
      <c r="BD65" s="5085"/>
      <c r="BE65" s="5085"/>
      <c r="BF65" s="5085"/>
      <c r="BG65" s="5095"/>
      <c r="BH65" s="5095"/>
      <c r="BI65" s="3822"/>
      <c r="BJ65" s="3822"/>
      <c r="BK65" s="5092"/>
      <c r="BL65" s="5095"/>
      <c r="BM65" s="5095"/>
      <c r="BN65" s="5079"/>
      <c r="BO65" s="5079"/>
      <c r="BP65" s="5079"/>
      <c r="BQ65" s="5079"/>
      <c r="BR65" s="5082"/>
    </row>
    <row r="66" spans="1:70" s="2144" customFormat="1" ht="75" customHeight="1" x14ac:dyDescent="0.2">
      <c r="A66" s="2164"/>
      <c r="B66" s="2165"/>
      <c r="C66" s="2166"/>
      <c r="D66" s="2165"/>
      <c r="E66" s="2165"/>
      <c r="F66" s="2166"/>
      <c r="G66" s="2171"/>
      <c r="H66" s="2165"/>
      <c r="I66" s="2166"/>
      <c r="J66" s="5112"/>
      <c r="K66" s="5089"/>
      <c r="L66" s="5086"/>
      <c r="M66" s="5086"/>
      <c r="N66" s="5151"/>
      <c r="O66" s="5085"/>
      <c r="P66" s="5085"/>
      <c r="Q66" s="5088"/>
      <c r="R66" s="3794"/>
      <c r="S66" s="5102"/>
      <c r="T66" s="5088"/>
      <c r="U66" s="5089"/>
      <c r="V66" s="2146" t="s">
        <v>1645</v>
      </c>
      <c r="W66" s="2172">
        <v>4000000</v>
      </c>
      <c r="X66" s="2142">
        <v>4000000</v>
      </c>
      <c r="Y66" s="2142">
        <v>3416000</v>
      </c>
      <c r="Z66" s="2143">
        <v>61</v>
      </c>
      <c r="AA66" s="5085"/>
      <c r="AB66" s="5085"/>
      <c r="AC66" s="5085"/>
      <c r="AD66" s="5085"/>
      <c r="AE66" s="5085"/>
      <c r="AF66" s="5085"/>
      <c r="AG66" s="5085"/>
      <c r="AH66" s="5085"/>
      <c r="AI66" s="5085"/>
      <c r="AJ66" s="5085"/>
      <c r="AK66" s="5085"/>
      <c r="AL66" s="5085"/>
      <c r="AM66" s="5085"/>
      <c r="AN66" s="5085"/>
      <c r="AO66" s="5085"/>
      <c r="AP66" s="5085"/>
      <c r="AQ66" s="5085"/>
      <c r="AR66" s="5085"/>
      <c r="AS66" s="5085"/>
      <c r="AT66" s="5085"/>
      <c r="AU66" s="5085"/>
      <c r="AV66" s="5085"/>
      <c r="AW66" s="5085"/>
      <c r="AX66" s="5085"/>
      <c r="AY66" s="5085"/>
      <c r="AZ66" s="5085"/>
      <c r="BA66" s="5085"/>
      <c r="BB66" s="5085"/>
      <c r="BC66" s="5085"/>
      <c r="BD66" s="5085"/>
      <c r="BE66" s="5085"/>
      <c r="BF66" s="5085"/>
      <c r="BG66" s="5095"/>
      <c r="BH66" s="5095"/>
      <c r="BI66" s="3822"/>
      <c r="BJ66" s="3822"/>
      <c r="BK66" s="5092"/>
      <c r="BL66" s="5095"/>
      <c r="BM66" s="5095"/>
      <c r="BN66" s="5079"/>
      <c r="BO66" s="5079"/>
      <c r="BP66" s="5079"/>
      <c r="BQ66" s="5079"/>
      <c r="BR66" s="5082"/>
    </row>
    <row r="67" spans="1:70" s="2144" customFormat="1" ht="69.75" customHeight="1" x14ac:dyDescent="0.2">
      <c r="A67" s="2164"/>
      <c r="B67" s="2165"/>
      <c r="C67" s="2166"/>
      <c r="D67" s="2165"/>
      <c r="E67" s="2165"/>
      <c r="F67" s="2166"/>
      <c r="G67" s="2171"/>
      <c r="H67" s="2165"/>
      <c r="I67" s="2166"/>
      <c r="J67" s="5110">
        <v>134</v>
      </c>
      <c r="K67" s="5087" t="s">
        <v>1646</v>
      </c>
      <c r="L67" s="5084" t="s">
        <v>1581</v>
      </c>
      <c r="M67" s="5084">
        <v>4800</v>
      </c>
      <c r="N67" s="5151">
        <v>4479</v>
      </c>
      <c r="O67" s="5085"/>
      <c r="P67" s="5085"/>
      <c r="Q67" s="5088"/>
      <c r="R67" s="5118">
        <f>SUM(W67:W78)/S56</f>
        <v>0.39285714285714285</v>
      </c>
      <c r="S67" s="5102"/>
      <c r="T67" s="5088"/>
      <c r="U67" s="5087" t="s">
        <v>1647</v>
      </c>
      <c r="V67" s="2146" t="s">
        <v>1648</v>
      </c>
      <c r="W67" s="2172">
        <v>5000000</v>
      </c>
      <c r="X67" s="2142">
        <v>4667600</v>
      </c>
      <c r="Y67" s="2142">
        <v>4239600</v>
      </c>
      <c r="Z67" s="2143">
        <v>61</v>
      </c>
      <c r="AA67" s="5085"/>
      <c r="AB67" s="5085"/>
      <c r="AC67" s="5085"/>
      <c r="AD67" s="5085"/>
      <c r="AE67" s="5085"/>
      <c r="AF67" s="5085"/>
      <c r="AG67" s="5085"/>
      <c r="AH67" s="5085"/>
      <c r="AI67" s="5085"/>
      <c r="AJ67" s="5085"/>
      <c r="AK67" s="5085"/>
      <c r="AL67" s="5085"/>
      <c r="AM67" s="5085"/>
      <c r="AN67" s="5085"/>
      <c r="AO67" s="5085"/>
      <c r="AP67" s="5085"/>
      <c r="AQ67" s="5085"/>
      <c r="AR67" s="5085"/>
      <c r="AS67" s="5085"/>
      <c r="AT67" s="5085"/>
      <c r="AU67" s="5085"/>
      <c r="AV67" s="5085"/>
      <c r="AW67" s="5085"/>
      <c r="AX67" s="5085"/>
      <c r="AY67" s="5085"/>
      <c r="AZ67" s="5085"/>
      <c r="BA67" s="5085"/>
      <c r="BB67" s="5085"/>
      <c r="BC67" s="5085"/>
      <c r="BD67" s="5085"/>
      <c r="BE67" s="5085"/>
      <c r="BF67" s="5085"/>
      <c r="BG67" s="5095"/>
      <c r="BH67" s="5095"/>
      <c r="BI67" s="3822"/>
      <c r="BJ67" s="3822"/>
      <c r="BK67" s="5092"/>
      <c r="BL67" s="5095"/>
      <c r="BM67" s="5095"/>
      <c r="BN67" s="5079"/>
      <c r="BO67" s="5079"/>
      <c r="BP67" s="5079"/>
      <c r="BQ67" s="5079"/>
      <c r="BR67" s="5082"/>
    </row>
    <row r="68" spans="1:70" s="2144" customFormat="1" ht="54.75" customHeight="1" x14ac:dyDescent="0.2">
      <c r="A68" s="2164"/>
      <c r="B68" s="2165"/>
      <c r="C68" s="2166"/>
      <c r="D68" s="2165"/>
      <c r="E68" s="2165"/>
      <c r="F68" s="2166"/>
      <c r="G68" s="2171"/>
      <c r="H68" s="2165"/>
      <c r="I68" s="2166"/>
      <c r="J68" s="5111"/>
      <c r="K68" s="5088"/>
      <c r="L68" s="5085"/>
      <c r="M68" s="5085"/>
      <c r="N68" s="5151"/>
      <c r="O68" s="5085"/>
      <c r="P68" s="5085"/>
      <c r="Q68" s="5088"/>
      <c r="R68" s="5119"/>
      <c r="S68" s="5102"/>
      <c r="T68" s="5088"/>
      <c r="U68" s="5088"/>
      <c r="V68" s="2146" t="s">
        <v>1649</v>
      </c>
      <c r="W68" s="2172">
        <v>5000000</v>
      </c>
      <c r="X68" s="2142">
        <v>4667600</v>
      </c>
      <c r="Y68" s="2142">
        <v>4239600</v>
      </c>
      <c r="Z68" s="2143">
        <v>61</v>
      </c>
      <c r="AA68" s="5085"/>
      <c r="AB68" s="5085"/>
      <c r="AC68" s="5085"/>
      <c r="AD68" s="5085"/>
      <c r="AE68" s="5085"/>
      <c r="AF68" s="5085"/>
      <c r="AG68" s="5085"/>
      <c r="AH68" s="5085"/>
      <c r="AI68" s="5085"/>
      <c r="AJ68" s="5085"/>
      <c r="AK68" s="5085"/>
      <c r="AL68" s="5085"/>
      <c r="AM68" s="5085"/>
      <c r="AN68" s="5085"/>
      <c r="AO68" s="5085"/>
      <c r="AP68" s="5085"/>
      <c r="AQ68" s="5085"/>
      <c r="AR68" s="5085"/>
      <c r="AS68" s="5085"/>
      <c r="AT68" s="5085"/>
      <c r="AU68" s="5085"/>
      <c r="AV68" s="5085"/>
      <c r="AW68" s="5085"/>
      <c r="AX68" s="5085"/>
      <c r="AY68" s="5085"/>
      <c r="AZ68" s="5085"/>
      <c r="BA68" s="5085"/>
      <c r="BB68" s="5085"/>
      <c r="BC68" s="5085"/>
      <c r="BD68" s="5085"/>
      <c r="BE68" s="5085"/>
      <c r="BF68" s="5085"/>
      <c r="BG68" s="5095"/>
      <c r="BH68" s="5095"/>
      <c r="BI68" s="3822"/>
      <c r="BJ68" s="3822"/>
      <c r="BK68" s="5092"/>
      <c r="BL68" s="5095"/>
      <c r="BM68" s="5095"/>
      <c r="BN68" s="5079"/>
      <c r="BO68" s="5079"/>
      <c r="BP68" s="5079"/>
      <c r="BQ68" s="5079"/>
      <c r="BR68" s="5082"/>
    </row>
    <row r="69" spans="1:70" s="2144" customFormat="1" ht="84.75" customHeight="1" x14ac:dyDescent="0.2">
      <c r="A69" s="2164"/>
      <c r="B69" s="2165"/>
      <c r="C69" s="2166"/>
      <c r="D69" s="2165"/>
      <c r="E69" s="2165"/>
      <c r="F69" s="2166"/>
      <c r="G69" s="2171"/>
      <c r="H69" s="2165"/>
      <c r="I69" s="2166"/>
      <c r="J69" s="5111"/>
      <c r="K69" s="5088"/>
      <c r="L69" s="5085"/>
      <c r="M69" s="5085"/>
      <c r="N69" s="5151"/>
      <c r="O69" s="5085"/>
      <c r="P69" s="5085"/>
      <c r="Q69" s="5088"/>
      <c r="R69" s="5119"/>
      <c r="S69" s="5102"/>
      <c r="T69" s="5088"/>
      <c r="U69" s="5088"/>
      <c r="V69" s="2146" t="s">
        <v>1650</v>
      </c>
      <c r="W69" s="2172">
        <v>5000000</v>
      </c>
      <c r="X69" s="2142">
        <v>4667600</v>
      </c>
      <c r="Y69" s="2142">
        <v>4239600</v>
      </c>
      <c r="Z69" s="2143">
        <v>61</v>
      </c>
      <c r="AA69" s="5085"/>
      <c r="AB69" s="5085"/>
      <c r="AC69" s="5085"/>
      <c r="AD69" s="5085"/>
      <c r="AE69" s="5085"/>
      <c r="AF69" s="5085"/>
      <c r="AG69" s="5085"/>
      <c r="AH69" s="5085"/>
      <c r="AI69" s="5085"/>
      <c r="AJ69" s="5085"/>
      <c r="AK69" s="5085"/>
      <c r="AL69" s="5085"/>
      <c r="AM69" s="5085"/>
      <c r="AN69" s="5085"/>
      <c r="AO69" s="5085"/>
      <c r="AP69" s="5085"/>
      <c r="AQ69" s="5085"/>
      <c r="AR69" s="5085"/>
      <c r="AS69" s="5085"/>
      <c r="AT69" s="5085"/>
      <c r="AU69" s="5085"/>
      <c r="AV69" s="5085"/>
      <c r="AW69" s="5085"/>
      <c r="AX69" s="5085"/>
      <c r="AY69" s="5085"/>
      <c r="AZ69" s="5085"/>
      <c r="BA69" s="5085"/>
      <c r="BB69" s="5085"/>
      <c r="BC69" s="5085"/>
      <c r="BD69" s="5085"/>
      <c r="BE69" s="5085"/>
      <c r="BF69" s="5085"/>
      <c r="BG69" s="5095"/>
      <c r="BH69" s="5095"/>
      <c r="BI69" s="3822"/>
      <c r="BJ69" s="3822"/>
      <c r="BK69" s="5092"/>
      <c r="BL69" s="5095"/>
      <c r="BM69" s="5095"/>
      <c r="BN69" s="5079"/>
      <c r="BO69" s="5079"/>
      <c r="BP69" s="5079"/>
      <c r="BQ69" s="5079"/>
      <c r="BR69" s="5082"/>
    </row>
    <row r="70" spans="1:70" s="2144" customFormat="1" ht="67.5" customHeight="1" x14ac:dyDescent="0.2">
      <c r="A70" s="2164"/>
      <c r="B70" s="2165"/>
      <c r="C70" s="2166"/>
      <c r="D70" s="2165"/>
      <c r="E70" s="2165"/>
      <c r="F70" s="2166"/>
      <c r="G70" s="2171"/>
      <c r="H70" s="2165"/>
      <c r="I70" s="2166"/>
      <c r="J70" s="5111"/>
      <c r="K70" s="5088"/>
      <c r="L70" s="5085"/>
      <c r="M70" s="5085"/>
      <c r="N70" s="5151"/>
      <c r="O70" s="5085"/>
      <c r="P70" s="5085"/>
      <c r="Q70" s="5088"/>
      <c r="R70" s="5119"/>
      <c r="S70" s="5102"/>
      <c r="T70" s="5088"/>
      <c r="U70" s="5088"/>
      <c r="V70" s="2146" t="s">
        <v>1651</v>
      </c>
      <c r="W70" s="2172">
        <v>5000000</v>
      </c>
      <c r="X70" s="2142">
        <v>4667600</v>
      </c>
      <c r="Y70" s="2142">
        <v>4239600</v>
      </c>
      <c r="Z70" s="2143">
        <v>61</v>
      </c>
      <c r="AA70" s="5085"/>
      <c r="AB70" s="5085"/>
      <c r="AC70" s="5085"/>
      <c r="AD70" s="5085"/>
      <c r="AE70" s="5085"/>
      <c r="AF70" s="5085"/>
      <c r="AG70" s="5085"/>
      <c r="AH70" s="5085"/>
      <c r="AI70" s="5085"/>
      <c r="AJ70" s="5085"/>
      <c r="AK70" s="5085"/>
      <c r="AL70" s="5085"/>
      <c r="AM70" s="5085"/>
      <c r="AN70" s="5085"/>
      <c r="AO70" s="5085"/>
      <c r="AP70" s="5085"/>
      <c r="AQ70" s="5085"/>
      <c r="AR70" s="5085"/>
      <c r="AS70" s="5085"/>
      <c r="AT70" s="5085"/>
      <c r="AU70" s="5085"/>
      <c r="AV70" s="5085"/>
      <c r="AW70" s="5085"/>
      <c r="AX70" s="5085"/>
      <c r="AY70" s="5085"/>
      <c r="AZ70" s="5085"/>
      <c r="BA70" s="5085"/>
      <c r="BB70" s="5085"/>
      <c r="BC70" s="5085"/>
      <c r="BD70" s="5085"/>
      <c r="BE70" s="5085"/>
      <c r="BF70" s="5085"/>
      <c r="BG70" s="5095"/>
      <c r="BH70" s="5095"/>
      <c r="BI70" s="3822"/>
      <c r="BJ70" s="3822"/>
      <c r="BK70" s="5092"/>
      <c r="BL70" s="5095"/>
      <c r="BM70" s="5095"/>
      <c r="BN70" s="5079"/>
      <c r="BO70" s="5079"/>
      <c r="BP70" s="5079"/>
      <c r="BQ70" s="5079"/>
      <c r="BR70" s="5082"/>
    </row>
    <row r="71" spans="1:70" s="2144" customFormat="1" ht="57" x14ac:dyDescent="0.2">
      <c r="A71" s="2164"/>
      <c r="B71" s="2165"/>
      <c r="C71" s="2166"/>
      <c r="D71" s="2165"/>
      <c r="E71" s="2165"/>
      <c r="F71" s="2166"/>
      <c r="G71" s="2171"/>
      <c r="H71" s="2165"/>
      <c r="I71" s="2166"/>
      <c r="J71" s="5111"/>
      <c r="K71" s="5088"/>
      <c r="L71" s="5085"/>
      <c r="M71" s="5085"/>
      <c r="N71" s="5151"/>
      <c r="O71" s="5085"/>
      <c r="P71" s="5085"/>
      <c r="Q71" s="5088"/>
      <c r="R71" s="5119"/>
      <c r="S71" s="5102"/>
      <c r="T71" s="5088"/>
      <c r="U71" s="5088"/>
      <c r="V71" s="2146" t="s">
        <v>1652</v>
      </c>
      <c r="W71" s="2172">
        <v>5000000</v>
      </c>
      <c r="X71" s="2142">
        <v>4667600</v>
      </c>
      <c r="Y71" s="2142">
        <v>4239600</v>
      </c>
      <c r="Z71" s="2143">
        <v>61</v>
      </c>
      <c r="AA71" s="5085"/>
      <c r="AB71" s="5085"/>
      <c r="AC71" s="5085"/>
      <c r="AD71" s="5085"/>
      <c r="AE71" s="5085"/>
      <c r="AF71" s="5085"/>
      <c r="AG71" s="5085"/>
      <c r="AH71" s="5085"/>
      <c r="AI71" s="5085"/>
      <c r="AJ71" s="5085"/>
      <c r="AK71" s="5085"/>
      <c r="AL71" s="5085"/>
      <c r="AM71" s="5085"/>
      <c r="AN71" s="5085"/>
      <c r="AO71" s="5085"/>
      <c r="AP71" s="5085"/>
      <c r="AQ71" s="5085"/>
      <c r="AR71" s="5085"/>
      <c r="AS71" s="5085"/>
      <c r="AT71" s="5085"/>
      <c r="AU71" s="5085"/>
      <c r="AV71" s="5085"/>
      <c r="AW71" s="5085"/>
      <c r="AX71" s="5085"/>
      <c r="AY71" s="5085"/>
      <c r="AZ71" s="5085"/>
      <c r="BA71" s="5085"/>
      <c r="BB71" s="5085"/>
      <c r="BC71" s="5085"/>
      <c r="BD71" s="5085"/>
      <c r="BE71" s="5085"/>
      <c r="BF71" s="5085"/>
      <c r="BG71" s="5095"/>
      <c r="BH71" s="5095"/>
      <c r="BI71" s="3822"/>
      <c r="BJ71" s="3822"/>
      <c r="BK71" s="5092"/>
      <c r="BL71" s="5095"/>
      <c r="BM71" s="5095"/>
      <c r="BN71" s="5079"/>
      <c r="BO71" s="5079"/>
      <c r="BP71" s="5079"/>
      <c r="BQ71" s="5079"/>
      <c r="BR71" s="5082"/>
    </row>
    <row r="72" spans="1:70" s="2144" customFormat="1" ht="59.25" customHeight="1" x14ac:dyDescent="0.2">
      <c r="A72" s="2164"/>
      <c r="B72" s="2165"/>
      <c r="C72" s="2166"/>
      <c r="D72" s="2165"/>
      <c r="E72" s="2165"/>
      <c r="F72" s="2166"/>
      <c r="G72" s="2171"/>
      <c r="H72" s="2165"/>
      <c r="I72" s="2166"/>
      <c r="J72" s="5111"/>
      <c r="K72" s="5088"/>
      <c r="L72" s="5085"/>
      <c r="M72" s="5085"/>
      <c r="N72" s="5151"/>
      <c r="O72" s="5085"/>
      <c r="P72" s="5085"/>
      <c r="Q72" s="5088"/>
      <c r="R72" s="5119"/>
      <c r="S72" s="5102"/>
      <c r="T72" s="5088"/>
      <c r="U72" s="5088"/>
      <c r="V72" s="2146" t="s">
        <v>1653</v>
      </c>
      <c r="W72" s="2172">
        <v>5000000</v>
      </c>
      <c r="X72" s="2142">
        <v>4667600</v>
      </c>
      <c r="Y72" s="2142">
        <v>4239600</v>
      </c>
      <c r="Z72" s="2143">
        <v>61</v>
      </c>
      <c r="AA72" s="5085"/>
      <c r="AB72" s="5085"/>
      <c r="AC72" s="5085"/>
      <c r="AD72" s="5085"/>
      <c r="AE72" s="5085"/>
      <c r="AF72" s="5085"/>
      <c r="AG72" s="5085"/>
      <c r="AH72" s="5085"/>
      <c r="AI72" s="5085"/>
      <c r="AJ72" s="5085"/>
      <c r="AK72" s="5085"/>
      <c r="AL72" s="5085"/>
      <c r="AM72" s="5085"/>
      <c r="AN72" s="5085"/>
      <c r="AO72" s="5085"/>
      <c r="AP72" s="5085"/>
      <c r="AQ72" s="5085"/>
      <c r="AR72" s="5085"/>
      <c r="AS72" s="5085"/>
      <c r="AT72" s="5085"/>
      <c r="AU72" s="5085"/>
      <c r="AV72" s="5085"/>
      <c r="AW72" s="5085"/>
      <c r="AX72" s="5085"/>
      <c r="AY72" s="5085"/>
      <c r="AZ72" s="5085"/>
      <c r="BA72" s="5085"/>
      <c r="BB72" s="5085"/>
      <c r="BC72" s="5085"/>
      <c r="BD72" s="5085"/>
      <c r="BE72" s="5085"/>
      <c r="BF72" s="5085"/>
      <c r="BG72" s="5095"/>
      <c r="BH72" s="5095"/>
      <c r="BI72" s="3822"/>
      <c r="BJ72" s="3822"/>
      <c r="BK72" s="5092"/>
      <c r="BL72" s="5095"/>
      <c r="BM72" s="5095"/>
      <c r="BN72" s="5079"/>
      <c r="BO72" s="5079"/>
      <c r="BP72" s="5079"/>
      <c r="BQ72" s="5079"/>
      <c r="BR72" s="5082"/>
    </row>
    <row r="73" spans="1:70" s="2144" customFormat="1" ht="68.25" customHeight="1" x14ac:dyDescent="0.2">
      <c r="A73" s="2164"/>
      <c r="B73" s="2165"/>
      <c r="C73" s="2166"/>
      <c r="D73" s="2165"/>
      <c r="E73" s="2165"/>
      <c r="F73" s="2166"/>
      <c r="G73" s="2171"/>
      <c r="H73" s="2165"/>
      <c r="I73" s="2166"/>
      <c r="J73" s="5111"/>
      <c r="K73" s="5088"/>
      <c r="L73" s="5085"/>
      <c r="M73" s="5085"/>
      <c r="N73" s="5151"/>
      <c r="O73" s="5085"/>
      <c r="P73" s="5085"/>
      <c r="Q73" s="5088"/>
      <c r="R73" s="5119"/>
      <c r="S73" s="5102"/>
      <c r="T73" s="5088"/>
      <c r="U73" s="5088"/>
      <c r="V73" s="2146" t="s">
        <v>1654</v>
      </c>
      <c r="W73" s="2172">
        <v>5000000</v>
      </c>
      <c r="X73" s="2142">
        <v>4667600</v>
      </c>
      <c r="Y73" s="2142">
        <v>4239600</v>
      </c>
      <c r="Z73" s="2143">
        <v>61</v>
      </c>
      <c r="AA73" s="5085"/>
      <c r="AB73" s="5085"/>
      <c r="AC73" s="5085"/>
      <c r="AD73" s="5085"/>
      <c r="AE73" s="5085"/>
      <c r="AF73" s="5085"/>
      <c r="AG73" s="5085"/>
      <c r="AH73" s="5085"/>
      <c r="AI73" s="5085"/>
      <c r="AJ73" s="5085"/>
      <c r="AK73" s="5085"/>
      <c r="AL73" s="5085"/>
      <c r="AM73" s="5085"/>
      <c r="AN73" s="5085"/>
      <c r="AO73" s="5085"/>
      <c r="AP73" s="5085"/>
      <c r="AQ73" s="5085"/>
      <c r="AR73" s="5085"/>
      <c r="AS73" s="5085"/>
      <c r="AT73" s="5085"/>
      <c r="AU73" s="5085"/>
      <c r="AV73" s="5085"/>
      <c r="AW73" s="5085"/>
      <c r="AX73" s="5085"/>
      <c r="AY73" s="5085"/>
      <c r="AZ73" s="5085"/>
      <c r="BA73" s="5085"/>
      <c r="BB73" s="5085"/>
      <c r="BC73" s="5085"/>
      <c r="BD73" s="5085"/>
      <c r="BE73" s="5085"/>
      <c r="BF73" s="5085"/>
      <c r="BG73" s="5095"/>
      <c r="BH73" s="5095"/>
      <c r="BI73" s="3822"/>
      <c r="BJ73" s="3822"/>
      <c r="BK73" s="5092"/>
      <c r="BL73" s="5095"/>
      <c r="BM73" s="5095"/>
      <c r="BN73" s="5079"/>
      <c r="BO73" s="5079"/>
      <c r="BP73" s="5079"/>
      <c r="BQ73" s="5079"/>
      <c r="BR73" s="5082"/>
    </row>
    <row r="74" spans="1:70" s="2144" customFormat="1" ht="52.5" customHeight="1" x14ac:dyDescent="0.2">
      <c r="A74" s="2164"/>
      <c r="B74" s="2165"/>
      <c r="C74" s="2166"/>
      <c r="D74" s="2165"/>
      <c r="E74" s="2165"/>
      <c r="F74" s="2166"/>
      <c r="G74" s="2171"/>
      <c r="H74" s="2165"/>
      <c r="I74" s="2166"/>
      <c r="J74" s="5111"/>
      <c r="K74" s="5088"/>
      <c r="L74" s="5085"/>
      <c r="M74" s="5085"/>
      <c r="N74" s="5151"/>
      <c r="O74" s="5085"/>
      <c r="P74" s="5085"/>
      <c r="Q74" s="5088"/>
      <c r="R74" s="5119"/>
      <c r="S74" s="5102"/>
      <c r="T74" s="5088"/>
      <c r="U74" s="5088"/>
      <c r="V74" s="2146" t="s">
        <v>1655</v>
      </c>
      <c r="W74" s="2172">
        <v>5000000</v>
      </c>
      <c r="X74" s="2142">
        <v>4667600</v>
      </c>
      <c r="Y74" s="2142">
        <v>4239600</v>
      </c>
      <c r="Z74" s="2143">
        <v>61</v>
      </c>
      <c r="AA74" s="5085"/>
      <c r="AB74" s="5085"/>
      <c r="AC74" s="5085"/>
      <c r="AD74" s="5085"/>
      <c r="AE74" s="5085"/>
      <c r="AF74" s="5085"/>
      <c r="AG74" s="5085"/>
      <c r="AH74" s="5085"/>
      <c r="AI74" s="5085"/>
      <c r="AJ74" s="5085"/>
      <c r="AK74" s="5085"/>
      <c r="AL74" s="5085"/>
      <c r="AM74" s="5085"/>
      <c r="AN74" s="5085"/>
      <c r="AO74" s="5085"/>
      <c r="AP74" s="5085"/>
      <c r="AQ74" s="5085"/>
      <c r="AR74" s="5085"/>
      <c r="AS74" s="5085"/>
      <c r="AT74" s="5085"/>
      <c r="AU74" s="5085"/>
      <c r="AV74" s="5085"/>
      <c r="AW74" s="5085"/>
      <c r="AX74" s="5085"/>
      <c r="AY74" s="5085"/>
      <c r="AZ74" s="5085"/>
      <c r="BA74" s="5085"/>
      <c r="BB74" s="5085"/>
      <c r="BC74" s="5085"/>
      <c r="BD74" s="5085"/>
      <c r="BE74" s="5085"/>
      <c r="BF74" s="5085"/>
      <c r="BG74" s="5095"/>
      <c r="BH74" s="5095"/>
      <c r="BI74" s="3822"/>
      <c r="BJ74" s="3822"/>
      <c r="BK74" s="5092"/>
      <c r="BL74" s="5095"/>
      <c r="BM74" s="5095"/>
      <c r="BN74" s="5079"/>
      <c r="BO74" s="5079"/>
      <c r="BP74" s="5079"/>
      <c r="BQ74" s="5079"/>
      <c r="BR74" s="5082"/>
    </row>
    <row r="75" spans="1:70" s="2144" customFormat="1" ht="60" customHeight="1" x14ac:dyDescent="0.2">
      <c r="A75" s="2164"/>
      <c r="B75" s="2165"/>
      <c r="C75" s="2166"/>
      <c r="D75" s="2165"/>
      <c r="E75" s="2165"/>
      <c r="F75" s="2166"/>
      <c r="G75" s="2171"/>
      <c r="H75" s="2165"/>
      <c r="I75" s="2166"/>
      <c r="J75" s="5111"/>
      <c r="K75" s="5088"/>
      <c r="L75" s="5085"/>
      <c r="M75" s="5085"/>
      <c r="N75" s="5151"/>
      <c r="O75" s="5085"/>
      <c r="P75" s="5085"/>
      <c r="Q75" s="5088"/>
      <c r="R75" s="5119"/>
      <c r="S75" s="5102"/>
      <c r="T75" s="5088"/>
      <c r="U75" s="5088"/>
      <c r="V75" s="2146" t="s">
        <v>1656</v>
      </c>
      <c r="W75" s="2172">
        <v>5000000</v>
      </c>
      <c r="X75" s="2142">
        <v>4667600</v>
      </c>
      <c r="Y75" s="2142">
        <v>4239600</v>
      </c>
      <c r="Z75" s="2143">
        <v>61</v>
      </c>
      <c r="AA75" s="5085"/>
      <c r="AB75" s="5085"/>
      <c r="AC75" s="5085"/>
      <c r="AD75" s="5085"/>
      <c r="AE75" s="5085"/>
      <c r="AF75" s="5085"/>
      <c r="AG75" s="5085"/>
      <c r="AH75" s="5085"/>
      <c r="AI75" s="5085"/>
      <c r="AJ75" s="5085"/>
      <c r="AK75" s="5085"/>
      <c r="AL75" s="5085"/>
      <c r="AM75" s="5085"/>
      <c r="AN75" s="5085"/>
      <c r="AO75" s="5085"/>
      <c r="AP75" s="5085"/>
      <c r="AQ75" s="5085"/>
      <c r="AR75" s="5085"/>
      <c r="AS75" s="5085"/>
      <c r="AT75" s="5085"/>
      <c r="AU75" s="5085"/>
      <c r="AV75" s="5085"/>
      <c r="AW75" s="5085"/>
      <c r="AX75" s="5085"/>
      <c r="AY75" s="5085"/>
      <c r="AZ75" s="5085"/>
      <c r="BA75" s="5085"/>
      <c r="BB75" s="5085"/>
      <c r="BC75" s="5085"/>
      <c r="BD75" s="5085"/>
      <c r="BE75" s="5085"/>
      <c r="BF75" s="5085"/>
      <c r="BG75" s="5095"/>
      <c r="BH75" s="5095"/>
      <c r="BI75" s="3822"/>
      <c r="BJ75" s="3822"/>
      <c r="BK75" s="5092"/>
      <c r="BL75" s="5095"/>
      <c r="BM75" s="5095"/>
      <c r="BN75" s="5079"/>
      <c r="BO75" s="5079"/>
      <c r="BP75" s="5079"/>
      <c r="BQ75" s="5079"/>
      <c r="BR75" s="5082"/>
    </row>
    <row r="76" spans="1:70" s="2144" customFormat="1" ht="57" x14ac:dyDescent="0.2">
      <c r="A76" s="2164"/>
      <c r="B76" s="2165"/>
      <c r="C76" s="2166"/>
      <c r="D76" s="2165"/>
      <c r="E76" s="2165"/>
      <c r="F76" s="2166"/>
      <c r="G76" s="2171"/>
      <c r="H76" s="2165"/>
      <c r="I76" s="2166"/>
      <c r="J76" s="5111"/>
      <c r="K76" s="5088"/>
      <c r="L76" s="5085"/>
      <c r="M76" s="5085"/>
      <c r="N76" s="5151"/>
      <c r="O76" s="5085"/>
      <c r="P76" s="5085"/>
      <c r="Q76" s="5088"/>
      <c r="R76" s="5119"/>
      <c r="S76" s="5102"/>
      <c r="T76" s="5088"/>
      <c r="U76" s="5088"/>
      <c r="V76" s="2146" t="s">
        <v>1650</v>
      </c>
      <c r="W76" s="2172">
        <v>5000000</v>
      </c>
      <c r="X76" s="2142">
        <v>4667600</v>
      </c>
      <c r="Y76" s="2142">
        <v>4239600</v>
      </c>
      <c r="Z76" s="2143">
        <v>61</v>
      </c>
      <c r="AA76" s="5085"/>
      <c r="AB76" s="5085"/>
      <c r="AC76" s="5085"/>
      <c r="AD76" s="5085"/>
      <c r="AE76" s="5085"/>
      <c r="AF76" s="5085"/>
      <c r="AG76" s="5085"/>
      <c r="AH76" s="5085"/>
      <c r="AI76" s="5085"/>
      <c r="AJ76" s="5085"/>
      <c r="AK76" s="5085"/>
      <c r="AL76" s="5085"/>
      <c r="AM76" s="5085"/>
      <c r="AN76" s="5085"/>
      <c r="AO76" s="5085"/>
      <c r="AP76" s="5085"/>
      <c r="AQ76" s="5085"/>
      <c r="AR76" s="5085"/>
      <c r="AS76" s="5085"/>
      <c r="AT76" s="5085"/>
      <c r="AU76" s="5085"/>
      <c r="AV76" s="5085"/>
      <c r="AW76" s="5085"/>
      <c r="AX76" s="5085"/>
      <c r="AY76" s="5085"/>
      <c r="AZ76" s="5085"/>
      <c r="BA76" s="5085"/>
      <c r="BB76" s="5085"/>
      <c r="BC76" s="5085"/>
      <c r="BD76" s="5085"/>
      <c r="BE76" s="5085"/>
      <c r="BF76" s="5085"/>
      <c r="BG76" s="5095"/>
      <c r="BH76" s="5095"/>
      <c r="BI76" s="3822"/>
      <c r="BJ76" s="3822"/>
      <c r="BK76" s="5092"/>
      <c r="BL76" s="5095"/>
      <c r="BM76" s="5095"/>
      <c r="BN76" s="5079"/>
      <c r="BO76" s="5079"/>
      <c r="BP76" s="5079"/>
      <c r="BQ76" s="5079"/>
      <c r="BR76" s="5082"/>
    </row>
    <row r="77" spans="1:70" s="2144" customFormat="1" ht="57" customHeight="1" x14ac:dyDescent="0.2">
      <c r="A77" s="2164"/>
      <c r="B77" s="2165"/>
      <c r="C77" s="2166"/>
      <c r="D77" s="2165"/>
      <c r="E77" s="2165"/>
      <c r="F77" s="2166"/>
      <c r="G77" s="2171"/>
      <c r="H77" s="2165"/>
      <c r="I77" s="2166"/>
      <c r="J77" s="5111"/>
      <c r="K77" s="5088"/>
      <c r="L77" s="5085"/>
      <c r="M77" s="5085"/>
      <c r="N77" s="5151"/>
      <c r="O77" s="5085"/>
      <c r="P77" s="5085"/>
      <c r="Q77" s="5088"/>
      <c r="R77" s="5119"/>
      <c r="S77" s="5102"/>
      <c r="T77" s="5088"/>
      <c r="U77" s="5088"/>
      <c r="V77" s="2146" t="s">
        <v>1649</v>
      </c>
      <c r="W77" s="2172">
        <v>5000000</v>
      </c>
      <c r="X77" s="2142">
        <v>4667600</v>
      </c>
      <c r="Y77" s="2142">
        <v>4239600</v>
      </c>
      <c r="Z77" s="2143">
        <v>61</v>
      </c>
      <c r="AA77" s="5085"/>
      <c r="AB77" s="5085"/>
      <c r="AC77" s="5085"/>
      <c r="AD77" s="5085"/>
      <c r="AE77" s="5085"/>
      <c r="AF77" s="5085"/>
      <c r="AG77" s="5085"/>
      <c r="AH77" s="5085"/>
      <c r="AI77" s="5085"/>
      <c r="AJ77" s="5085"/>
      <c r="AK77" s="5085"/>
      <c r="AL77" s="5085"/>
      <c r="AM77" s="5085"/>
      <c r="AN77" s="5085"/>
      <c r="AO77" s="5085"/>
      <c r="AP77" s="5085"/>
      <c r="AQ77" s="5085"/>
      <c r="AR77" s="5085"/>
      <c r="AS77" s="5085"/>
      <c r="AT77" s="5085"/>
      <c r="AU77" s="5085"/>
      <c r="AV77" s="5085"/>
      <c r="AW77" s="5085"/>
      <c r="AX77" s="5085"/>
      <c r="AY77" s="5085"/>
      <c r="AZ77" s="5085"/>
      <c r="BA77" s="5085"/>
      <c r="BB77" s="5085"/>
      <c r="BC77" s="5085"/>
      <c r="BD77" s="5085"/>
      <c r="BE77" s="5085"/>
      <c r="BF77" s="5085"/>
      <c r="BG77" s="5095"/>
      <c r="BH77" s="5095"/>
      <c r="BI77" s="3822"/>
      <c r="BJ77" s="3822"/>
      <c r="BK77" s="5092"/>
      <c r="BL77" s="5095"/>
      <c r="BM77" s="5095"/>
      <c r="BN77" s="5079"/>
      <c r="BO77" s="5079"/>
      <c r="BP77" s="5079"/>
      <c r="BQ77" s="5079"/>
      <c r="BR77" s="5082"/>
    </row>
    <row r="78" spans="1:70" s="2144" customFormat="1" ht="57" customHeight="1" x14ac:dyDescent="0.2">
      <c r="A78" s="2164"/>
      <c r="B78" s="2165"/>
      <c r="C78" s="2166"/>
      <c r="D78" s="2165"/>
      <c r="E78" s="2165"/>
      <c r="F78" s="2166"/>
      <c r="G78" s="2171"/>
      <c r="H78" s="2165"/>
      <c r="I78" s="2166"/>
      <c r="J78" s="5112"/>
      <c r="K78" s="5089"/>
      <c r="L78" s="5086"/>
      <c r="M78" s="5086"/>
      <c r="N78" s="5151"/>
      <c r="O78" s="5085"/>
      <c r="P78" s="5085"/>
      <c r="Q78" s="5088"/>
      <c r="R78" s="5120"/>
      <c r="S78" s="5102"/>
      <c r="T78" s="5088"/>
      <c r="U78" s="5088"/>
      <c r="V78" s="2146" t="s">
        <v>1657</v>
      </c>
      <c r="W78" s="2170">
        <f>5000000+6000000</f>
        <v>11000000</v>
      </c>
      <c r="X78" s="2142">
        <v>9335400</v>
      </c>
      <c r="Y78" s="2142">
        <v>4240400</v>
      </c>
      <c r="Z78" s="2143">
        <v>61</v>
      </c>
      <c r="AA78" s="5085"/>
      <c r="AB78" s="5085"/>
      <c r="AC78" s="5085"/>
      <c r="AD78" s="5085"/>
      <c r="AE78" s="5085"/>
      <c r="AF78" s="5085"/>
      <c r="AG78" s="5085"/>
      <c r="AH78" s="5085"/>
      <c r="AI78" s="5085"/>
      <c r="AJ78" s="5085"/>
      <c r="AK78" s="5085"/>
      <c r="AL78" s="5085"/>
      <c r="AM78" s="5085"/>
      <c r="AN78" s="5085"/>
      <c r="AO78" s="5085"/>
      <c r="AP78" s="5085"/>
      <c r="AQ78" s="5085"/>
      <c r="AR78" s="5085"/>
      <c r="AS78" s="5085"/>
      <c r="AT78" s="5085"/>
      <c r="AU78" s="5085"/>
      <c r="AV78" s="5085"/>
      <c r="AW78" s="5085"/>
      <c r="AX78" s="5085"/>
      <c r="AY78" s="5085"/>
      <c r="AZ78" s="5085"/>
      <c r="BA78" s="5085"/>
      <c r="BB78" s="5085"/>
      <c r="BC78" s="5085"/>
      <c r="BD78" s="5085"/>
      <c r="BE78" s="5085"/>
      <c r="BF78" s="5085"/>
      <c r="BG78" s="5095"/>
      <c r="BH78" s="5095"/>
      <c r="BI78" s="3822"/>
      <c r="BJ78" s="3822"/>
      <c r="BK78" s="5092"/>
      <c r="BL78" s="5095"/>
      <c r="BM78" s="5095"/>
      <c r="BN78" s="5079"/>
      <c r="BO78" s="5079"/>
      <c r="BP78" s="5079"/>
      <c r="BQ78" s="5079"/>
      <c r="BR78" s="5082"/>
    </row>
    <row r="79" spans="1:70" s="2144" customFormat="1" ht="103.5" customHeight="1" x14ac:dyDescent="0.2">
      <c r="A79" s="2164"/>
      <c r="B79" s="2165"/>
      <c r="C79" s="2166"/>
      <c r="D79" s="2165"/>
      <c r="E79" s="2165"/>
      <c r="F79" s="2166"/>
      <c r="G79" s="2171"/>
      <c r="H79" s="2165"/>
      <c r="I79" s="2166"/>
      <c r="J79" s="5110">
        <v>135</v>
      </c>
      <c r="K79" s="5087" t="s">
        <v>1658</v>
      </c>
      <c r="L79" s="5084" t="s">
        <v>1581</v>
      </c>
      <c r="M79" s="5084">
        <v>12</v>
      </c>
      <c r="N79" s="5151">
        <v>9</v>
      </c>
      <c r="O79" s="5085"/>
      <c r="P79" s="5085"/>
      <c r="Q79" s="5088"/>
      <c r="R79" s="5118">
        <f>SUM(W79:W83)/S56</f>
        <v>0.19047619047619047</v>
      </c>
      <c r="S79" s="5102"/>
      <c r="T79" s="5088"/>
      <c r="U79" s="5088"/>
      <c r="V79" s="2146" t="s">
        <v>1659</v>
      </c>
      <c r="W79" s="2172">
        <v>8000000</v>
      </c>
      <c r="X79" s="2142">
        <v>8000000</v>
      </c>
      <c r="Y79" s="2142">
        <v>3357600</v>
      </c>
      <c r="Z79" s="2143">
        <v>61</v>
      </c>
      <c r="AA79" s="5085"/>
      <c r="AB79" s="5085"/>
      <c r="AC79" s="5085"/>
      <c r="AD79" s="5085"/>
      <c r="AE79" s="5085"/>
      <c r="AF79" s="5085"/>
      <c r="AG79" s="5085"/>
      <c r="AH79" s="5085"/>
      <c r="AI79" s="5085"/>
      <c r="AJ79" s="5085"/>
      <c r="AK79" s="5085"/>
      <c r="AL79" s="5085"/>
      <c r="AM79" s="5085"/>
      <c r="AN79" s="5085"/>
      <c r="AO79" s="5085"/>
      <c r="AP79" s="5085"/>
      <c r="AQ79" s="5085"/>
      <c r="AR79" s="5085"/>
      <c r="AS79" s="5085"/>
      <c r="AT79" s="5085"/>
      <c r="AU79" s="5085"/>
      <c r="AV79" s="5085"/>
      <c r="AW79" s="5085"/>
      <c r="AX79" s="5085"/>
      <c r="AY79" s="5085"/>
      <c r="AZ79" s="5085"/>
      <c r="BA79" s="5085"/>
      <c r="BB79" s="5085"/>
      <c r="BC79" s="5085"/>
      <c r="BD79" s="5085"/>
      <c r="BE79" s="5085"/>
      <c r="BF79" s="5085"/>
      <c r="BG79" s="5095"/>
      <c r="BH79" s="5095"/>
      <c r="BI79" s="3822"/>
      <c r="BJ79" s="3822"/>
      <c r="BK79" s="5092"/>
      <c r="BL79" s="5095"/>
      <c r="BM79" s="5095"/>
      <c r="BN79" s="5079"/>
      <c r="BO79" s="5079"/>
      <c r="BP79" s="5079"/>
      <c r="BQ79" s="5079"/>
      <c r="BR79" s="5082"/>
    </row>
    <row r="80" spans="1:70" s="2144" customFormat="1" ht="96" customHeight="1" x14ac:dyDescent="0.2">
      <c r="A80" s="2164"/>
      <c r="B80" s="2165"/>
      <c r="C80" s="2166"/>
      <c r="D80" s="2165"/>
      <c r="E80" s="2165"/>
      <c r="F80" s="2166"/>
      <c r="G80" s="2171"/>
      <c r="H80" s="2165"/>
      <c r="I80" s="2166"/>
      <c r="J80" s="5111"/>
      <c r="K80" s="5088"/>
      <c r="L80" s="5085"/>
      <c r="M80" s="5085"/>
      <c r="N80" s="5151"/>
      <c r="O80" s="5085"/>
      <c r="P80" s="5085"/>
      <c r="Q80" s="5088"/>
      <c r="R80" s="5119"/>
      <c r="S80" s="5102"/>
      <c r="T80" s="5088"/>
      <c r="U80" s="5088"/>
      <c r="V80" s="2146" t="s">
        <v>1660</v>
      </c>
      <c r="W80" s="2172">
        <v>10000000</v>
      </c>
      <c r="X80" s="2142">
        <v>10000000</v>
      </c>
      <c r="Y80" s="2142">
        <v>3357600</v>
      </c>
      <c r="Z80" s="2143">
        <v>61</v>
      </c>
      <c r="AA80" s="5085"/>
      <c r="AB80" s="5085"/>
      <c r="AC80" s="5085"/>
      <c r="AD80" s="5085"/>
      <c r="AE80" s="5085"/>
      <c r="AF80" s="5085"/>
      <c r="AG80" s="5085"/>
      <c r="AH80" s="5085"/>
      <c r="AI80" s="5085"/>
      <c r="AJ80" s="5085"/>
      <c r="AK80" s="5085"/>
      <c r="AL80" s="5085"/>
      <c r="AM80" s="5085"/>
      <c r="AN80" s="5085"/>
      <c r="AO80" s="5085"/>
      <c r="AP80" s="5085"/>
      <c r="AQ80" s="5085"/>
      <c r="AR80" s="5085"/>
      <c r="AS80" s="5085"/>
      <c r="AT80" s="5085"/>
      <c r="AU80" s="5085"/>
      <c r="AV80" s="5085"/>
      <c r="AW80" s="5085"/>
      <c r="AX80" s="5085"/>
      <c r="AY80" s="5085"/>
      <c r="AZ80" s="5085"/>
      <c r="BA80" s="5085"/>
      <c r="BB80" s="5085"/>
      <c r="BC80" s="5085"/>
      <c r="BD80" s="5085"/>
      <c r="BE80" s="5085"/>
      <c r="BF80" s="5085"/>
      <c r="BG80" s="5095"/>
      <c r="BH80" s="5095"/>
      <c r="BI80" s="3822"/>
      <c r="BJ80" s="3822"/>
      <c r="BK80" s="5092"/>
      <c r="BL80" s="5095"/>
      <c r="BM80" s="5095"/>
      <c r="BN80" s="5079"/>
      <c r="BO80" s="5079"/>
      <c r="BP80" s="5079"/>
      <c r="BQ80" s="5079"/>
      <c r="BR80" s="5082"/>
    </row>
    <row r="81" spans="1:70" s="2144" customFormat="1" ht="72" customHeight="1" x14ac:dyDescent="0.2">
      <c r="A81" s="2164"/>
      <c r="B81" s="2165"/>
      <c r="C81" s="2166"/>
      <c r="D81" s="2165"/>
      <c r="E81" s="2165"/>
      <c r="F81" s="2166"/>
      <c r="G81" s="2171"/>
      <c r="H81" s="2165"/>
      <c r="I81" s="2166"/>
      <c r="J81" s="5111"/>
      <c r="K81" s="5088"/>
      <c r="L81" s="5085"/>
      <c r="M81" s="5085"/>
      <c r="N81" s="5151"/>
      <c r="O81" s="5085"/>
      <c r="P81" s="5085"/>
      <c r="Q81" s="5088"/>
      <c r="R81" s="5119"/>
      <c r="S81" s="5102"/>
      <c r="T81" s="5088"/>
      <c r="U81" s="5088"/>
      <c r="V81" s="2146" t="s">
        <v>1661</v>
      </c>
      <c r="W81" s="2172">
        <v>4000000</v>
      </c>
      <c r="X81" s="2142">
        <v>4000000</v>
      </c>
      <c r="Y81" s="2142">
        <v>3357600</v>
      </c>
      <c r="Z81" s="2143">
        <v>61</v>
      </c>
      <c r="AA81" s="5085"/>
      <c r="AB81" s="5085"/>
      <c r="AC81" s="5085"/>
      <c r="AD81" s="5085"/>
      <c r="AE81" s="5085"/>
      <c r="AF81" s="5085"/>
      <c r="AG81" s="5085"/>
      <c r="AH81" s="5085"/>
      <c r="AI81" s="5085"/>
      <c r="AJ81" s="5085"/>
      <c r="AK81" s="5085"/>
      <c r="AL81" s="5085"/>
      <c r="AM81" s="5085"/>
      <c r="AN81" s="5085"/>
      <c r="AO81" s="5085"/>
      <c r="AP81" s="5085"/>
      <c r="AQ81" s="5085"/>
      <c r="AR81" s="5085"/>
      <c r="AS81" s="5085"/>
      <c r="AT81" s="5085"/>
      <c r="AU81" s="5085"/>
      <c r="AV81" s="5085"/>
      <c r="AW81" s="5085"/>
      <c r="AX81" s="5085"/>
      <c r="AY81" s="5085"/>
      <c r="AZ81" s="5085"/>
      <c r="BA81" s="5085"/>
      <c r="BB81" s="5085"/>
      <c r="BC81" s="5085"/>
      <c r="BD81" s="5085"/>
      <c r="BE81" s="5085"/>
      <c r="BF81" s="5085"/>
      <c r="BG81" s="5095"/>
      <c r="BH81" s="5095"/>
      <c r="BI81" s="3822"/>
      <c r="BJ81" s="3822"/>
      <c r="BK81" s="5092"/>
      <c r="BL81" s="5095"/>
      <c r="BM81" s="5095"/>
      <c r="BN81" s="5079"/>
      <c r="BO81" s="5079"/>
      <c r="BP81" s="5079"/>
      <c r="BQ81" s="5079"/>
      <c r="BR81" s="5082"/>
    </row>
    <row r="82" spans="1:70" s="2144" customFormat="1" ht="70.5" customHeight="1" x14ac:dyDescent="0.2">
      <c r="A82" s="2164"/>
      <c r="B82" s="2165"/>
      <c r="C82" s="2166"/>
      <c r="D82" s="2165"/>
      <c r="E82" s="2165"/>
      <c r="F82" s="2166"/>
      <c r="G82" s="2171"/>
      <c r="H82" s="2165"/>
      <c r="I82" s="2166"/>
      <c r="J82" s="5111"/>
      <c r="K82" s="5088"/>
      <c r="L82" s="5085"/>
      <c r="M82" s="5085"/>
      <c r="N82" s="5151"/>
      <c r="O82" s="5085"/>
      <c r="P82" s="5085"/>
      <c r="Q82" s="5088"/>
      <c r="R82" s="5119"/>
      <c r="S82" s="5102"/>
      <c r="T82" s="5088"/>
      <c r="U82" s="5088"/>
      <c r="V82" s="2146" t="s">
        <v>1662</v>
      </c>
      <c r="W82" s="2172">
        <v>6000000</v>
      </c>
      <c r="X82" s="2142">
        <v>6000000</v>
      </c>
      <c r="Y82" s="2142">
        <v>3357600</v>
      </c>
      <c r="Z82" s="2143">
        <v>61</v>
      </c>
      <c r="AA82" s="5085"/>
      <c r="AB82" s="5085"/>
      <c r="AC82" s="5085"/>
      <c r="AD82" s="5085"/>
      <c r="AE82" s="5085"/>
      <c r="AF82" s="5085"/>
      <c r="AG82" s="5085"/>
      <c r="AH82" s="5085"/>
      <c r="AI82" s="5085"/>
      <c r="AJ82" s="5085"/>
      <c r="AK82" s="5085"/>
      <c r="AL82" s="5085"/>
      <c r="AM82" s="5085"/>
      <c r="AN82" s="5085"/>
      <c r="AO82" s="5085"/>
      <c r="AP82" s="5085"/>
      <c r="AQ82" s="5085"/>
      <c r="AR82" s="5085"/>
      <c r="AS82" s="5085"/>
      <c r="AT82" s="5085"/>
      <c r="AU82" s="5085"/>
      <c r="AV82" s="5085"/>
      <c r="AW82" s="5085"/>
      <c r="AX82" s="5085"/>
      <c r="AY82" s="5085"/>
      <c r="AZ82" s="5085"/>
      <c r="BA82" s="5085"/>
      <c r="BB82" s="5085"/>
      <c r="BC82" s="5085"/>
      <c r="BD82" s="5085"/>
      <c r="BE82" s="5085"/>
      <c r="BF82" s="5085"/>
      <c r="BG82" s="5095"/>
      <c r="BH82" s="5095"/>
      <c r="BI82" s="3822"/>
      <c r="BJ82" s="3822"/>
      <c r="BK82" s="5092"/>
      <c r="BL82" s="5095"/>
      <c r="BM82" s="5095"/>
      <c r="BN82" s="5079"/>
      <c r="BO82" s="5079"/>
      <c r="BP82" s="5079"/>
      <c r="BQ82" s="5079"/>
      <c r="BR82" s="5082"/>
    </row>
    <row r="83" spans="1:70" s="2144" customFormat="1" ht="67.5" customHeight="1" x14ac:dyDescent="0.2">
      <c r="A83" s="2164"/>
      <c r="B83" s="2165"/>
      <c r="C83" s="2166"/>
      <c r="D83" s="2165"/>
      <c r="E83" s="2165"/>
      <c r="F83" s="2166"/>
      <c r="G83" s="2173"/>
      <c r="H83" s="2174"/>
      <c r="I83" s="2175"/>
      <c r="J83" s="5112"/>
      <c r="K83" s="5089"/>
      <c r="L83" s="5086"/>
      <c r="M83" s="5086"/>
      <c r="N83" s="5151"/>
      <c r="O83" s="5086"/>
      <c r="P83" s="5086"/>
      <c r="Q83" s="5089"/>
      <c r="R83" s="5120"/>
      <c r="S83" s="5121"/>
      <c r="T83" s="5089"/>
      <c r="U83" s="5089"/>
      <c r="V83" s="2146" t="s">
        <v>1663</v>
      </c>
      <c r="W83" s="2172">
        <v>4000000</v>
      </c>
      <c r="X83" s="2142">
        <v>4000000</v>
      </c>
      <c r="Y83" s="2142">
        <v>3357600</v>
      </c>
      <c r="Z83" s="2143">
        <v>61</v>
      </c>
      <c r="AA83" s="5086"/>
      <c r="AB83" s="5086"/>
      <c r="AC83" s="5086"/>
      <c r="AD83" s="5086"/>
      <c r="AE83" s="5086"/>
      <c r="AF83" s="5086"/>
      <c r="AG83" s="5086"/>
      <c r="AH83" s="5086"/>
      <c r="AI83" s="5086"/>
      <c r="AJ83" s="5086"/>
      <c r="AK83" s="5086"/>
      <c r="AL83" s="5086"/>
      <c r="AM83" s="5086"/>
      <c r="AN83" s="5086"/>
      <c r="AO83" s="5086"/>
      <c r="AP83" s="5086"/>
      <c r="AQ83" s="5086"/>
      <c r="AR83" s="5086"/>
      <c r="AS83" s="5086"/>
      <c r="AT83" s="5086"/>
      <c r="AU83" s="5086"/>
      <c r="AV83" s="5086"/>
      <c r="AW83" s="5086"/>
      <c r="AX83" s="5086"/>
      <c r="AY83" s="5086"/>
      <c r="AZ83" s="5086"/>
      <c r="BA83" s="5086"/>
      <c r="BB83" s="5086"/>
      <c r="BC83" s="5086"/>
      <c r="BD83" s="5086"/>
      <c r="BE83" s="5086"/>
      <c r="BF83" s="5086"/>
      <c r="BG83" s="5103"/>
      <c r="BH83" s="5103"/>
      <c r="BI83" s="3823"/>
      <c r="BJ83" s="3823"/>
      <c r="BK83" s="5109"/>
      <c r="BL83" s="5103"/>
      <c r="BM83" s="5103"/>
      <c r="BN83" s="5117"/>
      <c r="BO83" s="5117"/>
      <c r="BP83" s="5117"/>
      <c r="BQ83" s="5117"/>
      <c r="BR83" s="5098"/>
    </row>
    <row r="84" spans="1:70" ht="33" customHeight="1" x14ac:dyDescent="0.2">
      <c r="A84" s="2122"/>
      <c r="B84" s="2123"/>
      <c r="C84" s="2124"/>
      <c r="D84" s="2123"/>
      <c r="E84" s="2123"/>
      <c r="F84" s="2124"/>
      <c r="G84" s="2158">
        <v>38</v>
      </c>
      <c r="H84" s="2128" t="s">
        <v>1664</v>
      </c>
      <c r="I84" s="2128"/>
      <c r="J84" s="2128"/>
      <c r="K84" s="2129"/>
      <c r="L84" s="2128"/>
      <c r="M84" s="2128"/>
      <c r="N84" s="2128"/>
      <c r="O84" s="2130"/>
      <c r="P84" s="2128"/>
      <c r="Q84" s="2129"/>
      <c r="R84" s="2128"/>
      <c r="S84" s="2159"/>
      <c r="T84" s="2128"/>
      <c r="U84" s="2129"/>
      <c r="V84" s="2129"/>
      <c r="W84" s="2163"/>
      <c r="X84" s="2163"/>
      <c r="Y84" s="2163"/>
      <c r="Z84" s="2161"/>
      <c r="AA84" s="2130"/>
      <c r="AB84" s="2130"/>
      <c r="AC84" s="2130"/>
      <c r="AD84" s="2130"/>
      <c r="AE84" s="2130"/>
      <c r="AF84" s="2130"/>
      <c r="AG84" s="2130"/>
      <c r="AH84" s="2130"/>
      <c r="AI84" s="2130"/>
      <c r="AJ84" s="2130"/>
      <c r="AK84" s="2130"/>
      <c r="AL84" s="2130"/>
      <c r="AM84" s="2130"/>
      <c r="AN84" s="2130"/>
      <c r="AO84" s="2130"/>
      <c r="AP84" s="2130"/>
      <c r="AQ84" s="2130"/>
      <c r="AR84" s="2130"/>
      <c r="AS84" s="2130"/>
      <c r="AT84" s="2130"/>
      <c r="AU84" s="2130"/>
      <c r="AV84" s="2130"/>
      <c r="AW84" s="2130"/>
      <c r="AX84" s="2130"/>
      <c r="AY84" s="2130"/>
      <c r="AZ84" s="2130"/>
      <c r="BA84" s="2130"/>
      <c r="BB84" s="2130"/>
      <c r="BC84" s="2130"/>
      <c r="BD84" s="2130"/>
      <c r="BE84" s="2130"/>
      <c r="BF84" s="2130"/>
      <c r="BG84" s="2130"/>
      <c r="BH84" s="2130"/>
      <c r="BI84" s="2130"/>
      <c r="BJ84" s="2130"/>
      <c r="BK84" s="2130"/>
      <c r="BL84" s="2130"/>
      <c r="BM84" s="2130"/>
      <c r="BN84" s="2128"/>
      <c r="BO84" s="2128"/>
      <c r="BP84" s="2128"/>
      <c r="BQ84" s="2128"/>
      <c r="BR84" s="2135"/>
    </row>
    <row r="85" spans="1:70" s="2144" customFormat="1" ht="34.5" customHeight="1" x14ac:dyDescent="0.2">
      <c r="A85" s="2136"/>
      <c r="B85" s="2137"/>
      <c r="C85" s="2138"/>
      <c r="D85" s="2137"/>
      <c r="E85" s="2137"/>
      <c r="F85" s="2138"/>
      <c r="G85" s="2139"/>
      <c r="H85" s="2140"/>
      <c r="I85" s="2141"/>
      <c r="J85" s="5110">
        <v>136</v>
      </c>
      <c r="K85" s="5087" t="s">
        <v>1665</v>
      </c>
      <c r="L85" s="5084" t="s">
        <v>1581</v>
      </c>
      <c r="M85" s="5084">
        <v>12</v>
      </c>
      <c r="N85" s="5151">
        <v>9</v>
      </c>
      <c r="O85" s="5084" t="s">
        <v>1666</v>
      </c>
      <c r="P85" s="5084" t="s">
        <v>1667</v>
      </c>
      <c r="Q85" s="5087" t="s">
        <v>1668</v>
      </c>
      <c r="R85" s="5118">
        <f>SUM(W85:W95)/S85</f>
        <v>0.39130434782608697</v>
      </c>
      <c r="S85" s="5101">
        <f>SUM(W85:W105)</f>
        <v>138000000</v>
      </c>
      <c r="T85" s="5087" t="s">
        <v>1669</v>
      </c>
      <c r="U85" s="5087" t="s">
        <v>1670</v>
      </c>
      <c r="V85" s="5087" t="s">
        <v>1671</v>
      </c>
      <c r="W85" s="2170">
        <v>3000000</v>
      </c>
      <c r="X85" s="2142">
        <v>2632600</v>
      </c>
      <c r="Y85" s="2142">
        <v>1011200</v>
      </c>
      <c r="Z85" s="2143">
        <v>61</v>
      </c>
      <c r="AA85" s="5084" t="s">
        <v>1637</v>
      </c>
      <c r="AB85" s="5084">
        <v>292684</v>
      </c>
      <c r="AC85" s="5084">
        <v>146342</v>
      </c>
      <c r="AD85" s="5084">
        <v>282326</v>
      </c>
      <c r="AE85" s="5084">
        <v>141163</v>
      </c>
      <c r="AF85" s="5084">
        <v>135912</v>
      </c>
      <c r="AG85" s="5084">
        <v>67956</v>
      </c>
      <c r="AH85" s="5084">
        <v>45122</v>
      </c>
      <c r="AI85" s="5084">
        <v>22561</v>
      </c>
      <c r="AJ85" s="5084">
        <f>SUM(AJ56)</f>
        <v>307101</v>
      </c>
      <c r="AK85" s="5084">
        <v>153550.5</v>
      </c>
      <c r="AL85" s="5084">
        <f>SUM(AL56)</f>
        <v>86875</v>
      </c>
      <c r="AM85" s="5084">
        <v>43438</v>
      </c>
      <c r="AN85" s="5084">
        <f>SUM(AN56)</f>
        <v>2145</v>
      </c>
      <c r="AO85" s="5084">
        <v>1073</v>
      </c>
      <c r="AP85" s="5084">
        <v>12718</v>
      </c>
      <c r="AQ85" s="5084">
        <v>6359</v>
      </c>
      <c r="AR85" s="5084">
        <v>26</v>
      </c>
      <c r="AS85" s="5084">
        <v>13</v>
      </c>
      <c r="AT85" s="5084">
        <v>37</v>
      </c>
      <c r="AU85" s="5084">
        <v>18.5</v>
      </c>
      <c r="AV85" s="5084" t="s">
        <v>1588</v>
      </c>
      <c r="AW85" s="5084" t="s">
        <v>1588</v>
      </c>
      <c r="AX85" s="5084" t="s">
        <v>1588</v>
      </c>
      <c r="AY85" s="5084" t="s">
        <v>1588</v>
      </c>
      <c r="AZ85" s="5084">
        <v>53164</v>
      </c>
      <c r="BA85" s="5084">
        <v>26582</v>
      </c>
      <c r="BB85" s="5084">
        <v>16982</v>
      </c>
      <c r="BC85" s="5084">
        <v>8491</v>
      </c>
      <c r="BD85" s="5084">
        <v>60013</v>
      </c>
      <c r="BE85" s="5084">
        <v>30006.5</v>
      </c>
      <c r="BF85" s="5084">
        <f>+AB85+AD85+AF85+AH85+AJ85+AL85+AN85+AP85+AR85+AT85+AZ85+BB85+BD85</f>
        <v>1295105</v>
      </c>
      <c r="BG85" s="5084">
        <f>+BE85+BC85+BA85+AU85+AS85+AQ85+AO85+AM85+AK85+AI85+AG85+AE85+AC85</f>
        <v>647553.5</v>
      </c>
      <c r="BH85" s="5094">
        <v>10</v>
      </c>
      <c r="BI85" s="3821">
        <f>SUM(X85:X105)</f>
        <v>130834000</v>
      </c>
      <c r="BJ85" s="3821">
        <f>SUM(Y85:Y105)</f>
        <v>93748000</v>
      </c>
      <c r="BK85" s="5091">
        <f>+BJ85/BI85</f>
        <v>0.71654157176269162</v>
      </c>
      <c r="BL85" s="5094" t="s">
        <v>1589</v>
      </c>
      <c r="BM85" s="5094" t="s">
        <v>1590</v>
      </c>
      <c r="BN85" s="5078">
        <v>43467</v>
      </c>
      <c r="BO85" s="5078">
        <v>43830</v>
      </c>
      <c r="BP85" s="5078">
        <v>43830</v>
      </c>
      <c r="BQ85" s="5078">
        <v>43830</v>
      </c>
      <c r="BR85" s="5081" t="s">
        <v>1591</v>
      </c>
    </row>
    <row r="86" spans="1:70" s="2144" customFormat="1" ht="39" customHeight="1" x14ac:dyDescent="0.2">
      <c r="A86" s="2136"/>
      <c r="B86" s="2137"/>
      <c r="C86" s="2138"/>
      <c r="D86" s="2137"/>
      <c r="E86" s="2137"/>
      <c r="F86" s="2138"/>
      <c r="G86" s="2145"/>
      <c r="H86" s="2137"/>
      <c r="I86" s="2138"/>
      <c r="J86" s="5111"/>
      <c r="K86" s="5088"/>
      <c r="L86" s="5085"/>
      <c r="M86" s="5085"/>
      <c r="N86" s="5151"/>
      <c r="O86" s="5085"/>
      <c r="P86" s="5085"/>
      <c r="Q86" s="5088"/>
      <c r="R86" s="5119"/>
      <c r="S86" s="5102"/>
      <c r="T86" s="5088"/>
      <c r="U86" s="5088"/>
      <c r="V86" s="5089"/>
      <c r="W86" s="2170">
        <v>13000000</v>
      </c>
      <c r="X86" s="2142">
        <v>13000000</v>
      </c>
      <c r="Y86" s="2142">
        <v>8750000</v>
      </c>
      <c r="Z86" s="2143">
        <v>98</v>
      </c>
      <c r="AA86" s="5085"/>
      <c r="AB86" s="5085"/>
      <c r="AC86" s="5085"/>
      <c r="AD86" s="5085"/>
      <c r="AE86" s="5085"/>
      <c r="AF86" s="5085"/>
      <c r="AG86" s="5085"/>
      <c r="AH86" s="5085"/>
      <c r="AI86" s="5085"/>
      <c r="AJ86" s="5085"/>
      <c r="AK86" s="5085"/>
      <c r="AL86" s="5085"/>
      <c r="AM86" s="5085"/>
      <c r="AN86" s="5085"/>
      <c r="AO86" s="5085"/>
      <c r="AP86" s="5085"/>
      <c r="AQ86" s="5085"/>
      <c r="AR86" s="5085"/>
      <c r="AS86" s="5085"/>
      <c r="AT86" s="5085"/>
      <c r="AU86" s="5085"/>
      <c r="AV86" s="5085"/>
      <c r="AW86" s="5085"/>
      <c r="AX86" s="5085"/>
      <c r="AY86" s="5085"/>
      <c r="AZ86" s="5085"/>
      <c r="BA86" s="5085"/>
      <c r="BB86" s="5085"/>
      <c r="BC86" s="5085"/>
      <c r="BD86" s="5085"/>
      <c r="BE86" s="5085"/>
      <c r="BF86" s="5085"/>
      <c r="BG86" s="5085"/>
      <c r="BH86" s="5095"/>
      <c r="BI86" s="3822"/>
      <c r="BJ86" s="3822"/>
      <c r="BK86" s="5092"/>
      <c r="BL86" s="5095"/>
      <c r="BM86" s="5095"/>
      <c r="BN86" s="5079"/>
      <c r="BO86" s="5079"/>
      <c r="BP86" s="5079"/>
      <c r="BQ86" s="5079"/>
      <c r="BR86" s="5082"/>
    </row>
    <row r="87" spans="1:70" s="2144" customFormat="1" ht="32.25" customHeight="1" x14ac:dyDescent="0.2">
      <c r="A87" s="2136"/>
      <c r="B87" s="2137"/>
      <c r="C87" s="2138"/>
      <c r="D87" s="2137"/>
      <c r="E87" s="2137"/>
      <c r="F87" s="2138"/>
      <c r="G87" s="2145"/>
      <c r="H87" s="2137"/>
      <c r="I87" s="2138"/>
      <c r="J87" s="5111"/>
      <c r="K87" s="5088"/>
      <c r="L87" s="5085"/>
      <c r="M87" s="5085"/>
      <c r="N87" s="5151"/>
      <c r="O87" s="5085"/>
      <c r="P87" s="5085"/>
      <c r="Q87" s="5088"/>
      <c r="R87" s="5119"/>
      <c r="S87" s="5102"/>
      <c r="T87" s="5088"/>
      <c r="U87" s="5088"/>
      <c r="V87" s="5247" t="s">
        <v>1672</v>
      </c>
      <c r="W87" s="2170">
        <v>3000000</v>
      </c>
      <c r="X87" s="2142">
        <v>2632600</v>
      </c>
      <c r="Y87" s="2142">
        <v>1011200</v>
      </c>
      <c r="Z87" s="2143">
        <v>61</v>
      </c>
      <c r="AA87" s="5085"/>
      <c r="AB87" s="5085"/>
      <c r="AC87" s="5085"/>
      <c r="AD87" s="5085"/>
      <c r="AE87" s="5085"/>
      <c r="AF87" s="5085"/>
      <c r="AG87" s="5085"/>
      <c r="AH87" s="5085"/>
      <c r="AI87" s="5085"/>
      <c r="AJ87" s="5085"/>
      <c r="AK87" s="5085"/>
      <c r="AL87" s="5085"/>
      <c r="AM87" s="5085"/>
      <c r="AN87" s="5085"/>
      <c r="AO87" s="5085"/>
      <c r="AP87" s="5085"/>
      <c r="AQ87" s="5085"/>
      <c r="AR87" s="5085"/>
      <c r="AS87" s="5085"/>
      <c r="AT87" s="5085"/>
      <c r="AU87" s="5085"/>
      <c r="AV87" s="5085"/>
      <c r="AW87" s="5085"/>
      <c r="AX87" s="5085"/>
      <c r="AY87" s="5085"/>
      <c r="AZ87" s="5085"/>
      <c r="BA87" s="5085"/>
      <c r="BB87" s="5085"/>
      <c r="BC87" s="5085"/>
      <c r="BD87" s="5085"/>
      <c r="BE87" s="5085"/>
      <c r="BF87" s="5085"/>
      <c r="BG87" s="5085"/>
      <c r="BH87" s="5095"/>
      <c r="BI87" s="3822"/>
      <c r="BJ87" s="3822"/>
      <c r="BK87" s="5092"/>
      <c r="BL87" s="5095"/>
      <c r="BM87" s="5095"/>
      <c r="BN87" s="5079"/>
      <c r="BO87" s="5079"/>
      <c r="BP87" s="5079"/>
      <c r="BQ87" s="5079"/>
      <c r="BR87" s="5082"/>
    </row>
    <row r="88" spans="1:70" s="2144" customFormat="1" ht="44.25" customHeight="1" x14ac:dyDescent="0.2">
      <c r="A88" s="2136"/>
      <c r="B88" s="2137"/>
      <c r="C88" s="2138"/>
      <c r="D88" s="2137"/>
      <c r="E88" s="2137"/>
      <c r="F88" s="2138"/>
      <c r="G88" s="2145"/>
      <c r="H88" s="2137"/>
      <c r="I88" s="2138"/>
      <c r="J88" s="5111"/>
      <c r="K88" s="5088"/>
      <c r="L88" s="5085"/>
      <c r="M88" s="5085"/>
      <c r="N88" s="5151"/>
      <c r="O88" s="5085"/>
      <c r="P88" s="5085"/>
      <c r="Q88" s="5088"/>
      <c r="R88" s="5119"/>
      <c r="S88" s="5102"/>
      <c r="T88" s="5088"/>
      <c r="U88" s="5088"/>
      <c r="V88" s="5248"/>
      <c r="W88" s="2170">
        <v>13000000</v>
      </c>
      <c r="X88" s="2142">
        <v>13000000</v>
      </c>
      <c r="Y88" s="2142">
        <v>8750000</v>
      </c>
      <c r="Z88" s="2143">
        <v>98</v>
      </c>
      <c r="AA88" s="5085"/>
      <c r="AB88" s="5085"/>
      <c r="AC88" s="5085"/>
      <c r="AD88" s="5085"/>
      <c r="AE88" s="5085"/>
      <c r="AF88" s="5085"/>
      <c r="AG88" s="5085"/>
      <c r="AH88" s="5085"/>
      <c r="AI88" s="5085"/>
      <c r="AJ88" s="5085"/>
      <c r="AK88" s="5085"/>
      <c r="AL88" s="5085"/>
      <c r="AM88" s="5085"/>
      <c r="AN88" s="5085"/>
      <c r="AO88" s="5085"/>
      <c r="AP88" s="5085"/>
      <c r="AQ88" s="5085"/>
      <c r="AR88" s="5085"/>
      <c r="AS88" s="5085"/>
      <c r="AT88" s="5085"/>
      <c r="AU88" s="5085"/>
      <c r="AV88" s="5085"/>
      <c r="AW88" s="5085"/>
      <c r="AX88" s="5085"/>
      <c r="AY88" s="5085"/>
      <c r="AZ88" s="5085"/>
      <c r="BA88" s="5085"/>
      <c r="BB88" s="5085"/>
      <c r="BC88" s="5085"/>
      <c r="BD88" s="5085"/>
      <c r="BE88" s="5085"/>
      <c r="BF88" s="5085"/>
      <c r="BG88" s="5085"/>
      <c r="BH88" s="5095"/>
      <c r="BI88" s="3822"/>
      <c r="BJ88" s="3822"/>
      <c r="BK88" s="5092"/>
      <c r="BL88" s="5095"/>
      <c r="BM88" s="5095"/>
      <c r="BN88" s="5079"/>
      <c r="BO88" s="5079"/>
      <c r="BP88" s="5079"/>
      <c r="BQ88" s="5079"/>
      <c r="BR88" s="5082"/>
    </row>
    <row r="89" spans="1:70" s="2144" customFormat="1" ht="64.5" customHeight="1" x14ac:dyDescent="0.2">
      <c r="A89" s="2136"/>
      <c r="B89" s="2137"/>
      <c r="C89" s="2138"/>
      <c r="D89" s="2137"/>
      <c r="E89" s="2137"/>
      <c r="F89" s="2138"/>
      <c r="G89" s="2145"/>
      <c r="H89" s="2137"/>
      <c r="I89" s="2138"/>
      <c r="J89" s="5111"/>
      <c r="K89" s="5088"/>
      <c r="L89" s="5085"/>
      <c r="M89" s="5085"/>
      <c r="N89" s="5151"/>
      <c r="O89" s="5085"/>
      <c r="P89" s="5085"/>
      <c r="Q89" s="5088"/>
      <c r="R89" s="5119"/>
      <c r="S89" s="5102"/>
      <c r="T89" s="5088"/>
      <c r="U89" s="5088"/>
      <c r="V89" s="2852" t="s">
        <v>1673</v>
      </c>
      <c r="W89" s="2170">
        <v>3000000</v>
      </c>
      <c r="X89" s="2142">
        <v>2632400</v>
      </c>
      <c r="Y89" s="2142">
        <v>1011200</v>
      </c>
      <c r="Z89" s="2143">
        <v>61</v>
      </c>
      <c r="AA89" s="5085"/>
      <c r="AB89" s="5085"/>
      <c r="AC89" s="5085"/>
      <c r="AD89" s="5085"/>
      <c r="AE89" s="5085"/>
      <c r="AF89" s="5085"/>
      <c r="AG89" s="5085"/>
      <c r="AH89" s="5085"/>
      <c r="AI89" s="5085"/>
      <c r="AJ89" s="5085"/>
      <c r="AK89" s="5085"/>
      <c r="AL89" s="5085"/>
      <c r="AM89" s="5085"/>
      <c r="AN89" s="5085"/>
      <c r="AO89" s="5085"/>
      <c r="AP89" s="5085"/>
      <c r="AQ89" s="5085"/>
      <c r="AR89" s="5085"/>
      <c r="AS89" s="5085"/>
      <c r="AT89" s="5085"/>
      <c r="AU89" s="5085"/>
      <c r="AV89" s="5085"/>
      <c r="AW89" s="5085"/>
      <c r="AX89" s="5085"/>
      <c r="AY89" s="5085"/>
      <c r="AZ89" s="5085"/>
      <c r="BA89" s="5085"/>
      <c r="BB89" s="5085"/>
      <c r="BC89" s="5085"/>
      <c r="BD89" s="5085"/>
      <c r="BE89" s="5085"/>
      <c r="BF89" s="5085"/>
      <c r="BG89" s="5085"/>
      <c r="BH89" s="5095"/>
      <c r="BI89" s="3822"/>
      <c r="BJ89" s="3822"/>
      <c r="BK89" s="5092"/>
      <c r="BL89" s="5095"/>
      <c r="BM89" s="5095"/>
      <c r="BN89" s="5079"/>
      <c r="BO89" s="5079"/>
      <c r="BP89" s="5079"/>
      <c r="BQ89" s="5079"/>
      <c r="BR89" s="5082"/>
    </row>
    <row r="90" spans="1:70" s="2144" customFormat="1" ht="61.5" customHeight="1" x14ac:dyDescent="0.2">
      <c r="A90" s="2136"/>
      <c r="B90" s="2137"/>
      <c r="C90" s="2138"/>
      <c r="D90" s="2137"/>
      <c r="E90" s="2137"/>
      <c r="F90" s="2138"/>
      <c r="G90" s="2145"/>
      <c r="H90" s="2137"/>
      <c r="I90" s="2138"/>
      <c r="J90" s="5111"/>
      <c r="K90" s="5088"/>
      <c r="L90" s="5085"/>
      <c r="M90" s="5085"/>
      <c r="N90" s="5151"/>
      <c r="O90" s="5085"/>
      <c r="P90" s="5085"/>
      <c r="Q90" s="5088"/>
      <c r="R90" s="5119"/>
      <c r="S90" s="5102"/>
      <c r="T90" s="5088"/>
      <c r="U90" s="5088"/>
      <c r="V90" s="2852" t="s">
        <v>1674</v>
      </c>
      <c r="W90" s="2170">
        <v>3000000</v>
      </c>
      <c r="X90" s="2142">
        <v>2632400</v>
      </c>
      <c r="Y90" s="2142">
        <v>1011200</v>
      </c>
      <c r="Z90" s="2143">
        <v>61</v>
      </c>
      <c r="AA90" s="5085"/>
      <c r="AB90" s="5085"/>
      <c r="AC90" s="5085"/>
      <c r="AD90" s="5085"/>
      <c r="AE90" s="5085"/>
      <c r="AF90" s="5085"/>
      <c r="AG90" s="5085"/>
      <c r="AH90" s="5085"/>
      <c r="AI90" s="5085"/>
      <c r="AJ90" s="5085"/>
      <c r="AK90" s="5085"/>
      <c r="AL90" s="5085"/>
      <c r="AM90" s="5085"/>
      <c r="AN90" s="5085"/>
      <c r="AO90" s="5085"/>
      <c r="AP90" s="5085"/>
      <c r="AQ90" s="5085"/>
      <c r="AR90" s="5085"/>
      <c r="AS90" s="5085"/>
      <c r="AT90" s="5085"/>
      <c r="AU90" s="5085"/>
      <c r="AV90" s="5085"/>
      <c r="AW90" s="5085"/>
      <c r="AX90" s="5085"/>
      <c r="AY90" s="5085"/>
      <c r="AZ90" s="5085"/>
      <c r="BA90" s="5085"/>
      <c r="BB90" s="5085"/>
      <c r="BC90" s="5085"/>
      <c r="BD90" s="5085"/>
      <c r="BE90" s="5085"/>
      <c r="BF90" s="5085"/>
      <c r="BG90" s="5085"/>
      <c r="BH90" s="5095"/>
      <c r="BI90" s="3822"/>
      <c r="BJ90" s="3822"/>
      <c r="BK90" s="5092"/>
      <c r="BL90" s="5095"/>
      <c r="BM90" s="5095"/>
      <c r="BN90" s="5079"/>
      <c r="BO90" s="5079"/>
      <c r="BP90" s="5079"/>
      <c r="BQ90" s="5079"/>
      <c r="BR90" s="5082"/>
    </row>
    <row r="91" spans="1:70" s="2144" customFormat="1" ht="110.25" customHeight="1" x14ac:dyDescent="0.2">
      <c r="A91" s="2136"/>
      <c r="B91" s="2137"/>
      <c r="C91" s="2138"/>
      <c r="D91" s="2137"/>
      <c r="E91" s="2137"/>
      <c r="F91" s="2138"/>
      <c r="G91" s="2145"/>
      <c r="H91" s="2137"/>
      <c r="I91" s="2138"/>
      <c r="J91" s="5111"/>
      <c r="K91" s="5088"/>
      <c r="L91" s="5085"/>
      <c r="M91" s="5085"/>
      <c r="N91" s="5151"/>
      <c r="O91" s="5085"/>
      <c r="P91" s="5085"/>
      <c r="Q91" s="5088"/>
      <c r="R91" s="5119"/>
      <c r="S91" s="5102"/>
      <c r="T91" s="5088"/>
      <c r="U91" s="5088"/>
      <c r="V91" s="2852" t="s">
        <v>1675</v>
      </c>
      <c r="W91" s="2170">
        <v>3000000</v>
      </c>
      <c r="X91" s="2142">
        <v>2632400</v>
      </c>
      <c r="Y91" s="2142">
        <v>1010200</v>
      </c>
      <c r="Z91" s="2143">
        <v>61</v>
      </c>
      <c r="AA91" s="5085"/>
      <c r="AB91" s="5085"/>
      <c r="AC91" s="5085"/>
      <c r="AD91" s="5085"/>
      <c r="AE91" s="5085"/>
      <c r="AF91" s="5085"/>
      <c r="AG91" s="5085"/>
      <c r="AH91" s="5085"/>
      <c r="AI91" s="5085"/>
      <c r="AJ91" s="5085"/>
      <c r="AK91" s="5085"/>
      <c r="AL91" s="5085"/>
      <c r="AM91" s="5085"/>
      <c r="AN91" s="5085"/>
      <c r="AO91" s="5085"/>
      <c r="AP91" s="5085"/>
      <c r="AQ91" s="5085"/>
      <c r="AR91" s="5085"/>
      <c r="AS91" s="5085"/>
      <c r="AT91" s="5085"/>
      <c r="AU91" s="5085"/>
      <c r="AV91" s="5085"/>
      <c r="AW91" s="5085"/>
      <c r="AX91" s="5085"/>
      <c r="AY91" s="5085"/>
      <c r="AZ91" s="5085"/>
      <c r="BA91" s="5085"/>
      <c r="BB91" s="5085"/>
      <c r="BC91" s="5085"/>
      <c r="BD91" s="5085"/>
      <c r="BE91" s="5085"/>
      <c r="BF91" s="5085"/>
      <c r="BG91" s="5085"/>
      <c r="BH91" s="5095"/>
      <c r="BI91" s="3822"/>
      <c r="BJ91" s="3822"/>
      <c r="BK91" s="5092"/>
      <c r="BL91" s="5095"/>
      <c r="BM91" s="5095"/>
      <c r="BN91" s="5079"/>
      <c r="BO91" s="5079"/>
      <c r="BP91" s="5079"/>
      <c r="BQ91" s="5079"/>
      <c r="BR91" s="5082"/>
    </row>
    <row r="92" spans="1:70" s="2144" customFormat="1" ht="123" customHeight="1" x14ac:dyDescent="0.2">
      <c r="A92" s="2136"/>
      <c r="B92" s="2137"/>
      <c r="C92" s="2138"/>
      <c r="D92" s="2137"/>
      <c r="E92" s="2137"/>
      <c r="F92" s="2138"/>
      <c r="G92" s="2145"/>
      <c r="H92" s="2137"/>
      <c r="I92" s="2138"/>
      <c r="J92" s="5111"/>
      <c r="K92" s="5088"/>
      <c r="L92" s="5085"/>
      <c r="M92" s="5085"/>
      <c r="N92" s="5151"/>
      <c r="O92" s="5085"/>
      <c r="P92" s="5085"/>
      <c r="Q92" s="5088"/>
      <c r="R92" s="5119"/>
      <c r="S92" s="5102"/>
      <c r="T92" s="5088"/>
      <c r="U92" s="5088"/>
      <c r="V92" s="2852" t="s">
        <v>1676</v>
      </c>
      <c r="W92" s="2170">
        <v>3000000</v>
      </c>
      <c r="X92" s="2142">
        <v>2632400</v>
      </c>
      <c r="Y92" s="2142">
        <v>1010200</v>
      </c>
      <c r="Z92" s="2143">
        <v>61</v>
      </c>
      <c r="AA92" s="5085"/>
      <c r="AB92" s="5085"/>
      <c r="AC92" s="5085"/>
      <c r="AD92" s="5085"/>
      <c r="AE92" s="5085"/>
      <c r="AF92" s="5085"/>
      <c r="AG92" s="5085"/>
      <c r="AH92" s="5085"/>
      <c r="AI92" s="5085"/>
      <c r="AJ92" s="5085"/>
      <c r="AK92" s="5085"/>
      <c r="AL92" s="5085"/>
      <c r="AM92" s="5085"/>
      <c r="AN92" s="5085"/>
      <c r="AO92" s="5085"/>
      <c r="AP92" s="5085"/>
      <c r="AQ92" s="5085"/>
      <c r="AR92" s="5085"/>
      <c r="AS92" s="5085"/>
      <c r="AT92" s="5085"/>
      <c r="AU92" s="5085"/>
      <c r="AV92" s="5085"/>
      <c r="AW92" s="5085"/>
      <c r="AX92" s="5085"/>
      <c r="AY92" s="5085"/>
      <c r="AZ92" s="5085"/>
      <c r="BA92" s="5085"/>
      <c r="BB92" s="5085"/>
      <c r="BC92" s="5085"/>
      <c r="BD92" s="5085"/>
      <c r="BE92" s="5085"/>
      <c r="BF92" s="5085"/>
      <c r="BG92" s="5085"/>
      <c r="BH92" s="5095"/>
      <c r="BI92" s="3822"/>
      <c r="BJ92" s="3822"/>
      <c r="BK92" s="5092"/>
      <c r="BL92" s="5095"/>
      <c r="BM92" s="5095"/>
      <c r="BN92" s="5079"/>
      <c r="BO92" s="5079"/>
      <c r="BP92" s="5079"/>
      <c r="BQ92" s="5079"/>
      <c r="BR92" s="5082"/>
    </row>
    <row r="93" spans="1:70" s="2144" customFormat="1" ht="57" x14ac:dyDescent="0.2">
      <c r="A93" s="2136"/>
      <c r="B93" s="2137"/>
      <c r="C93" s="2138"/>
      <c r="D93" s="2137"/>
      <c r="E93" s="2137"/>
      <c r="F93" s="2138"/>
      <c r="G93" s="2145"/>
      <c r="H93" s="2137"/>
      <c r="I93" s="2138"/>
      <c r="J93" s="5111"/>
      <c r="K93" s="5088"/>
      <c r="L93" s="5085"/>
      <c r="M93" s="5085"/>
      <c r="N93" s="5151"/>
      <c r="O93" s="5085"/>
      <c r="P93" s="5085"/>
      <c r="Q93" s="5088"/>
      <c r="R93" s="5119"/>
      <c r="S93" s="5102"/>
      <c r="T93" s="5088"/>
      <c r="U93" s="5088"/>
      <c r="V93" s="2852" t="s">
        <v>1677</v>
      </c>
      <c r="W93" s="2170">
        <v>3000000</v>
      </c>
      <c r="X93" s="2142">
        <v>2632400</v>
      </c>
      <c r="Y93" s="2142">
        <v>1010200</v>
      </c>
      <c r="Z93" s="2143">
        <v>61</v>
      </c>
      <c r="AA93" s="5085"/>
      <c r="AB93" s="5085"/>
      <c r="AC93" s="5085"/>
      <c r="AD93" s="5085"/>
      <c r="AE93" s="5085"/>
      <c r="AF93" s="5085"/>
      <c r="AG93" s="5085"/>
      <c r="AH93" s="5085"/>
      <c r="AI93" s="5085"/>
      <c r="AJ93" s="5085"/>
      <c r="AK93" s="5085"/>
      <c r="AL93" s="5085"/>
      <c r="AM93" s="5085"/>
      <c r="AN93" s="5085"/>
      <c r="AO93" s="5085"/>
      <c r="AP93" s="5085"/>
      <c r="AQ93" s="5085"/>
      <c r="AR93" s="5085"/>
      <c r="AS93" s="5085"/>
      <c r="AT93" s="5085"/>
      <c r="AU93" s="5085"/>
      <c r="AV93" s="5085"/>
      <c r="AW93" s="5085"/>
      <c r="AX93" s="5085"/>
      <c r="AY93" s="5085"/>
      <c r="AZ93" s="5085"/>
      <c r="BA93" s="5085"/>
      <c r="BB93" s="5085"/>
      <c r="BC93" s="5085"/>
      <c r="BD93" s="5085"/>
      <c r="BE93" s="5085"/>
      <c r="BF93" s="5085"/>
      <c r="BG93" s="5085"/>
      <c r="BH93" s="5095"/>
      <c r="BI93" s="3822"/>
      <c r="BJ93" s="3822"/>
      <c r="BK93" s="5092"/>
      <c r="BL93" s="5095"/>
      <c r="BM93" s="5095"/>
      <c r="BN93" s="5079"/>
      <c r="BO93" s="5079"/>
      <c r="BP93" s="5079"/>
      <c r="BQ93" s="5079"/>
      <c r="BR93" s="5082"/>
    </row>
    <row r="94" spans="1:70" s="2144" customFormat="1" ht="55.5" customHeight="1" x14ac:dyDescent="0.2">
      <c r="A94" s="2136"/>
      <c r="B94" s="2137"/>
      <c r="C94" s="2138"/>
      <c r="D94" s="2137"/>
      <c r="E94" s="2137"/>
      <c r="F94" s="2138"/>
      <c r="G94" s="2145"/>
      <c r="H94" s="2137"/>
      <c r="I94" s="2138"/>
      <c r="J94" s="5111"/>
      <c r="K94" s="5088"/>
      <c r="L94" s="5085"/>
      <c r="M94" s="5085"/>
      <c r="N94" s="5151"/>
      <c r="O94" s="5085"/>
      <c r="P94" s="5085"/>
      <c r="Q94" s="5088"/>
      <c r="R94" s="5119"/>
      <c r="S94" s="5102"/>
      <c r="T94" s="5088"/>
      <c r="U94" s="5088"/>
      <c r="V94" s="2852" t="s">
        <v>1678</v>
      </c>
      <c r="W94" s="2170">
        <v>3000000</v>
      </c>
      <c r="X94" s="2142">
        <v>2632400</v>
      </c>
      <c r="Y94" s="2142">
        <v>1010400</v>
      </c>
      <c r="Z94" s="2143">
        <v>61</v>
      </c>
      <c r="AA94" s="5085"/>
      <c r="AB94" s="5085"/>
      <c r="AC94" s="5085"/>
      <c r="AD94" s="5085"/>
      <c r="AE94" s="5085"/>
      <c r="AF94" s="5085"/>
      <c r="AG94" s="5085"/>
      <c r="AH94" s="5085"/>
      <c r="AI94" s="5085"/>
      <c r="AJ94" s="5085"/>
      <c r="AK94" s="5085"/>
      <c r="AL94" s="5085"/>
      <c r="AM94" s="5085"/>
      <c r="AN94" s="5085"/>
      <c r="AO94" s="5085"/>
      <c r="AP94" s="5085"/>
      <c r="AQ94" s="5085"/>
      <c r="AR94" s="5085"/>
      <c r="AS94" s="5085"/>
      <c r="AT94" s="5085"/>
      <c r="AU94" s="5085"/>
      <c r="AV94" s="5085"/>
      <c r="AW94" s="5085"/>
      <c r="AX94" s="5085"/>
      <c r="AY94" s="5085"/>
      <c r="AZ94" s="5085"/>
      <c r="BA94" s="5085"/>
      <c r="BB94" s="5085"/>
      <c r="BC94" s="5085"/>
      <c r="BD94" s="5085"/>
      <c r="BE94" s="5085"/>
      <c r="BF94" s="5085"/>
      <c r="BG94" s="5085"/>
      <c r="BH94" s="5095"/>
      <c r="BI94" s="3822"/>
      <c r="BJ94" s="3822"/>
      <c r="BK94" s="5092"/>
      <c r="BL94" s="5095"/>
      <c r="BM94" s="5095"/>
      <c r="BN94" s="5079"/>
      <c r="BO94" s="5079"/>
      <c r="BP94" s="5079"/>
      <c r="BQ94" s="5079"/>
      <c r="BR94" s="5082"/>
    </row>
    <row r="95" spans="1:70" s="2144" customFormat="1" ht="107.25" customHeight="1" x14ac:dyDescent="0.2">
      <c r="A95" s="2136"/>
      <c r="B95" s="2137"/>
      <c r="C95" s="2138"/>
      <c r="D95" s="2137"/>
      <c r="E95" s="2137"/>
      <c r="F95" s="2138"/>
      <c r="G95" s="2145"/>
      <c r="H95" s="2137"/>
      <c r="I95" s="2138"/>
      <c r="J95" s="5112"/>
      <c r="K95" s="5089"/>
      <c r="L95" s="5086"/>
      <c r="M95" s="5086"/>
      <c r="N95" s="5151"/>
      <c r="O95" s="5085"/>
      <c r="P95" s="5085"/>
      <c r="Q95" s="5088"/>
      <c r="R95" s="5120"/>
      <c r="S95" s="5102"/>
      <c r="T95" s="5088"/>
      <c r="U95" s="5089"/>
      <c r="V95" s="2852" t="s">
        <v>1679</v>
      </c>
      <c r="W95" s="2170">
        <v>4000000</v>
      </c>
      <c r="X95" s="2142">
        <v>2632400</v>
      </c>
      <c r="Y95" s="2142">
        <v>1010200</v>
      </c>
      <c r="Z95" s="2143">
        <v>61</v>
      </c>
      <c r="AA95" s="5085"/>
      <c r="AB95" s="5085"/>
      <c r="AC95" s="5085"/>
      <c r="AD95" s="5085"/>
      <c r="AE95" s="5085"/>
      <c r="AF95" s="5085"/>
      <c r="AG95" s="5085"/>
      <c r="AH95" s="5085"/>
      <c r="AI95" s="5085"/>
      <c r="AJ95" s="5085"/>
      <c r="AK95" s="5085"/>
      <c r="AL95" s="5085"/>
      <c r="AM95" s="5085"/>
      <c r="AN95" s="5085"/>
      <c r="AO95" s="5085"/>
      <c r="AP95" s="5085"/>
      <c r="AQ95" s="5085"/>
      <c r="AR95" s="5085"/>
      <c r="AS95" s="5085"/>
      <c r="AT95" s="5085"/>
      <c r="AU95" s="5085"/>
      <c r="AV95" s="5085"/>
      <c r="AW95" s="5085"/>
      <c r="AX95" s="5085"/>
      <c r="AY95" s="5085"/>
      <c r="AZ95" s="5085"/>
      <c r="BA95" s="5085"/>
      <c r="BB95" s="5085"/>
      <c r="BC95" s="5085"/>
      <c r="BD95" s="5085"/>
      <c r="BE95" s="5085"/>
      <c r="BF95" s="5085"/>
      <c r="BG95" s="5085"/>
      <c r="BH95" s="5095"/>
      <c r="BI95" s="3822"/>
      <c r="BJ95" s="3822"/>
      <c r="BK95" s="5092"/>
      <c r="BL95" s="5095"/>
      <c r="BM95" s="5095"/>
      <c r="BN95" s="5079"/>
      <c r="BO95" s="5079"/>
      <c r="BP95" s="5079"/>
      <c r="BQ95" s="5079"/>
      <c r="BR95" s="5082"/>
    </row>
    <row r="96" spans="1:70" s="2144" customFormat="1" ht="55.5" customHeight="1" x14ac:dyDescent="0.2">
      <c r="A96" s="2136"/>
      <c r="B96" s="2137"/>
      <c r="C96" s="2138"/>
      <c r="D96" s="2137"/>
      <c r="E96" s="2137"/>
      <c r="F96" s="2138"/>
      <c r="G96" s="2145"/>
      <c r="H96" s="2137"/>
      <c r="I96" s="2138"/>
      <c r="J96" s="5110">
        <v>137</v>
      </c>
      <c r="K96" s="5087" t="s">
        <v>1680</v>
      </c>
      <c r="L96" s="5084" t="s">
        <v>1581</v>
      </c>
      <c r="M96" s="5084">
        <v>12</v>
      </c>
      <c r="N96" s="5151">
        <v>10</v>
      </c>
      <c r="O96" s="5085"/>
      <c r="P96" s="5085"/>
      <c r="Q96" s="5088"/>
      <c r="R96" s="5118">
        <f>SUM(W96:W100)/S85</f>
        <v>0.40579710144927539</v>
      </c>
      <c r="S96" s="5102"/>
      <c r="T96" s="5088"/>
      <c r="U96" s="5087" t="s">
        <v>1681</v>
      </c>
      <c r="V96" s="2852" t="s">
        <v>1682</v>
      </c>
      <c r="W96" s="2172">
        <v>11000000</v>
      </c>
      <c r="X96" s="2142">
        <v>10632400</v>
      </c>
      <c r="Y96" s="2142">
        <v>7834400</v>
      </c>
      <c r="Z96" s="2143">
        <v>61</v>
      </c>
      <c r="AA96" s="5085"/>
      <c r="AB96" s="5085"/>
      <c r="AC96" s="5085"/>
      <c r="AD96" s="5085"/>
      <c r="AE96" s="5085"/>
      <c r="AF96" s="5085"/>
      <c r="AG96" s="5085"/>
      <c r="AH96" s="5085"/>
      <c r="AI96" s="5085"/>
      <c r="AJ96" s="5085"/>
      <c r="AK96" s="5085"/>
      <c r="AL96" s="5085"/>
      <c r="AM96" s="5085"/>
      <c r="AN96" s="5085"/>
      <c r="AO96" s="5085"/>
      <c r="AP96" s="5085"/>
      <c r="AQ96" s="5085"/>
      <c r="AR96" s="5085"/>
      <c r="AS96" s="5085"/>
      <c r="AT96" s="5085"/>
      <c r="AU96" s="5085"/>
      <c r="AV96" s="5085"/>
      <c r="AW96" s="5085"/>
      <c r="AX96" s="5085"/>
      <c r="AY96" s="5085"/>
      <c r="AZ96" s="5085"/>
      <c r="BA96" s="5085"/>
      <c r="BB96" s="5085"/>
      <c r="BC96" s="5085"/>
      <c r="BD96" s="5085"/>
      <c r="BE96" s="5085"/>
      <c r="BF96" s="5085"/>
      <c r="BG96" s="5085"/>
      <c r="BH96" s="5095"/>
      <c r="BI96" s="3822"/>
      <c r="BJ96" s="3822"/>
      <c r="BK96" s="5092"/>
      <c r="BL96" s="5095"/>
      <c r="BM96" s="5095"/>
      <c r="BN96" s="5079"/>
      <c r="BO96" s="5079"/>
      <c r="BP96" s="5079"/>
      <c r="BQ96" s="5079"/>
      <c r="BR96" s="5082"/>
    </row>
    <row r="97" spans="1:312" s="2144" customFormat="1" ht="96" customHeight="1" x14ac:dyDescent="0.2">
      <c r="A97" s="2136"/>
      <c r="B97" s="2137"/>
      <c r="C97" s="2138"/>
      <c r="D97" s="2137"/>
      <c r="E97" s="2137"/>
      <c r="F97" s="2138"/>
      <c r="G97" s="2145"/>
      <c r="H97" s="2137"/>
      <c r="I97" s="2138"/>
      <c r="J97" s="5111"/>
      <c r="K97" s="5088"/>
      <c r="L97" s="5085"/>
      <c r="M97" s="5085"/>
      <c r="N97" s="5151"/>
      <c r="O97" s="5085"/>
      <c r="P97" s="5085"/>
      <c r="Q97" s="5088"/>
      <c r="R97" s="5119"/>
      <c r="S97" s="5102"/>
      <c r="T97" s="5088"/>
      <c r="U97" s="5088"/>
      <c r="V97" s="2852" t="s">
        <v>1683</v>
      </c>
      <c r="W97" s="2172">
        <v>11000000</v>
      </c>
      <c r="X97" s="2142">
        <v>10632400</v>
      </c>
      <c r="Y97" s="2142">
        <v>7834400</v>
      </c>
      <c r="Z97" s="2143">
        <v>61</v>
      </c>
      <c r="AA97" s="5085"/>
      <c r="AB97" s="5085"/>
      <c r="AC97" s="5085"/>
      <c r="AD97" s="5085"/>
      <c r="AE97" s="5085"/>
      <c r="AF97" s="5085"/>
      <c r="AG97" s="5085"/>
      <c r="AH97" s="5085"/>
      <c r="AI97" s="5085"/>
      <c r="AJ97" s="5085"/>
      <c r="AK97" s="5085"/>
      <c r="AL97" s="5085"/>
      <c r="AM97" s="5085"/>
      <c r="AN97" s="5085"/>
      <c r="AO97" s="5085"/>
      <c r="AP97" s="5085"/>
      <c r="AQ97" s="5085"/>
      <c r="AR97" s="5085"/>
      <c r="AS97" s="5085"/>
      <c r="AT97" s="5085"/>
      <c r="AU97" s="5085"/>
      <c r="AV97" s="5085"/>
      <c r="AW97" s="5085"/>
      <c r="AX97" s="5085"/>
      <c r="AY97" s="5085"/>
      <c r="AZ97" s="5085"/>
      <c r="BA97" s="5085"/>
      <c r="BB97" s="5085"/>
      <c r="BC97" s="5085"/>
      <c r="BD97" s="5085"/>
      <c r="BE97" s="5085"/>
      <c r="BF97" s="5085"/>
      <c r="BG97" s="5085"/>
      <c r="BH97" s="5095"/>
      <c r="BI97" s="3822"/>
      <c r="BJ97" s="3822"/>
      <c r="BK97" s="5092"/>
      <c r="BL97" s="5095"/>
      <c r="BM97" s="5095"/>
      <c r="BN97" s="5079"/>
      <c r="BO97" s="5079"/>
      <c r="BP97" s="5079"/>
      <c r="BQ97" s="5079"/>
      <c r="BR97" s="5082"/>
    </row>
    <row r="98" spans="1:312" s="2144" customFormat="1" ht="66.75" customHeight="1" x14ac:dyDescent="0.2">
      <c r="A98" s="2136"/>
      <c r="B98" s="2137"/>
      <c r="C98" s="2138"/>
      <c r="D98" s="2137"/>
      <c r="E98" s="2137"/>
      <c r="F98" s="2138"/>
      <c r="G98" s="2145"/>
      <c r="H98" s="2137"/>
      <c r="I98" s="2138"/>
      <c r="J98" s="5111"/>
      <c r="K98" s="5088"/>
      <c r="L98" s="5085"/>
      <c r="M98" s="5085"/>
      <c r="N98" s="5151"/>
      <c r="O98" s="5085"/>
      <c r="P98" s="5085"/>
      <c r="Q98" s="5088"/>
      <c r="R98" s="5119"/>
      <c r="S98" s="5102"/>
      <c r="T98" s="5088"/>
      <c r="U98" s="5088"/>
      <c r="V98" s="2852" t="s">
        <v>1684</v>
      </c>
      <c r="W98" s="2172">
        <v>11000000</v>
      </c>
      <c r="X98" s="2142">
        <v>10632400</v>
      </c>
      <c r="Y98" s="2142">
        <v>7834400</v>
      </c>
      <c r="Z98" s="2143">
        <v>61</v>
      </c>
      <c r="AA98" s="5085"/>
      <c r="AB98" s="5085"/>
      <c r="AC98" s="5085"/>
      <c r="AD98" s="5085"/>
      <c r="AE98" s="5085"/>
      <c r="AF98" s="5085"/>
      <c r="AG98" s="5085"/>
      <c r="AH98" s="5085"/>
      <c r="AI98" s="5085"/>
      <c r="AJ98" s="5085"/>
      <c r="AK98" s="5085"/>
      <c r="AL98" s="5085"/>
      <c r="AM98" s="5085"/>
      <c r="AN98" s="5085"/>
      <c r="AO98" s="5085"/>
      <c r="AP98" s="5085"/>
      <c r="AQ98" s="5085"/>
      <c r="AR98" s="5085"/>
      <c r="AS98" s="5085"/>
      <c r="AT98" s="5085"/>
      <c r="AU98" s="5085"/>
      <c r="AV98" s="5085"/>
      <c r="AW98" s="5085"/>
      <c r="AX98" s="5085"/>
      <c r="AY98" s="5085"/>
      <c r="AZ98" s="5085"/>
      <c r="BA98" s="5085"/>
      <c r="BB98" s="5085"/>
      <c r="BC98" s="5085"/>
      <c r="BD98" s="5085"/>
      <c r="BE98" s="5085"/>
      <c r="BF98" s="5085"/>
      <c r="BG98" s="5085"/>
      <c r="BH98" s="5095"/>
      <c r="BI98" s="3822"/>
      <c r="BJ98" s="3822"/>
      <c r="BK98" s="5092"/>
      <c r="BL98" s="5095"/>
      <c r="BM98" s="5095"/>
      <c r="BN98" s="5079"/>
      <c r="BO98" s="5079"/>
      <c r="BP98" s="5079"/>
      <c r="BQ98" s="5079"/>
      <c r="BR98" s="5082"/>
    </row>
    <row r="99" spans="1:312" s="2144" customFormat="1" ht="84" customHeight="1" x14ac:dyDescent="0.2">
      <c r="A99" s="2136"/>
      <c r="B99" s="2137"/>
      <c r="C99" s="2138"/>
      <c r="D99" s="2137"/>
      <c r="E99" s="2137"/>
      <c r="F99" s="2138"/>
      <c r="G99" s="2145"/>
      <c r="H99" s="2137"/>
      <c r="I99" s="2138"/>
      <c r="J99" s="5111"/>
      <c r="K99" s="5088"/>
      <c r="L99" s="5085"/>
      <c r="M99" s="5085"/>
      <c r="N99" s="5151"/>
      <c r="O99" s="5085"/>
      <c r="P99" s="5085"/>
      <c r="Q99" s="5088"/>
      <c r="R99" s="5119"/>
      <c r="S99" s="5102"/>
      <c r="T99" s="5088"/>
      <c r="U99" s="5088"/>
      <c r="V99" s="2852" t="s">
        <v>1685</v>
      </c>
      <c r="W99" s="2172">
        <v>11000000</v>
      </c>
      <c r="X99" s="2142">
        <v>10632400</v>
      </c>
      <c r="Y99" s="2142">
        <v>7834400</v>
      </c>
      <c r="Z99" s="2143">
        <v>61</v>
      </c>
      <c r="AA99" s="5085"/>
      <c r="AB99" s="5085"/>
      <c r="AC99" s="5085"/>
      <c r="AD99" s="5085"/>
      <c r="AE99" s="5085"/>
      <c r="AF99" s="5085"/>
      <c r="AG99" s="5085"/>
      <c r="AH99" s="5085"/>
      <c r="AI99" s="5085"/>
      <c r="AJ99" s="5085"/>
      <c r="AK99" s="5085"/>
      <c r="AL99" s="5085"/>
      <c r="AM99" s="5085"/>
      <c r="AN99" s="5085"/>
      <c r="AO99" s="5085"/>
      <c r="AP99" s="5085"/>
      <c r="AQ99" s="5085"/>
      <c r="AR99" s="5085"/>
      <c r="AS99" s="5085"/>
      <c r="AT99" s="5085"/>
      <c r="AU99" s="5085"/>
      <c r="AV99" s="5085"/>
      <c r="AW99" s="5085"/>
      <c r="AX99" s="5085"/>
      <c r="AY99" s="5085"/>
      <c r="AZ99" s="5085"/>
      <c r="BA99" s="5085"/>
      <c r="BB99" s="5085"/>
      <c r="BC99" s="5085"/>
      <c r="BD99" s="5085"/>
      <c r="BE99" s="5085"/>
      <c r="BF99" s="5085"/>
      <c r="BG99" s="5085"/>
      <c r="BH99" s="5095"/>
      <c r="BI99" s="3822"/>
      <c r="BJ99" s="3822"/>
      <c r="BK99" s="5092"/>
      <c r="BL99" s="5095"/>
      <c r="BM99" s="5095"/>
      <c r="BN99" s="5079"/>
      <c r="BO99" s="5079"/>
      <c r="BP99" s="5079"/>
      <c r="BQ99" s="5079"/>
      <c r="BR99" s="5082"/>
    </row>
    <row r="100" spans="1:312" s="2144" customFormat="1" ht="75" customHeight="1" x14ac:dyDescent="0.2">
      <c r="A100" s="2136"/>
      <c r="B100" s="2137"/>
      <c r="C100" s="2138"/>
      <c r="D100" s="2137"/>
      <c r="E100" s="2137"/>
      <c r="F100" s="2138"/>
      <c r="G100" s="2145"/>
      <c r="H100" s="2137"/>
      <c r="I100" s="2138"/>
      <c r="J100" s="5112"/>
      <c r="K100" s="5089"/>
      <c r="L100" s="5086"/>
      <c r="M100" s="5086"/>
      <c r="N100" s="5151"/>
      <c r="O100" s="5085"/>
      <c r="P100" s="5085"/>
      <c r="Q100" s="5088"/>
      <c r="R100" s="5120"/>
      <c r="S100" s="5102"/>
      <c r="T100" s="5088"/>
      <c r="U100" s="5089"/>
      <c r="V100" s="2852" t="s">
        <v>1686</v>
      </c>
      <c r="W100" s="2172">
        <v>12000000</v>
      </c>
      <c r="X100" s="2142">
        <v>10632400</v>
      </c>
      <c r="Y100" s="2142">
        <v>7834400</v>
      </c>
      <c r="Z100" s="2143">
        <v>61</v>
      </c>
      <c r="AA100" s="5085"/>
      <c r="AB100" s="5085"/>
      <c r="AC100" s="5085"/>
      <c r="AD100" s="5085"/>
      <c r="AE100" s="5085"/>
      <c r="AF100" s="5085"/>
      <c r="AG100" s="5085"/>
      <c r="AH100" s="5085"/>
      <c r="AI100" s="5085"/>
      <c r="AJ100" s="5085"/>
      <c r="AK100" s="5085"/>
      <c r="AL100" s="5085"/>
      <c r="AM100" s="5085"/>
      <c r="AN100" s="5085"/>
      <c r="AO100" s="5085"/>
      <c r="AP100" s="5085"/>
      <c r="AQ100" s="5085"/>
      <c r="AR100" s="5085"/>
      <c r="AS100" s="5085"/>
      <c r="AT100" s="5085"/>
      <c r="AU100" s="5085"/>
      <c r="AV100" s="5085"/>
      <c r="AW100" s="5085"/>
      <c r="AX100" s="5085"/>
      <c r="AY100" s="5085"/>
      <c r="AZ100" s="5085"/>
      <c r="BA100" s="5085"/>
      <c r="BB100" s="5085"/>
      <c r="BC100" s="5085"/>
      <c r="BD100" s="5085"/>
      <c r="BE100" s="5085"/>
      <c r="BF100" s="5085"/>
      <c r="BG100" s="5085"/>
      <c r="BH100" s="5095"/>
      <c r="BI100" s="3822"/>
      <c r="BJ100" s="3822"/>
      <c r="BK100" s="5092"/>
      <c r="BL100" s="5095"/>
      <c r="BM100" s="5095"/>
      <c r="BN100" s="5079"/>
      <c r="BO100" s="5079"/>
      <c r="BP100" s="5079"/>
      <c r="BQ100" s="5079"/>
      <c r="BR100" s="5082"/>
    </row>
    <row r="101" spans="1:312" s="2144" customFormat="1" ht="75.75" customHeight="1" x14ac:dyDescent="0.2">
      <c r="A101" s="2136"/>
      <c r="B101" s="2137"/>
      <c r="C101" s="2138"/>
      <c r="D101" s="2137"/>
      <c r="E101" s="2137"/>
      <c r="F101" s="2138"/>
      <c r="G101" s="2145"/>
      <c r="H101" s="2137"/>
      <c r="I101" s="2138"/>
      <c r="J101" s="5110">
        <v>138</v>
      </c>
      <c r="K101" s="5087" t="s">
        <v>1687</v>
      </c>
      <c r="L101" s="5084" t="s">
        <v>1581</v>
      </c>
      <c r="M101" s="5084">
        <v>12</v>
      </c>
      <c r="N101" s="5151">
        <v>11</v>
      </c>
      <c r="O101" s="5085"/>
      <c r="P101" s="5085"/>
      <c r="Q101" s="5088"/>
      <c r="R101" s="5118">
        <f>SUM(W101:W105)/S85</f>
        <v>0.20289855072463769</v>
      </c>
      <c r="S101" s="5102"/>
      <c r="T101" s="5088"/>
      <c r="U101" s="5087" t="s">
        <v>1688</v>
      </c>
      <c r="V101" s="2176" t="s">
        <v>1689</v>
      </c>
      <c r="W101" s="2172">
        <v>5000000</v>
      </c>
      <c r="X101" s="2142">
        <v>5000000</v>
      </c>
      <c r="Y101" s="2142">
        <v>5000000</v>
      </c>
      <c r="Z101" s="2143">
        <v>61</v>
      </c>
      <c r="AA101" s="5085"/>
      <c r="AB101" s="5085"/>
      <c r="AC101" s="5085"/>
      <c r="AD101" s="5085"/>
      <c r="AE101" s="5085"/>
      <c r="AF101" s="5085"/>
      <c r="AG101" s="5085"/>
      <c r="AH101" s="5085"/>
      <c r="AI101" s="5085"/>
      <c r="AJ101" s="5085"/>
      <c r="AK101" s="5085"/>
      <c r="AL101" s="5085"/>
      <c r="AM101" s="5085"/>
      <c r="AN101" s="5085"/>
      <c r="AO101" s="5085"/>
      <c r="AP101" s="5085"/>
      <c r="AQ101" s="5085"/>
      <c r="AR101" s="5085"/>
      <c r="AS101" s="5085"/>
      <c r="AT101" s="5085"/>
      <c r="AU101" s="5085"/>
      <c r="AV101" s="5085"/>
      <c r="AW101" s="5085"/>
      <c r="AX101" s="5085"/>
      <c r="AY101" s="5085"/>
      <c r="AZ101" s="5085"/>
      <c r="BA101" s="5085"/>
      <c r="BB101" s="5085"/>
      <c r="BC101" s="5085"/>
      <c r="BD101" s="5085"/>
      <c r="BE101" s="5085"/>
      <c r="BF101" s="5085"/>
      <c r="BG101" s="5085"/>
      <c r="BH101" s="5095"/>
      <c r="BI101" s="3822"/>
      <c r="BJ101" s="3822"/>
      <c r="BK101" s="5092"/>
      <c r="BL101" s="5095"/>
      <c r="BM101" s="5095"/>
      <c r="BN101" s="5079"/>
      <c r="BO101" s="5079"/>
      <c r="BP101" s="5079"/>
      <c r="BQ101" s="5079"/>
      <c r="BR101" s="5082"/>
    </row>
    <row r="102" spans="1:312" s="2144" customFormat="1" ht="60" customHeight="1" x14ac:dyDescent="0.2">
      <c r="A102" s="2136"/>
      <c r="B102" s="2137"/>
      <c r="C102" s="2138"/>
      <c r="D102" s="2137"/>
      <c r="E102" s="2137"/>
      <c r="F102" s="2138"/>
      <c r="G102" s="2145"/>
      <c r="H102" s="2137"/>
      <c r="I102" s="2138"/>
      <c r="J102" s="5111"/>
      <c r="K102" s="5088"/>
      <c r="L102" s="5085"/>
      <c r="M102" s="5085"/>
      <c r="N102" s="5151"/>
      <c r="O102" s="5085"/>
      <c r="P102" s="5085"/>
      <c r="Q102" s="5088"/>
      <c r="R102" s="5119"/>
      <c r="S102" s="5102"/>
      <c r="T102" s="5088"/>
      <c r="U102" s="5088"/>
      <c r="V102" s="2146" t="s">
        <v>1690</v>
      </c>
      <c r="W102" s="2172">
        <v>5000000</v>
      </c>
      <c r="X102" s="2142">
        <v>5000000</v>
      </c>
      <c r="Y102" s="2142">
        <v>5000000</v>
      </c>
      <c r="Z102" s="2143">
        <v>61</v>
      </c>
      <c r="AA102" s="5085"/>
      <c r="AB102" s="5085"/>
      <c r="AC102" s="5085"/>
      <c r="AD102" s="5085"/>
      <c r="AE102" s="5085"/>
      <c r="AF102" s="5085"/>
      <c r="AG102" s="5085"/>
      <c r="AH102" s="5085"/>
      <c r="AI102" s="5085"/>
      <c r="AJ102" s="5085"/>
      <c r="AK102" s="5085"/>
      <c r="AL102" s="5085"/>
      <c r="AM102" s="5085"/>
      <c r="AN102" s="5085"/>
      <c r="AO102" s="5085"/>
      <c r="AP102" s="5085"/>
      <c r="AQ102" s="5085"/>
      <c r="AR102" s="5085"/>
      <c r="AS102" s="5085"/>
      <c r="AT102" s="5085"/>
      <c r="AU102" s="5085"/>
      <c r="AV102" s="5085"/>
      <c r="AW102" s="5085"/>
      <c r="AX102" s="5085"/>
      <c r="AY102" s="5085"/>
      <c r="AZ102" s="5085"/>
      <c r="BA102" s="5085"/>
      <c r="BB102" s="5085"/>
      <c r="BC102" s="5085"/>
      <c r="BD102" s="5085"/>
      <c r="BE102" s="5085"/>
      <c r="BF102" s="5085"/>
      <c r="BG102" s="5085"/>
      <c r="BH102" s="5095"/>
      <c r="BI102" s="3822"/>
      <c r="BJ102" s="3822"/>
      <c r="BK102" s="5092"/>
      <c r="BL102" s="5095"/>
      <c r="BM102" s="5095"/>
      <c r="BN102" s="5079"/>
      <c r="BO102" s="5079"/>
      <c r="BP102" s="5079"/>
      <c r="BQ102" s="5079"/>
      <c r="BR102" s="5082"/>
    </row>
    <row r="103" spans="1:312" s="2144" customFormat="1" ht="49.5" customHeight="1" x14ac:dyDescent="0.2">
      <c r="A103" s="2136"/>
      <c r="B103" s="2137"/>
      <c r="C103" s="2138"/>
      <c r="D103" s="2137"/>
      <c r="E103" s="2137"/>
      <c r="F103" s="2138"/>
      <c r="G103" s="2145"/>
      <c r="H103" s="2137"/>
      <c r="I103" s="2138"/>
      <c r="J103" s="5111"/>
      <c r="K103" s="5088"/>
      <c r="L103" s="5085"/>
      <c r="M103" s="5085"/>
      <c r="N103" s="5151"/>
      <c r="O103" s="5085"/>
      <c r="P103" s="5085"/>
      <c r="Q103" s="5088"/>
      <c r="R103" s="5119"/>
      <c r="S103" s="5102"/>
      <c r="T103" s="5088"/>
      <c r="U103" s="5088"/>
      <c r="V103" s="2176" t="s">
        <v>1691</v>
      </c>
      <c r="W103" s="2172">
        <v>5000000</v>
      </c>
      <c r="X103" s="2142">
        <v>5000000</v>
      </c>
      <c r="Y103" s="2142">
        <v>5000000</v>
      </c>
      <c r="Z103" s="2143">
        <v>61</v>
      </c>
      <c r="AA103" s="5085"/>
      <c r="AB103" s="5085"/>
      <c r="AC103" s="5085"/>
      <c r="AD103" s="5085"/>
      <c r="AE103" s="5085"/>
      <c r="AF103" s="5085"/>
      <c r="AG103" s="5085"/>
      <c r="AH103" s="5085"/>
      <c r="AI103" s="5085"/>
      <c r="AJ103" s="5085"/>
      <c r="AK103" s="5085"/>
      <c r="AL103" s="5085"/>
      <c r="AM103" s="5085"/>
      <c r="AN103" s="5085"/>
      <c r="AO103" s="5085"/>
      <c r="AP103" s="5085"/>
      <c r="AQ103" s="5085"/>
      <c r="AR103" s="5085"/>
      <c r="AS103" s="5085"/>
      <c r="AT103" s="5085"/>
      <c r="AU103" s="5085"/>
      <c r="AV103" s="5085"/>
      <c r="AW103" s="5085"/>
      <c r="AX103" s="5085"/>
      <c r="AY103" s="5085"/>
      <c r="AZ103" s="5085"/>
      <c r="BA103" s="5085"/>
      <c r="BB103" s="5085"/>
      <c r="BC103" s="5085"/>
      <c r="BD103" s="5085"/>
      <c r="BE103" s="5085"/>
      <c r="BF103" s="5085"/>
      <c r="BG103" s="5085"/>
      <c r="BH103" s="5095"/>
      <c r="BI103" s="3822"/>
      <c r="BJ103" s="3822"/>
      <c r="BK103" s="5092"/>
      <c r="BL103" s="5095"/>
      <c r="BM103" s="5095"/>
      <c r="BN103" s="5079"/>
      <c r="BO103" s="5079"/>
      <c r="BP103" s="5079"/>
      <c r="BQ103" s="5079"/>
      <c r="BR103" s="5082"/>
    </row>
    <row r="104" spans="1:312" s="2144" customFormat="1" ht="87" customHeight="1" x14ac:dyDescent="0.2">
      <c r="A104" s="2136"/>
      <c r="B104" s="2137"/>
      <c r="C104" s="2138"/>
      <c r="D104" s="2137"/>
      <c r="E104" s="2137"/>
      <c r="F104" s="2138"/>
      <c r="G104" s="2145"/>
      <c r="H104" s="2137"/>
      <c r="I104" s="2138"/>
      <c r="J104" s="5111"/>
      <c r="K104" s="5088"/>
      <c r="L104" s="5085"/>
      <c r="M104" s="5085"/>
      <c r="N104" s="5151"/>
      <c r="O104" s="5085"/>
      <c r="P104" s="5085"/>
      <c r="Q104" s="5088"/>
      <c r="R104" s="5119"/>
      <c r="S104" s="5102"/>
      <c r="T104" s="5088"/>
      <c r="U104" s="5088"/>
      <c r="V104" s="2176" t="s">
        <v>1692</v>
      </c>
      <c r="W104" s="2172">
        <v>5000000</v>
      </c>
      <c r="X104" s="2142">
        <v>5000000</v>
      </c>
      <c r="Y104" s="2142">
        <v>5000000</v>
      </c>
      <c r="Z104" s="2143">
        <v>61</v>
      </c>
      <c r="AA104" s="5085"/>
      <c r="AB104" s="5085"/>
      <c r="AC104" s="5085"/>
      <c r="AD104" s="5085"/>
      <c r="AE104" s="5085"/>
      <c r="AF104" s="5085"/>
      <c r="AG104" s="5085"/>
      <c r="AH104" s="5085"/>
      <c r="AI104" s="5085"/>
      <c r="AJ104" s="5085"/>
      <c r="AK104" s="5085"/>
      <c r="AL104" s="5085"/>
      <c r="AM104" s="5085"/>
      <c r="AN104" s="5085"/>
      <c r="AO104" s="5085"/>
      <c r="AP104" s="5085"/>
      <c r="AQ104" s="5085"/>
      <c r="AR104" s="5085"/>
      <c r="AS104" s="5085"/>
      <c r="AT104" s="5085"/>
      <c r="AU104" s="5085"/>
      <c r="AV104" s="5085"/>
      <c r="AW104" s="5085"/>
      <c r="AX104" s="5085"/>
      <c r="AY104" s="5085"/>
      <c r="AZ104" s="5085"/>
      <c r="BA104" s="5085"/>
      <c r="BB104" s="5085"/>
      <c r="BC104" s="5085"/>
      <c r="BD104" s="5085"/>
      <c r="BE104" s="5085"/>
      <c r="BF104" s="5085"/>
      <c r="BG104" s="5085"/>
      <c r="BH104" s="5095"/>
      <c r="BI104" s="3822"/>
      <c r="BJ104" s="3822"/>
      <c r="BK104" s="5092"/>
      <c r="BL104" s="5095"/>
      <c r="BM104" s="5095"/>
      <c r="BN104" s="5079"/>
      <c r="BO104" s="5079"/>
      <c r="BP104" s="5079"/>
      <c r="BQ104" s="5079"/>
      <c r="BR104" s="5082"/>
    </row>
    <row r="105" spans="1:312" s="2177" customFormat="1" ht="93.75" customHeight="1" x14ac:dyDescent="0.2">
      <c r="A105" s="2136"/>
      <c r="B105" s="2137"/>
      <c r="C105" s="2138"/>
      <c r="D105" s="2137"/>
      <c r="E105" s="2137"/>
      <c r="F105" s="2138"/>
      <c r="G105" s="2149"/>
      <c r="H105" s="2147"/>
      <c r="I105" s="2148"/>
      <c r="J105" s="5112"/>
      <c r="K105" s="5089"/>
      <c r="L105" s="5086"/>
      <c r="M105" s="5086"/>
      <c r="N105" s="5151"/>
      <c r="O105" s="5085"/>
      <c r="P105" s="5086"/>
      <c r="Q105" s="5089"/>
      <c r="R105" s="5120"/>
      <c r="S105" s="5121"/>
      <c r="T105" s="5089"/>
      <c r="U105" s="5089"/>
      <c r="V105" s="2176" t="s">
        <v>1693</v>
      </c>
      <c r="W105" s="2172">
        <v>8000000</v>
      </c>
      <c r="X105" s="2142">
        <v>7980000</v>
      </c>
      <c r="Y105" s="2142">
        <v>7980000</v>
      </c>
      <c r="Z105" s="2143">
        <v>61</v>
      </c>
      <c r="AA105" s="5086"/>
      <c r="AB105" s="5086"/>
      <c r="AC105" s="5086"/>
      <c r="AD105" s="5086"/>
      <c r="AE105" s="5086"/>
      <c r="AF105" s="5086"/>
      <c r="AG105" s="5086"/>
      <c r="AH105" s="5086"/>
      <c r="AI105" s="5086"/>
      <c r="AJ105" s="5086"/>
      <c r="AK105" s="5086"/>
      <c r="AL105" s="5086"/>
      <c r="AM105" s="5086"/>
      <c r="AN105" s="5086"/>
      <c r="AO105" s="5086"/>
      <c r="AP105" s="5086"/>
      <c r="AQ105" s="5086"/>
      <c r="AR105" s="5086"/>
      <c r="AS105" s="5086"/>
      <c r="AT105" s="5086"/>
      <c r="AU105" s="5086"/>
      <c r="AV105" s="5086"/>
      <c r="AW105" s="5086"/>
      <c r="AX105" s="5086"/>
      <c r="AY105" s="5086"/>
      <c r="AZ105" s="5086"/>
      <c r="BA105" s="5086"/>
      <c r="BB105" s="5086"/>
      <c r="BC105" s="5086"/>
      <c r="BD105" s="5086"/>
      <c r="BE105" s="5086"/>
      <c r="BF105" s="5086"/>
      <c r="BG105" s="5086"/>
      <c r="BH105" s="5103"/>
      <c r="BI105" s="3823"/>
      <c r="BJ105" s="3823"/>
      <c r="BK105" s="5109"/>
      <c r="BL105" s="5103"/>
      <c r="BM105" s="5103"/>
      <c r="BN105" s="5117"/>
      <c r="BO105" s="5117"/>
      <c r="BP105" s="5117"/>
      <c r="BQ105" s="5117"/>
      <c r="BR105" s="5098"/>
      <c r="BS105" s="2144"/>
      <c r="BT105" s="2144"/>
      <c r="BU105" s="2144"/>
      <c r="BV105" s="2144"/>
      <c r="BW105" s="2144"/>
      <c r="BX105" s="2144"/>
      <c r="BY105" s="2144"/>
      <c r="BZ105" s="2144"/>
      <c r="CA105" s="2144"/>
      <c r="CB105" s="2144"/>
      <c r="CC105" s="2144"/>
      <c r="CD105" s="2144"/>
      <c r="CE105" s="2144"/>
      <c r="CF105" s="2144"/>
      <c r="CG105" s="2144"/>
      <c r="CH105" s="2144"/>
      <c r="CI105" s="2144"/>
      <c r="CJ105" s="2144"/>
      <c r="CK105" s="2144"/>
      <c r="CL105" s="2144"/>
      <c r="CM105" s="2144"/>
      <c r="CN105" s="2144"/>
      <c r="CO105" s="2144"/>
      <c r="CP105" s="2144"/>
      <c r="CQ105" s="2144"/>
      <c r="CR105" s="2144"/>
      <c r="CS105" s="2144"/>
      <c r="CT105" s="2144"/>
      <c r="CU105" s="2144"/>
      <c r="CV105" s="2144"/>
      <c r="CW105" s="2144"/>
      <c r="CX105" s="2144"/>
      <c r="CY105" s="2144"/>
      <c r="CZ105" s="2144"/>
      <c r="DA105" s="2144"/>
      <c r="DB105" s="2144"/>
      <c r="DC105" s="2144"/>
      <c r="DD105" s="2144"/>
      <c r="DE105" s="2144"/>
      <c r="DF105" s="2144"/>
      <c r="DG105" s="2144"/>
      <c r="DH105" s="2144"/>
      <c r="DI105" s="2144"/>
      <c r="DJ105" s="2144"/>
      <c r="DK105" s="2144"/>
      <c r="DL105" s="2144"/>
      <c r="DM105" s="2144"/>
      <c r="DN105" s="2144"/>
      <c r="DO105" s="2144"/>
      <c r="DP105" s="2144"/>
      <c r="DQ105" s="2144"/>
      <c r="DR105" s="2144"/>
      <c r="DS105" s="2144"/>
      <c r="DT105" s="2144"/>
      <c r="DU105" s="2144"/>
      <c r="DV105" s="2144"/>
      <c r="DW105" s="2144"/>
      <c r="DX105" s="2144"/>
      <c r="DY105" s="2144"/>
      <c r="DZ105" s="2144"/>
      <c r="EA105" s="2144"/>
      <c r="EB105" s="2144"/>
      <c r="EC105" s="2144"/>
      <c r="ED105" s="2144"/>
      <c r="EE105" s="2144"/>
      <c r="EF105" s="2144"/>
      <c r="EG105" s="2144"/>
      <c r="EH105" s="2144"/>
      <c r="EI105" s="2144"/>
      <c r="EJ105" s="2144"/>
      <c r="EK105" s="2144"/>
      <c r="EL105" s="2144"/>
      <c r="EM105" s="2144"/>
      <c r="EN105" s="2144"/>
      <c r="EO105" s="2144"/>
      <c r="EP105" s="2144"/>
      <c r="EQ105" s="2144"/>
      <c r="ER105" s="2144"/>
      <c r="ES105" s="2144"/>
      <c r="ET105" s="2144"/>
      <c r="EU105" s="2144"/>
      <c r="EV105" s="2144"/>
      <c r="EW105" s="2144"/>
      <c r="EX105" s="2144"/>
      <c r="EY105" s="2144"/>
      <c r="EZ105" s="2144"/>
      <c r="FA105" s="2144"/>
      <c r="FB105" s="2144"/>
      <c r="FC105" s="2144"/>
      <c r="FD105" s="2144"/>
      <c r="FE105" s="2144"/>
      <c r="FF105" s="2144"/>
      <c r="FG105" s="2144"/>
      <c r="FH105" s="2144"/>
      <c r="FI105" s="2144"/>
      <c r="FJ105" s="2144"/>
      <c r="FK105" s="2144"/>
      <c r="FL105" s="2144"/>
      <c r="FM105" s="2144"/>
      <c r="FN105" s="2144"/>
      <c r="FO105" s="2144"/>
      <c r="FP105" s="2144"/>
      <c r="FQ105" s="2144"/>
      <c r="FR105" s="2144"/>
      <c r="FS105" s="2144"/>
      <c r="FT105" s="2144"/>
      <c r="FU105" s="2144"/>
      <c r="FV105" s="2144"/>
      <c r="FW105" s="2144"/>
      <c r="FX105" s="2144"/>
      <c r="FY105" s="2144"/>
      <c r="FZ105" s="2144"/>
      <c r="GA105" s="2144"/>
      <c r="GB105" s="2144"/>
      <c r="GC105" s="2144"/>
      <c r="GD105" s="2144"/>
      <c r="GE105" s="2144"/>
      <c r="GF105" s="2144"/>
      <c r="GG105" s="2144"/>
      <c r="GH105" s="2144"/>
      <c r="GI105" s="2144"/>
      <c r="GJ105" s="2144"/>
      <c r="GK105" s="2144"/>
      <c r="GL105" s="2144"/>
      <c r="GM105" s="2144"/>
      <c r="GN105" s="2144"/>
      <c r="GO105" s="2144"/>
      <c r="GP105" s="2144"/>
      <c r="GQ105" s="2144"/>
      <c r="GR105" s="2144"/>
      <c r="GS105" s="2144"/>
      <c r="GT105" s="2144"/>
      <c r="GU105" s="2144"/>
      <c r="GV105" s="2144"/>
      <c r="GW105" s="2144"/>
      <c r="GX105" s="2144"/>
      <c r="GY105" s="2144"/>
      <c r="GZ105" s="2144"/>
      <c r="HA105" s="2144"/>
      <c r="HB105" s="2144"/>
      <c r="HC105" s="2144"/>
      <c r="HD105" s="2144"/>
      <c r="HE105" s="2144"/>
      <c r="HF105" s="2144"/>
      <c r="HG105" s="2144"/>
      <c r="HH105" s="2144"/>
      <c r="HI105" s="2144"/>
      <c r="HJ105" s="2144"/>
      <c r="HK105" s="2144"/>
      <c r="HL105" s="2144"/>
      <c r="HM105" s="2144"/>
      <c r="HN105" s="2144"/>
      <c r="HO105" s="2144"/>
      <c r="HP105" s="2144"/>
      <c r="HQ105" s="2144"/>
      <c r="HR105" s="2144"/>
      <c r="HS105" s="2144"/>
      <c r="HT105" s="2144"/>
      <c r="HU105" s="2144"/>
      <c r="HV105" s="2144"/>
      <c r="HW105" s="2144"/>
      <c r="HX105" s="2144"/>
      <c r="HY105" s="2144"/>
      <c r="HZ105" s="2144"/>
      <c r="IA105" s="2144"/>
      <c r="IB105" s="2144"/>
      <c r="IC105" s="2144"/>
      <c r="ID105" s="2144"/>
      <c r="IE105" s="2144"/>
      <c r="IF105" s="2144"/>
      <c r="IG105" s="2144"/>
      <c r="IH105" s="2144"/>
      <c r="II105" s="2144"/>
      <c r="IJ105" s="2144"/>
      <c r="IK105" s="2144"/>
      <c r="IL105" s="2144"/>
      <c r="IM105" s="2144"/>
      <c r="IN105" s="2144"/>
      <c r="IO105" s="2144"/>
      <c r="IP105" s="2144"/>
      <c r="IQ105" s="2144"/>
      <c r="IR105" s="2144"/>
      <c r="IS105" s="2144"/>
      <c r="IT105" s="2144"/>
      <c r="IU105" s="2144"/>
      <c r="IV105" s="2144"/>
      <c r="IW105" s="2144"/>
      <c r="IX105" s="2144"/>
      <c r="IY105" s="2144"/>
      <c r="IZ105" s="2144"/>
      <c r="JA105" s="2144"/>
      <c r="JB105" s="2144"/>
      <c r="JC105" s="2144"/>
      <c r="JD105" s="2144"/>
      <c r="JE105" s="2144"/>
      <c r="JF105" s="2144"/>
      <c r="JG105" s="2144"/>
      <c r="JH105" s="2144"/>
      <c r="JI105" s="2144"/>
      <c r="JJ105" s="2144"/>
      <c r="JK105" s="2144"/>
      <c r="JL105" s="2144"/>
      <c r="JM105" s="2144"/>
      <c r="JN105" s="2144"/>
      <c r="JO105" s="2144"/>
      <c r="JP105" s="2144"/>
      <c r="JQ105" s="2144"/>
      <c r="JR105" s="2144"/>
      <c r="JS105" s="2144"/>
      <c r="JT105" s="2144"/>
      <c r="JU105" s="2144"/>
      <c r="JV105" s="2144"/>
      <c r="JW105" s="2144"/>
      <c r="JX105" s="2144"/>
      <c r="JY105" s="2144"/>
      <c r="JZ105" s="2144"/>
      <c r="KA105" s="2144"/>
      <c r="KB105" s="2144"/>
      <c r="KC105" s="2144"/>
      <c r="KD105" s="2144"/>
      <c r="KE105" s="2144"/>
      <c r="KF105" s="2144"/>
      <c r="KG105" s="2144"/>
      <c r="KH105" s="2144"/>
      <c r="KI105" s="2144"/>
      <c r="KJ105" s="2144"/>
      <c r="KK105" s="2144"/>
      <c r="KL105" s="2144"/>
      <c r="KM105" s="2144"/>
      <c r="KN105" s="2144"/>
      <c r="KO105" s="2144"/>
      <c r="KP105" s="2144"/>
      <c r="KQ105" s="2144"/>
      <c r="KR105" s="2144"/>
      <c r="KS105" s="2144"/>
      <c r="KT105" s="2144"/>
      <c r="KU105" s="2144"/>
      <c r="KV105" s="2144"/>
      <c r="KW105" s="2144"/>
      <c r="KX105" s="2144"/>
      <c r="KY105" s="2144"/>
      <c r="KZ105" s="2144"/>
    </row>
    <row r="106" spans="1:312" ht="36" customHeight="1" x14ac:dyDescent="0.2">
      <c r="A106" s="2122"/>
      <c r="B106" s="2123"/>
      <c r="C106" s="2124"/>
      <c r="D106" s="2123"/>
      <c r="E106" s="2123"/>
      <c r="F106" s="2124"/>
      <c r="G106" s="2158">
        <v>39</v>
      </c>
      <c r="H106" s="2128" t="s">
        <v>1694</v>
      </c>
      <c r="I106" s="2128"/>
      <c r="J106" s="2128"/>
      <c r="K106" s="2129"/>
      <c r="L106" s="2128"/>
      <c r="M106" s="2128"/>
      <c r="N106" s="2128"/>
      <c r="O106" s="2130"/>
      <c r="P106" s="2128"/>
      <c r="Q106" s="2129"/>
      <c r="R106" s="2128"/>
      <c r="S106" s="2159"/>
      <c r="T106" s="2129"/>
      <c r="U106" s="2129"/>
      <c r="V106" s="2129"/>
      <c r="W106" s="2160"/>
      <c r="X106" s="2160"/>
      <c r="Y106" s="2160"/>
      <c r="Z106" s="2161"/>
      <c r="AA106" s="2130"/>
      <c r="AB106" s="2130"/>
      <c r="AC106" s="2130"/>
      <c r="AD106" s="2130"/>
      <c r="AE106" s="2130"/>
      <c r="AF106" s="2130"/>
      <c r="AG106" s="2130"/>
      <c r="AH106" s="2130"/>
      <c r="AI106" s="2130"/>
      <c r="AJ106" s="2130"/>
      <c r="AK106" s="2130"/>
      <c r="AL106" s="2130"/>
      <c r="AM106" s="2130"/>
      <c r="AN106" s="2130"/>
      <c r="AO106" s="2130"/>
      <c r="AP106" s="2130"/>
      <c r="AQ106" s="2130"/>
      <c r="AR106" s="2130"/>
      <c r="AS106" s="2130"/>
      <c r="AT106" s="2130"/>
      <c r="AU106" s="2130"/>
      <c r="AV106" s="2130"/>
      <c r="AW106" s="2130"/>
      <c r="AX106" s="2130"/>
      <c r="AY106" s="2130"/>
      <c r="AZ106" s="2130"/>
      <c r="BA106" s="2130"/>
      <c r="BB106" s="2130"/>
      <c r="BC106" s="2130"/>
      <c r="BD106" s="2130"/>
      <c r="BE106" s="2130"/>
      <c r="BF106" s="2130"/>
      <c r="BG106" s="2130"/>
      <c r="BH106" s="2130"/>
      <c r="BI106" s="2162"/>
      <c r="BJ106" s="2162"/>
      <c r="BK106" s="2130"/>
      <c r="BL106" s="2130"/>
      <c r="BM106" s="2130"/>
      <c r="BN106" s="2130"/>
      <c r="BO106" s="2130"/>
      <c r="BP106" s="2128"/>
      <c r="BQ106" s="2128"/>
      <c r="BR106" s="2135"/>
    </row>
    <row r="107" spans="1:312" s="2144" customFormat="1" ht="113.25" customHeight="1" x14ac:dyDescent="0.2">
      <c r="A107" s="2136"/>
      <c r="B107" s="2137"/>
      <c r="C107" s="2138"/>
      <c r="D107" s="2137"/>
      <c r="E107" s="2137"/>
      <c r="F107" s="2138"/>
      <c r="G107" s="2139"/>
      <c r="H107" s="2140"/>
      <c r="I107" s="2141"/>
      <c r="J107" s="5110">
        <v>139</v>
      </c>
      <c r="K107" s="5087" t="s">
        <v>1695</v>
      </c>
      <c r="L107" s="5084" t="s">
        <v>1581</v>
      </c>
      <c r="M107" s="5084">
        <v>1</v>
      </c>
      <c r="N107" s="5084">
        <v>0.8</v>
      </c>
      <c r="O107" s="5084" t="s">
        <v>1696</v>
      </c>
      <c r="P107" s="5084" t="s">
        <v>1697</v>
      </c>
      <c r="Q107" s="5087" t="s">
        <v>1698</v>
      </c>
      <c r="R107" s="5118">
        <f>SUM(W107:W111)/S107</f>
        <v>0.65300546448087426</v>
      </c>
      <c r="S107" s="5101">
        <f>SUM(W107:W119)</f>
        <v>183000000</v>
      </c>
      <c r="T107" s="5087" t="s">
        <v>1699</v>
      </c>
      <c r="U107" s="5087" t="s">
        <v>1700</v>
      </c>
      <c r="V107" s="2146" t="s">
        <v>1701</v>
      </c>
      <c r="W107" s="2172">
        <v>28000000</v>
      </c>
      <c r="X107" s="2142">
        <v>27622250</v>
      </c>
      <c r="Y107" s="2142">
        <v>22864750</v>
      </c>
      <c r="Z107" s="2143">
        <v>61</v>
      </c>
      <c r="AA107" s="5084" t="s">
        <v>1637</v>
      </c>
      <c r="AB107" s="5084">
        <v>292684</v>
      </c>
      <c r="AC107" s="5084">
        <v>187318</v>
      </c>
      <c r="AD107" s="5084">
        <v>282326</v>
      </c>
      <c r="AE107" s="5084">
        <v>180689</v>
      </c>
      <c r="AF107" s="5084">
        <v>135912</v>
      </c>
      <c r="AG107" s="5084">
        <v>86984</v>
      </c>
      <c r="AH107" s="5084">
        <v>45122</v>
      </c>
      <c r="AI107" s="5084">
        <v>28878</v>
      </c>
      <c r="AJ107" s="5084">
        <f>SUM(AJ85)</f>
        <v>307101</v>
      </c>
      <c r="AK107" s="5084">
        <v>196545</v>
      </c>
      <c r="AL107" s="5084">
        <f>SUM(AL85)</f>
        <v>86875</v>
      </c>
      <c r="AM107" s="5084">
        <v>55600</v>
      </c>
      <c r="AN107" s="5084">
        <f>SUM(AN85)</f>
        <v>2145</v>
      </c>
      <c r="AO107" s="5084">
        <v>1373</v>
      </c>
      <c r="AP107" s="5084">
        <v>12718</v>
      </c>
      <c r="AQ107" s="5084">
        <v>8140</v>
      </c>
      <c r="AR107" s="5084">
        <v>26</v>
      </c>
      <c r="AS107" s="5084">
        <v>17</v>
      </c>
      <c r="AT107" s="5084">
        <v>37</v>
      </c>
      <c r="AU107" s="5084">
        <v>24</v>
      </c>
      <c r="AV107" s="5084" t="s">
        <v>1588</v>
      </c>
      <c r="AW107" s="5084" t="s">
        <v>1588</v>
      </c>
      <c r="AX107" s="5084" t="s">
        <v>1588</v>
      </c>
      <c r="AY107" s="5084" t="s">
        <v>1588</v>
      </c>
      <c r="AZ107" s="5084">
        <v>53164</v>
      </c>
      <c r="BA107" s="5084">
        <v>34025</v>
      </c>
      <c r="BB107" s="5084">
        <v>16982</v>
      </c>
      <c r="BC107" s="5084">
        <v>10868</v>
      </c>
      <c r="BD107" s="5084">
        <v>60013</v>
      </c>
      <c r="BE107" s="5084">
        <v>38408</v>
      </c>
      <c r="BF107" s="5084">
        <v>575010</v>
      </c>
      <c r="BG107" s="5084">
        <v>368006</v>
      </c>
      <c r="BH107" s="5094">
        <v>16</v>
      </c>
      <c r="BI107" s="3821">
        <f>SUM(X107:X119)</f>
        <v>173726000</v>
      </c>
      <c r="BJ107" s="3821">
        <f>SUM(Y107:Y119)</f>
        <v>119439000</v>
      </c>
      <c r="BK107" s="5091">
        <f>+BJ107/BI107</f>
        <v>0.68751367095311011</v>
      </c>
      <c r="BL107" s="5094" t="s">
        <v>1589</v>
      </c>
      <c r="BM107" s="5094" t="s">
        <v>1590</v>
      </c>
      <c r="BN107" s="5078">
        <v>43467</v>
      </c>
      <c r="BO107" s="5078">
        <v>43830</v>
      </c>
      <c r="BP107" s="5078">
        <v>43830</v>
      </c>
      <c r="BQ107" s="5078" t="s">
        <v>1702</v>
      </c>
      <c r="BR107" s="5081" t="s">
        <v>1591</v>
      </c>
    </row>
    <row r="108" spans="1:312" s="2144" customFormat="1" ht="40.5" customHeight="1" x14ac:dyDescent="0.2">
      <c r="A108" s="2136"/>
      <c r="B108" s="2137"/>
      <c r="C108" s="2138"/>
      <c r="D108" s="2137"/>
      <c r="E108" s="2137"/>
      <c r="F108" s="2138"/>
      <c r="G108" s="2145"/>
      <c r="H108" s="2137"/>
      <c r="I108" s="2138"/>
      <c r="J108" s="5111"/>
      <c r="K108" s="5088"/>
      <c r="L108" s="5085"/>
      <c r="M108" s="5085"/>
      <c r="N108" s="5085"/>
      <c r="O108" s="5085"/>
      <c r="P108" s="5085"/>
      <c r="Q108" s="5088"/>
      <c r="R108" s="5119"/>
      <c r="S108" s="5102"/>
      <c r="T108" s="5088"/>
      <c r="U108" s="5088"/>
      <c r="V108" s="5217" t="s">
        <v>1703</v>
      </c>
      <c r="W108" s="2172">
        <v>28000000</v>
      </c>
      <c r="X108" s="2142">
        <v>27622250</v>
      </c>
      <c r="Y108" s="2142">
        <v>22864750</v>
      </c>
      <c r="Z108" s="2143">
        <v>61</v>
      </c>
      <c r="AA108" s="5085"/>
      <c r="AB108" s="5085"/>
      <c r="AC108" s="5085"/>
      <c r="AD108" s="5085"/>
      <c r="AE108" s="5085"/>
      <c r="AF108" s="5085"/>
      <c r="AG108" s="5085"/>
      <c r="AH108" s="5085"/>
      <c r="AI108" s="5085"/>
      <c r="AJ108" s="5085"/>
      <c r="AK108" s="5085"/>
      <c r="AL108" s="5085"/>
      <c r="AM108" s="5085"/>
      <c r="AN108" s="5085"/>
      <c r="AO108" s="5085"/>
      <c r="AP108" s="5085"/>
      <c r="AQ108" s="5085"/>
      <c r="AR108" s="5085"/>
      <c r="AS108" s="5085"/>
      <c r="AT108" s="5085"/>
      <c r="AU108" s="5085"/>
      <c r="AV108" s="5085"/>
      <c r="AW108" s="5085"/>
      <c r="AX108" s="5085"/>
      <c r="AY108" s="5085"/>
      <c r="AZ108" s="5085"/>
      <c r="BA108" s="5085"/>
      <c r="BB108" s="5085"/>
      <c r="BC108" s="5085"/>
      <c r="BD108" s="5085"/>
      <c r="BE108" s="5085"/>
      <c r="BF108" s="5085"/>
      <c r="BG108" s="5085"/>
      <c r="BH108" s="5095"/>
      <c r="BI108" s="3822"/>
      <c r="BJ108" s="3822"/>
      <c r="BK108" s="5092"/>
      <c r="BL108" s="5095"/>
      <c r="BM108" s="5095"/>
      <c r="BN108" s="5079"/>
      <c r="BO108" s="5079"/>
      <c r="BP108" s="5079"/>
      <c r="BQ108" s="5079"/>
      <c r="BR108" s="5082"/>
    </row>
    <row r="109" spans="1:312" s="2144" customFormat="1" ht="38.25" customHeight="1" x14ac:dyDescent="0.2">
      <c r="A109" s="2136"/>
      <c r="B109" s="2137"/>
      <c r="C109" s="2138"/>
      <c r="D109" s="2137"/>
      <c r="E109" s="2137"/>
      <c r="F109" s="2138"/>
      <c r="G109" s="2145"/>
      <c r="H109" s="2137"/>
      <c r="I109" s="2138"/>
      <c r="J109" s="5111"/>
      <c r="K109" s="5088"/>
      <c r="L109" s="5085"/>
      <c r="M109" s="5085"/>
      <c r="N109" s="5085"/>
      <c r="O109" s="5085"/>
      <c r="P109" s="5085"/>
      <c r="Q109" s="5088"/>
      <c r="R109" s="5119"/>
      <c r="S109" s="5102"/>
      <c r="T109" s="5088"/>
      <c r="U109" s="5088"/>
      <c r="V109" s="5218"/>
      <c r="W109" s="2170">
        <v>7500000</v>
      </c>
      <c r="X109" s="2142">
        <v>7500000</v>
      </c>
      <c r="Y109" s="2142">
        <v>0</v>
      </c>
      <c r="Z109" s="2178">
        <v>98</v>
      </c>
      <c r="AA109" s="5085"/>
      <c r="AB109" s="5085"/>
      <c r="AC109" s="5085"/>
      <c r="AD109" s="5085"/>
      <c r="AE109" s="5085"/>
      <c r="AF109" s="5085"/>
      <c r="AG109" s="5085"/>
      <c r="AH109" s="5085"/>
      <c r="AI109" s="5085"/>
      <c r="AJ109" s="5085"/>
      <c r="AK109" s="5085"/>
      <c r="AL109" s="5085"/>
      <c r="AM109" s="5085"/>
      <c r="AN109" s="5085"/>
      <c r="AO109" s="5085"/>
      <c r="AP109" s="5085"/>
      <c r="AQ109" s="5085"/>
      <c r="AR109" s="5085"/>
      <c r="AS109" s="5085"/>
      <c r="AT109" s="5085"/>
      <c r="AU109" s="5085"/>
      <c r="AV109" s="5085"/>
      <c r="AW109" s="5085"/>
      <c r="AX109" s="5085"/>
      <c r="AY109" s="5085"/>
      <c r="AZ109" s="5085"/>
      <c r="BA109" s="5085"/>
      <c r="BB109" s="5085"/>
      <c r="BC109" s="5085"/>
      <c r="BD109" s="5085"/>
      <c r="BE109" s="5085"/>
      <c r="BF109" s="5085"/>
      <c r="BG109" s="5085"/>
      <c r="BH109" s="5095"/>
      <c r="BI109" s="3822"/>
      <c r="BJ109" s="3822"/>
      <c r="BK109" s="5092"/>
      <c r="BL109" s="5095"/>
      <c r="BM109" s="5095"/>
      <c r="BN109" s="5079"/>
      <c r="BO109" s="5079"/>
      <c r="BP109" s="5079"/>
      <c r="BQ109" s="5079"/>
      <c r="BR109" s="5082"/>
    </row>
    <row r="110" spans="1:312" s="2144" customFormat="1" ht="75.75" customHeight="1" x14ac:dyDescent="0.2">
      <c r="A110" s="2136"/>
      <c r="B110" s="2137"/>
      <c r="C110" s="2138"/>
      <c r="D110" s="2137"/>
      <c r="E110" s="2137"/>
      <c r="F110" s="2138"/>
      <c r="G110" s="2145"/>
      <c r="H110" s="2137"/>
      <c r="I110" s="2138"/>
      <c r="J110" s="5111"/>
      <c r="K110" s="5088"/>
      <c r="L110" s="5085"/>
      <c r="M110" s="5085"/>
      <c r="N110" s="5085"/>
      <c r="O110" s="5085"/>
      <c r="P110" s="5085"/>
      <c r="Q110" s="5088"/>
      <c r="R110" s="5119"/>
      <c r="S110" s="5102"/>
      <c r="T110" s="5088"/>
      <c r="U110" s="5088"/>
      <c r="V110" s="2146" t="s">
        <v>1704</v>
      </c>
      <c r="W110" s="2172">
        <v>28000000</v>
      </c>
      <c r="X110" s="2142">
        <v>27622250</v>
      </c>
      <c r="Y110" s="2142">
        <v>22864750</v>
      </c>
      <c r="Z110" s="2143">
        <v>61</v>
      </c>
      <c r="AA110" s="5085"/>
      <c r="AB110" s="5085"/>
      <c r="AC110" s="5085"/>
      <c r="AD110" s="5085"/>
      <c r="AE110" s="5085"/>
      <c r="AF110" s="5085"/>
      <c r="AG110" s="5085"/>
      <c r="AH110" s="5085"/>
      <c r="AI110" s="5085"/>
      <c r="AJ110" s="5085"/>
      <c r="AK110" s="5085"/>
      <c r="AL110" s="5085"/>
      <c r="AM110" s="5085"/>
      <c r="AN110" s="5085"/>
      <c r="AO110" s="5085"/>
      <c r="AP110" s="5085"/>
      <c r="AQ110" s="5085"/>
      <c r="AR110" s="5085"/>
      <c r="AS110" s="5085"/>
      <c r="AT110" s="5085"/>
      <c r="AU110" s="5085"/>
      <c r="AV110" s="5085"/>
      <c r="AW110" s="5085"/>
      <c r="AX110" s="5085"/>
      <c r="AY110" s="5085"/>
      <c r="AZ110" s="5085"/>
      <c r="BA110" s="5085"/>
      <c r="BB110" s="5085"/>
      <c r="BC110" s="5085"/>
      <c r="BD110" s="5085"/>
      <c r="BE110" s="5085"/>
      <c r="BF110" s="5085"/>
      <c r="BG110" s="5085"/>
      <c r="BH110" s="5095"/>
      <c r="BI110" s="3822"/>
      <c r="BJ110" s="3822"/>
      <c r="BK110" s="5092"/>
      <c r="BL110" s="5095"/>
      <c r="BM110" s="5095"/>
      <c r="BN110" s="5079"/>
      <c r="BO110" s="5079"/>
      <c r="BP110" s="5079"/>
      <c r="BQ110" s="5079"/>
      <c r="BR110" s="5082"/>
    </row>
    <row r="111" spans="1:312" s="2144" customFormat="1" ht="86.25" customHeight="1" x14ac:dyDescent="0.2">
      <c r="A111" s="2136"/>
      <c r="B111" s="2137"/>
      <c r="C111" s="2138"/>
      <c r="D111" s="2137"/>
      <c r="E111" s="2137"/>
      <c r="F111" s="2138"/>
      <c r="G111" s="2145"/>
      <c r="H111" s="2137"/>
      <c r="I111" s="2138"/>
      <c r="J111" s="5112"/>
      <c r="K111" s="5089"/>
      <c r="L111" s="5086"/>
      <c r="M111" s="5086"/>
      <c r="N111" s="5086"/>
      <c r="O111" s="5085"/>
      <c r="P111" s="5085"/>
      <c r="Q111" s="5088"/>
      <c r="R111" s="5120"/>
      <c r="S111" s="5102"/>
      <c r="T111" s="5088"/>
      <c r="U111" s="5089"/>
      <c r="V111" s="2146" t="s">
        <v>1705</v>
      </c>
      <c r="W111" s="2172">
        <v>28000000</v>
      </c>
      <c r="X111" s="2142">
        <v>27622250</v>
      </c>
      <c r="Y111" s="2142">
        <v>22864750</v>
      </c>
      <c r="Z111" s="2143">
        <v>61</v>
      </c>
      <c r="AA111" s="5085"/>
      <c r="AB111" s="5085"/>
      <c r="AC111" s="5085"/>
      <c r="AD111" s="5085"/>
      <c r="AE111" s="5085"/>
      <c r="AF111" s="5085"/>
      <c r="AG111" s="5085"/>
      <c r="AH111" s="5085"/>
      <c r="AI111" s="5085"/>
      <c r="AJ111" s="5085"/>
      <c r="AK111" s="5085"/>
      <c r="AL111" s="5085"/>
      <c r="AM111" s="5085"/>
      <c r="AN111" s="5085"/>
      <c r="AO111" s="5085"/>
      <c r="AP111" s="5085"/>
      <c r="AQ111" s="5085"/>
      <c r="AR111" s="5085"/>
      <c r="AS111" s="5085"/>
      <c r="AT111" s="5085"/>
      <c r="AU111" s="5085"/>
      <c r="AV111" s="5085"/>
      <c r="AW111" s="5085"/>
      <c r="AX111" s="5085"/>
      <c r="AY111" s="5085"/>
      <c r="AZ111" s="5085"/>
      <c r="BA111" s="5085"/>
      <c r="BB111" s="5085"/>
      <c r="BC111" s="5085"/>
      <c r="BD111" s="5085"/>
      <c r="BE111" s="5085"/>
      <c r="BF111" s="5085"/>
      <c r="BG111" s="5085"/>
      <c r="BH111" s="5095"/>
      <c r="BI111" s="3822"/>
      <c r="BJ111" s="3822"/>
      <c r="BK111" s="5092"/>
      <c r="BL111" s="5095"/>
      <c r="BM111" s="5095"/>
      <c r="BN111" s="5079"/>
      <c r="BO111" s="5079"/>
      <c r="BP111" s="5079"/>
      <c r="BQ111" s="5079"/>
      <c r="BR111" s="5082"/>
    </row>
    <row r="112" spans="1:312" s="2144" customFormat="1" ht="70.5" customHeight="1" x14ac:dyDescent="0.2">
      <c r="A112" s="2136"/>
      <c r="B112" s="2137"/>
      <c r="C112" s="2138"/>
      <c r="D112" s="2137"/>
      <c r="E112" s="2137"/>
      <c r="F112" s="2138"/>
      <c r="G112" s="2145"/>
      <c r="H112" s="2137"/>
      <c r="I112" s="2138"/>
      <c r="J112" s="5110">
        <v>140</v>
      </c>
      <c r="K112" s="5087" t="s">
        <v>1706</v>
      </c>
      <c r="L112" s="5084" t="s">
        <v>1581</v>
      </c>
      <c r="M112" s="5084">
        <v>1</v>
      </c>
      <c r="N112" s="5084">
        <v>0.8</v>
      </c>
      <c r="O112" s="5085"/>
      <c r="P112" s="5085"/>
      <c r="Q112" s="5088"/>
      <c r="R112" s="5118">
        <f>SUM(W112:W115)/S107</f>
        <v>0.15300546448087432</v>
      </c>
      <c r="S112" s="5102"/>
      <c r="T112" s="5088"/>
      <c r="U112" s="5087" t="s">
        <v>1707</v>
      </c>
      <c r="V112" s="2146" t="s">
        <v>1708</v>
      </c>
      <c r="W112" s="2172">
        <v>7000000</v>
      </c>
      <c r="X112" s="2142">
        <v>6295500</v>
      </c>
      <c r="Y112" s="2142">
        <v>3497500</v>
      </c>
      <c r="Z112" s="2143">
        <v>61</v>
      </c>
      <c r="AA112" s="5085"/>
      <c r="AB112" s="5085"/>
      <c r="AC112" s="5085"/>
      <c r="AD112" s="5085"/>
      <c r="AE112" s="5085"/>
      <c r="AF112" s="5085"/>
      <c r="AG112" s="5085"/>
      <c r="AH112" s="5085"/>
      <c r="AI112" s="5085"/>
      <c r="AJ112" s="5085"/>
      <c r="AK112" s="5085"/>
      <c r="AL112" s="5085"/>
      <c r="AM112" s="5085"/>
      <c r="AN112" s="5085"/>
      <c r="AO112" s="5085"/>
      <c r="AP112" s="5085"/>
      <c r="AQ112" s="5085"/>
      <c r="AR112" s="5085"/>
      <c r="AS112" s="5085"/>
      <c r="AT112" s="5085"/>
      <c r="AU112" s="5085"/>
      <c r="AV112" s="5085"/>
      <c r="AW112" s="5085"/>
      <c r="AX112" s="5085"/>
      <c r="AY112" s="5085"/>
      <c r="AZ112" s="5085"/>
      <c r="BA112" s="5085"/>
      <c r="BB112" s="5085"/>
      <c r="BC112" s="5085"/>
      <c r="BD112" s="5085"/>
      <c r="BE112" s="5085"/>
      <c r="BF112" s="5085"/>
      <c r="BG112" s="5085"/>
      <c r="BH112" s="5095"/>
      <c r="BI112" s="3822"/>
      <c r="BJ112" s="3822"/>
      <c r="BK112" s="5092"/>
      <c r="BL112" s="5095"/>
      <c r="BM112" s="5095"/>
      <c r="BN112" s="5079"/>
      <c r="BO112" s="5079"/>
      <c r="BP112" s="5079"/>
      <c r="BQ112" s="5079"/>
      <c r="BR112" s="5082"/>
    </row>
    <row r="113" spans="1:70" s="2144" customFormat="1" ht="90" customHeight="1" x14ac:dyDescent="0.2">
      <c r="A113" s="2136"/>
      <c r="B113" s="2137"/>
      <c r="C113" s="2138"/>
      <c r="D113" s="2137"/>
      <c r="E113" s="2137"/>
      <c r="F113" s="2138"/>
      <c r="G113" s="2145"/>
      <c r="H113" s="2137"/>
      <c r="I113" s="2138"/>
      <c r="J113" s="5111"/>
      <c r="K113" s="5088"/>
      <c r="L113" s="5085"/>
      <c r="M113" s="5085"/>
      <c r="N113" s="5085"/>
      <c r="O113" s="5085"/>
      <c r="P113" s="5085"/>
      <c r="Q113" s="5088"/>
      <c r="R113" s="5119"/>
      <c r="S113" s="5102"/>
      <c r="T113" s="5088"/>
      <c r="U113" s="5088"/>
      <c r="V113" s="2146" t="s">
        <v>1709</v>
      </c>
      <c r="W113" s="2172">
        <v>7000000</v>
      </c>
      <c r="X113" s="2142">
        <v>6295500</v>
      </c>
      <c r="Y113" s="2142">
        <v>3497500</v>
      </c>
      <c r="Z113" s="2143">
        <v>61</v>
      </c>
      <c r="AA113" s="5085"/>
      <c r="AB113" s="5085"/>
      <c r="AC113" s="5085"/>
      <c r="AD113" s="5085"/>
      <c r="AE113" s="5085"/>
      <c r="AF113" s="5085"/>
      <c r="AG113" s="5085"/>
      <c r="AH113" s="5085"/>
      <c r="AI113" s="5085"/>
      <c r="AJ113" s="5085"/>
      <c r="AK113" s="5085"/>
      <c r="AL113" s="5085"/>
      <c r="AM113" s="5085"/>
      <c r="AN113" s="5085"/>
      <c r="AO113" s="5085"/>
      <c r="AP113" s="5085"/>
      <c r="AQ113" s="5085"/>
      <c r="AR113" s="5085"/>
      <c r="AS113" s="5085"/>
      <c r="AT113" s="5085"/>
      <c r="AU113" s="5085"/>
      <c r="AV113" s="5085"/>
      <c r="AW113" s="5085"/>
      <c r="AX113" s="5085"/>
      <c r="AY113" s="5085"/>
      <c r="AZ113" s="5085"/>
      <c r="BA113" s="5085"/>
      <c r="BB113" s="5085"/>
      <c r="BC113" s="5085"/>
      <c r="BD113" s="5085"/>
      <c r="BE113" s="5085"/>
      <c r="BF113" s="5085"/>
      <c r="BG113" s="5085"/>
      <c r="BH113" s="5095"/>
      <c r="BI113" s="3822"/>
      <c r="BJ113" s="3822"/>
      <c r="BK113" s="5092"/>
      <c r="BL113" s="5095"/>
      <c r="BM113" s="5095"/>
      <c r="BN113" s="5079"/>
      <c r="BO113" s="5079"/>
      <c r="BP113" s="5079"/>
      <c r="BQ113" s="5079"/>
      <c r="BR113" s="5082"/>
    </row>
    <row r="114" spans="1:70" s="2144" customFormat="1" ht="42.75" x14ac:dyDescent="0.2">
      <c r="A114" s="2136"/>
      <c r="B114" s="2137"/>
      <c r="C114" s="2138"/>
      <c r="D114" s="2137"/>
      <c r="E114" s="2137"/>
      <c r="F114" s="2138"/>
      <c r="G114" s="2145"/>
      <c r="H114" s="2137"/>
      <c r="I114" s="2138"/>
      <c r="J114" s="5111"/>
      <c r="K114" s="5088"/>
      <c r="L114" s="5085"/>
      <c r="M114" s="5085"/>
      <c r="N114" s="5085"/>
      <c r="O114" s="5085"/>
      <c r="P114" s="5085"/>
      <c r="Q114" s="5088"/>
      <c r="R114" s="5119"/>
      <c r="S114" s="5102"/>
      <c r="T114" s="5088"/>
      <c r="U114" s="5088"/>
      <c r="V114" s="2146" t="s">
        <v>1710</v>
      </c>
      <c r="W114" s="2172">
        <v>7000000</v>
      </c>
      <c r="X114" s="2142">
        <v>6295500</v>
      </c>
      <c r="Y114" s="2142">
        <v>3497500</v>
      </c>
      <c r="Z114" s="2143">
        <v>61</v>
      </c>
      <c r="AA114" s="5085"/>
      <c r="AB114" s="5085"/>
      <c r="AC114" s="5085"/>
      <c r="AD114" s="5085"/>
      <c r="AE114" s="5085"/>
      <c r="AF114" s="5085"/>
      <c r="AG114" s="5085"/>
      <c r="AH114" s="5085"/>
      <c r="AI114" s="5085"/>
      <c r="AJ114" s="5085"/>
      <c r="AK114" s="5085"/>
      <c r="AL114" s="5085"/>
      <c r="AM114" s="5085"/>
      <c r="AN114" s="5085"/>
      <c r="AO114" s="5085"/>
      <c r="AP114" s="5085"/>
      <c r="AQ114" s="5085"/>
      <c r="AR114" s="5085"/>
      <c r="AS114" s="5085"/>
      <c r="AT114" s="5085"/>
      <c r="AU114" s="5085"/>
      <c r="AV114" s="5085"/>
      <c r="AW114" s="5085"/>
      <c r="AX114" s="5085"/>
      <c r="AY114" s="5085"/>
      <c r="AZ114" s="5085"/>
      <c r="BA114" s="5085"/>
      <c r="BB114" s="5085"/>
      <c r="BC114" s="5085"/>
      <c r="BD114" s="5085"/>
      <c r="BE114" s="5085"/>
      <c r="BF114" s="5085"/>
      <c r="BG114" s="5085"/>
      <c r="BH114" s="5095"/>
      <c r="BI114" s="3822"/>
      <c r="BJ114" s="3822"/>
      <c r="BK114" s="5092"/>
      <c r="BL114" s="5095"/>
      <c r="BM114" s="5095"/>
      <c r="BN114" s="5079"/>
      <c r="BO114" s="5079"/>
      <c r="BP114" s="5079"/>
      <c r="BQ114" s="5079"/>
      <c r="BR114" s="5082"/>
    </row>
    <row r="115" spans="1:70" s="2144" customFormat="1" ht="80.25" customHeight="1" x14ac:dyDescent="0.2">
      <c r="A115" s="2136"/>
      <c r="B115" s="2137"/>
      <c r="C115" s="2138"/>
      <c r="D115" s="2137"/>
      <c r="E115" s="2137"/>
      <c r="F115" s="2138"/>
      <c r="G115" s="2145"/>
      <c r="H115" s="2137"/>
      <c r="I115" s="2138"/>
      <c r="J115" s="5112"/>
      <c r="K115" s="5089"/>
      <c r="L115" s="5086"/>
      <c r="M115" s="5086"/>
      <c r="N115" s="5086"/>
      <c r="O115" s="5085"/>
      <c r="P115" s="5085"/>
      <c r="Q115" s="5088"/>
      <c r="R115" s="5120"/>
      <c r="S115" s="5102"/>
      <c r="T115" s="5088"/>
      <c r="U115" s="5089"/>
      <c r="V115" s="2146" t="s">
        <v>1711</v>
      </c>
      <c r="W115" s="2172">
        <v>7000000</v>
      </c>
      <c r="X115" s="2142">
        <v>6295500</v>
      </c>
      <c r="Y115" s="2142">
        <v>3497500</v>
      </c>
      <c r="Z115" s="2143">
        <v>61</v>
      </c>
      <c r="AA115" s="5085"/>
      <c r="AB115" s="5085"/>
      <c r="AC115" s="5085"/>
      <c r="AD115" s="5085"/>
      <c r="AE115" s="5085"/>
      <c r="AF115" s="5085"/>
      <c r="AG115" s="5085"/>
      <c r="AH115" s="5085"/>
      <c r="AI115" s="5085"/>
      <c r="AJ115" s="5085"/>
      <c r="AK115" s="5085"/>
      <c r="AL115" s="5085"/>
      <c r="AM115" s="5085"/>
      <c r="AN115" s="5085"/>
      <c r="AO115" s="5085"/>
      <c r="AP115" s="5085"/>
      <c r="AQ115" s="5085"/>
      <c r="AR115" s="5085"/>
      <c r="AS115" s="5085"/>
      <c r="AT115" s="5085"/>
      <c r="AU115" s="5085"/>
      <c r="AV115" s="5085"/>
      <c r="AW115" s="5085"/>
      <c r="AX115" s="5085"/>
      <c r="AY115" s="5085"/>
      <c r="AZ115" s="5085"/>
      <c r="BA115" s="5085"/>
      <c r="BB115" s="5085"/>
      <c r="BC115" s="5085"/>
      <c r="BD115" s="5085"/>
      <c r="BE115" s="5085"/>
      <c r="BF115" s="5085"/>
      <c r="BG115" s="5085"/>
      <c r="BH115" s="5095"/>
      <c r="BI115" s="3822"/>
      <c r="BJ115" s="3822"/>
      <c r="BK115" s="5092"/>
      <c r="BL115" s="5095"/>
      <c r="BM115" s="5095"/>
      <c r="BN115" s="5079"/>
      <c r="BO115" s="5079"/>
      <c r="BP115" s="5079"/>
      <c r="BQ115" s="5079"/>
      <c r="BR115" s="5082"/>
    </row>
    <row r="116" spans="1:70" s="2144" customFormat="1" ht="62.25" customHeight="1" x14ac:dyDescent="0.2">
      <c r="A116" s="2136"/>
      <c r="B116" s="2137"/>
      <c r="C116" s="2138"/>
      <c r="D116" s="2137"/>
      <c r="E116" s="2137"/>
      <c r="F116" s="2138"/>
      <c r="G116" s="2145"/>
      <c r="H116" s="2137"/>
      <c r="I116" s="2138"/>
      <c r="J116" s="5110">
        <v>141</v>
      </c>
      <c r="K116" s="5087" t="s">
        <v>1712</v>
      </c>
      <c r="L116" s="5084" t="s">
        <v>1581</v>
      </c>
      <c r="M116" s="5084">
        <v>1</v>
      </c>
      <c r="N116" s="5084">
        <v>0.8</v>
      </c>
      <c r="O116" s="5085"/>
      <c r="P116" s="5085"/>
      <c r="Q116" s="5088"/>
      <c r="R116" s="5118">
        <f>SUM(W116:W119)/S107</f>
        <v>0.19398907103825136</v>
      </c>
      <c r="S116" s="5102"/>
      <c r="T116" s="5088"/>
      <c r="U116" s="5087" t="s">
        <v>1713</v>
      </c>
      <c r="V116" s="2146" t="s">
        <v>1714</v>
      </c>
      <c r="W116" s="2172">
        <v>10000000</v>
      </c>
      <c r="X116" s="2142">
        <v>8591000</v>
      </c>
      <c r="Y116" s="2142">
        <v>4663400</v>
      </c>
      <c r="Z116" s="2143">
        <v>61</v>
      </c>
      <c r="AA116" s="5085"/>
      <c r="AB116" s="5085"/>
      <c r="AC116" s="5085"/>
      <c r="AD116" s="5085"/>
      <c r="AE116" s="5085"/>
      <c r="AF116" s="5085"/>
      <c r="AG116" s="5085"/>
      <c r="AH116" s="5085"/>
      <c r="AI116" s="5085"/>
      <c r="AJ116" s="5085"/>
      <c r="AK116" s="5085"/>
      <c r="AL116" s="5085"/>
      <c r="AM116" s="5085"/>
      <c r="AN116" s="5085"/>
      <c r="AO116" s="5085"/>
      <c r="AP116" s="5085"/>
      <c r="AQ116" s="5085"/>
      <c r="AR116" s="5085"/>
      <c r="AS116" s="5085"/>
      <c r="AT116" s="5085"/>
      <c r="AU116" s="5085"/>
      <c r="AV116" s="5085"/>
      <c r="AW116" s="5085"/>
      <c r="AX116" s="5085"/>
      <c r="AY116" s="5085"/>
      <c r="AZ116" s="5085"/>
      <c r="BA116" s="5085"/>
      <c r="BB116" s="5085"/>
      <c r="BC116" s="5085"/>
      <c r="BD116" s="5085"/>
      <c r="BE116" s="5085"/>
      <c r="BF116" s="5085"/>
      <c r="BG116" s="5085"/>
      <c r="BH116" s="5095"/>
      <c r="BI116" s="3822"/>
      <c r="BJ116" s="3822"/>
      <c r="BK116" s="5092"/>
      <c r="BL116" s="5095"/>
      <c r="BM116" s="5095"/>
      <c r="BN116" s="5079"/>
      <c r="BO116" s="5079"/>
      <c r="BP116" s="5079"/>
      <c r="BQ116" s="5079"/>
      <c r="BR116" s="5082"/>
    </row>
    <row r="117" spans="1:70" s="2144" customFormat="1" ht="124.5" customHeight="1" x14ac:dyDescent="0.2">
      <c r="A117" s="2136"/>
      <c r="B117" s="2137"/>
      <c r="C117" s="2138"/>
      <c r="D117" s="2137"/>
      <c r="E117" s="2137"/>
      <c r="F117" s="2138"/>
      <c r="G117" s="2145"/>
      <c r="H117" s="2137"/>
      <c r="I117" s="2138"/>
      <c r="J117" s="5111"/>
      <c r="K117" s="5088"/>
      <c r="L117" s="5085"/>
      <c r="M117" s="5085"/>
      <c r="N117" s="5085"/>
      <c r="O117" s="5085"/>
      <c r="P117" s="5085"/>
      <c r="Q117" s="5088"/>
      <c r="R117" s="5119"/>
      <c r="S117" s="5102"/>
      <c r="T117" s="5088"/>
      <c r="U117" s="5088"/>
      <c r="V117" s="2146" t="s">
        <v>1715</v>
      </c>
      <c r="W117" s="2172">
        <v>10000000</v>
      </c>
      <c r="X117" s="2142">
        <v>8591000</v>
      </c>
      <c r="Y117" s="2142">
        <v>4663300</v>
      </c>
      <c r="Z117" s="2143">
        <v>61</v>
      </c>
      <c r="AA117" s="5085"/>
      <c r="AB117" s="5085"/>
      <c r="AC117" s="5085"/>
      <c r="AD117" s="5085"/>
      <c r="AE117" s="5085"/>
      <c r="AF117" s="5085"/>
      <c r="AG117" s="5085"/>
      <c r="AH117" s="5085"/>
      <c r="AI117" s="5085"/>
      <c r="AJ117" s="5085"/>
      <c r="AK117" s="5085"/>
      <c r="AL117" s="5085"/>
      <c r="AM117" s="5085"/>
      <c r="AN117" s="5085"/>
      <c r="AO117" s="5085"/>
      <c r="AP117" s="5085"/>
      <c r="AQ117" s="5085"/>
      <c r="AR117" s="5085"/>
      <c r="AS117" s="5085"/>
      <c r="AT117" s="5085"/>
      <c r="AU117" s="5085"/>
      <c r="AV117" s="5085"/>
      <c r="AW117" s="5085"/>
      <c r="AX117" s="5085"/>
      <c r="AY117" s="5085"/>
      <c r="AZ117" s="5085"/>
      <c r="BA117" s="5085"/>
      <c r="BB117" s="5085"/>
      <c r="BC117" s="5085"/>
      <c r="BD117" s="5085"/>
      <c r="BE117" s="5085"/>
      <c r="BF117" s="5085"/>
      <c r="BG117" s="5085"/>
      <c r="BH117" s="5095"/>
      <c r="BI117" s="3822"/>
      <c r="BJ117" s="3822"/>
      <c r="BK117" s="5092"/>
      <c r="BL117" s="5095"/>
      <c r="BM117" s="5095"/>
      <c r="BN117" s="5079"/>
      <c r="BO117" s="5079"/>
      <c r="BP117" s="5079"/>
      <c r="BQ117" s="5079"/>
      <c r="BR117" s="5082"/>
    </row>
    <row r="118" spans="1:70" s="2144" customFormat="1" ht="44.25" customHeight="1" x14ac:dyDescent="0.2">
      <c r="A118" s="2136"/>
      <c r="B118" s="2137"/>
      <c r="C118" s="2138"/>
      <c r="D118" s="2137"/>
      <c r="E118" s="2137"/>
      <c r="F118" s="2138"/>
      <c r="G118" s="2145"/>
      <c r="H118" s="2137"/>
      <c r="I118" s="2138"/>
      <c r="J118" s="5111"/>
      <c r="K118" s="5088"/>
      <c r="L118" s="5085"/>
      <c r="M118" s="5085"/>
      <c r="N118" s="5085"/>
      <c r="O118" s="5085"/>
      <c r="P118" s="5085"/>
      <c r="Q118" s="5088"/>
      <c r="R118" s="5119"/>
      <c r="S118" s="5102"/>
      <c r="T118" s="5088"/>
      <c r="U118" s="5088"/>
      <c r="V118" s="5217" t="s">
        <v>1716</v>
      </c>
      <c r="W118" s="2170">
        <v>7500000</v>
      </c>
      <c r="X118" s="2142">
        <v>5373000</v>
      </c>
      <c r="Y118" s="2142">
        <v>0</v>
      </c>
      <c r="Z118" s="2178">
        <v>98</v>
      </c>
      <c r="AA118" s="5085"/>
      <c r="AB118" s="5085"/>
      <c r="AC118" s="5085"/>
      <c r="AD118" s="5085"/>
      <c r="AE118" s="5085"/>
      <c r="AF118" s="5085"/>
      <c r="AG118" s="5085"/>
      <c r="AH118" s="5085"/>
      <c r="AI118" s="5085"/>
      <c r="AJ118" s="5085"/>
      <c r="AK118" s="5085"/>
      <c r="AL118" s="5085"/>
      <c r="AM118" s="5085"/>
      <c r="AN118" s="5085"/>
      <c r="AO118" s="5085"/>
      <c r="AP118" s="5085"/>
      <c r="AQ118" s="5085"/>
      <c r="AR118" s="5085"/>
      <c r="AS118" s="5085"/>
      <c r="AT118" s="5085"/>
      <c r="AU118" s="5085"/>
      <c r="AV118" s="5085"/>
      <c r="AW118" s="5085"/>
      <c r="AX118" s="5085"/>
      <c r="AY118" s="5085"/>
      <c r="AZ118" s="5085"/>
      <c r="BA118" s="5085"/>
      <c r="BB118" s="5085"/>
      <c r="BC118" s="5085"/>
      <c r="BD118" s="5085"/>
      <c r="BE118" s="5085"/>
      <c r="BF118" s="5085"/>
      <c r="BG118" s="5085"/>
      <c r="BH118" s="5095"/>
      <c r="BI118" s="3822"/>
      <c r="BJ118" s="3822"/>
      <c r="BK118" s="5092"/>
      <c r="BL118" s="5095"/>
      <c r="BM118" s="5095"/>
      <c r="BN118" s="5079"/>
      <c r="BO118" s="5079"/>
      <c r="BP118" s="5079"/>
      <c r="BQ118" s="5079"/>
      <c r="BR118" s="5082"/>
    </row>
    <row r="119" spans="1:70" s="2144" customFormat="1" ht="37.5" customHeight="1" x14ac:dyDescent="0.2">
      <c r="A119" s="2136"/>
      <c r="B119" s="2137"/>
      <c r="C119" s="2138"/>
      <c r="D119" s="2137"/>
      <c r="E119" s="2137"/>
      <c r="F119" s="2138"/>
      <c r="G119" s="2149"/>
      <c r="H119" s="2147"/>
      <c r="I119" s="2148"/>
      <c r="J119" s="5112"/>
      <c r="K119" s="5089"/>
      <c r="L119" s="5086"/>
      <c r="M119" s="5086"/>
      <c r="N119" s="5086"/>
      <c r="O119" s="5086"/>
      <c r="P119" s="5086"/>
      <c r="Q119" s="5089"/>
      <c r="R119" s="5120"/>
      <c r="S119" s="5121"/>
      <c r="T119" s="5089"/>
      <c r="U119" s="5089"/>
      <c r="V119" s="5218"/>
      <c r="W119" s="2172">
        <v>8000000</v>
      </c>
      <c r="X119" s="2142">
        <v>8000000</v>
      </c>
      <c r="Y119" s="2142">
        <v>4663300</v>
      </c>
      <c r="Z119" s="2143">
        <v>61</v>
      </c>
      <c r="AA119" s="5086"/>
      <c r="AB119" s="5086"/>
      <c r="AC119" s="5086"/>
      <c r="AD119" s="5086"/>
      <c r="AE119" s="5086"/>
      <c r="AF119" s="5086"/>
      <c r="AG119" s="5086"/>
      <c r="AH119" s="5086"/>
      <c r="AI119" s="5086"/>
      <c r="AJ119" s="5086"/>
      <c r="AK119" s="5086"/>
      <c r="AL119" s="5086"/>
      <c r="AM119" s="5086"/>
      <c r="AN119" s="5086"/>
      <c r="AO119" s="5086"/>
      <c r="AP119" s="5086"/>
      <c r="AQ119" s="5086"/>
      <c r="AR119" s="5086"/>
      <c r="AS119" s="5086"/>
      <c r="AT119" s="5086"/>
      <c r="AU119" s="5086"/>
      <c r="AV119" s="5086"/>
      <c r="AW119" s="5086"/>
      <c r="AX119" s="5086"/>
      <c r="AY119" s="5086"/>
      <c r="AZ119" s="5086"/>
      <c r="BA119" s="5086"/>
      <c r="BB119" s="5086"/>
      <c r="BC119" s="5086"/>
      <c r="BD119" s="5086"/>
      <c r="BE119" s="5086"/>
      <c r="BF119" s="5086"/>
      <c r="BG119" s="5086"/>
      <c r="BH119" s="5103"/>
      <c r="BI119" s="3823"/>
      <c r="BJ119" s="3823"/>
      <c r="BK119" s="5109"/>
      <c r="BL119" s="5103"/>
      <c r="BM119" s="5103"/>
      <c r="BN119" s="5117"/>
      <c r="BO119" s="5117"/>
      <c r="BP119" s="5117"/>
      <c r="BQ119" s="5117"/>
      <c r="BR119" s="5098"/>
    </row>
    <row r="120" spans="1:70" ht="36" customHeight="1" x14ac:dyDescent="0.2">
      <c r="A120" s="2122"/>
      <c r="B120" s="2123"/>
      <c r="C120" s="2124"/>
      <c r="D120" s="2123"/>
      <c r="E120" s="2123"/>
      <c r="F120" s="2124"/>
      <c r="G120" s="2158">
        <v>40</v>
      </c>
      <c r="H120" s="2128" t="s">
        <v>1717</v>
      </c>
      <c r="I120" s="2128"/>
      <c r="J120" s="2128"/>
      <c r="K120" s="2129"/>
      <c r="L120" s="2128"/>
      <c r="M120" s="2128"/>
      <c r="N120" s="2128"/>
      <c r="O120" s="2130"/>
      <c r="P120" s="2128"/>
      <c r="Q120" s="2129"/>
      <c r="R120" s="2128"/>
      <c r="S120" s="2159"/>
      <c r="T120" s="2129"/>
      <c r="U120" s="2129"/>
      <c r="V120" s="2129"/>
      <c r="W120" s="2160"/>
      <c r="X120" s="2160"/>
      <c r="Y120" s="2160"/>
      <c r="Z120" s="2161"/>
      <c r="AA120" s="2179"/>
      <c r="AB120" s="2130"/>
      <c r="AC120" s="2130"/>
      <c r="AD120" s="2130"/>
      <c r="AE120" s="2130"/>
      <c r="AF120" s="2130"/>
      <c r="AG120" s="2130"/>
      <c r="AH120" s="2130"/>
      <c r="AI120" s="2130"/>
      <c r="AJ120" s="2130"/>
      <c r="AK120" s="2130"/>
      <c r="AL120" s="2130"/>
      <c r="AM120" s="2130"/>
      <c r="AN120" s="2130"/>
      <c r="AO120" s="2130"/>
      <c r="AP120" s="2130"/>
      <c r="AQ120" s="2130"/>
      <c r="AR120" s="2130"/>
      <c r="AS120" s="2130"/>
      <c r="AT120" s="2130"/>
      <c r="AU120" s="2130"/>
      <c r="AV120" s="2130"/>
      <c r="AW120" s="2130"/>
      <c r="AX120" s="2130"/>
      <c r="AY120" s="2130"/>
      <c r="AZ120" s="2130"/>
      <c r="BA120" s="2130"/>
      <c r="BB120" s="2130"/>
      <c r="BC120" s="2130"/>
      <c r="BD120" s="2130"/>
      <c r="BE120" s="2130"/>
      <c r="BF120" s="2130"/>
      <c r="BG120" s="2130"/>
      <c r="BH120" s="2130"/>
      <c r="BI120" s="2162"/>
      <c r="BJ120" s="2162"/>
      <c r="BK120" s="2130"/>
      <c r="BL120" s="2130"/>
      <c r="BM120" s="2130"/>
      <c r="BN120" s="2130"/>
      <c r="BO120" s="2130"/>
      <c r="BP120" s="2128"/>
      <c r="BQ120" s="2128"/>
      <c r="BR120" s="2135"/>
    </row>
    <row r="121" spans="1:70" ht="60" customHeight="1" x14ac:dyDescent="0.2">
      <c r="A121" s="2164"/>
      <c r="B121" s="2165"/>
      <c r="C121" s="2166"/>
      <c r="D121" s="2165"/>
      <c r="E121" s="2165"/>
      <c r="F121" s="2166"/>
      <c r="G121" s="2167"/>
      <c r="H121" s="2168"/>
      <c r="I121" s="2169"/>
      <c r="J121" s="5110">
        <v>142</v>
      </c>
      <c r="K121" s="5087" t="s">
        <v>1718</v>
      </c>
      <c r="L121" s="5084" t="s">
        <v>1581</v>
      </c>
      <c r="M121" s="5084">
        <v>12</v>
      </c>
      <c r="N121" s="5084">
        <v>9</v>
      </c>
      <c r="O121" s="5084" t="s">
        <v>1719</v>
      </c>
      <c r="P121" s="5084" t="s">
        <v>1720</v>
      </c>
      <c r="Q121" s="5087" t="s">
        <v>1721</v>
      </c>
      <c r="R121" s="5246">
        <f>SUM(W121:W125)/S121</f>
        <v>0.74584771050059628</v>
      </c>
      <c r="S121" s="5101">
        <f>SUM(W121:W130)</f>
        <v>151105914</v>
      </c>
      <c r="T121" s="5087" t="s">
        <v>1722</v>
      </c>
      <c r="U121" s="5087" t="s">
        <v>1723</v>
      </c>
      <c r="V121" s="2837" t="s">
        <v>1724</v>
      </c>
      <c r="W121" s="2821">
        <v>25000000</v>
      </c>
      <c r="X121" s="2142">
        <v>24500000</v>
      </c>
      <c r="Y121" s="2142">
        <v>16661000</v>
      </c>
      <c r="Z121" s="2180">
        <v>61</v>
      </c>
      <c r="AA121" s="5237" t="s">
        <v>1725</v>
      </c>
      <c r="AB121" s="5239" t="s">
        <v>1588</v>
      </c>
      <c r="AC121" s="5239" t="s">
        <v>1588</v>
      </c>
      <c r="AD121" s="5239" t="s">
        <v>1588</v>
      </c>
      <c r="AE121" s="5239" t="s">
        <v>1588</v>
      </c>
      <c r="AF121" s="5094">
        <v>64149</v>
      </c>
      <c r="AG121" s="5094">
        <v>36565</v>
      </c>
      <c r="AH121" s="5094" t="s">
        <v>1588</v>
      </c>
      <c r="AI121" s="5094" t="s">
        <v>1588</v>
      </c>
      <c r="AJ121" s="5094" t="s">
        <v>1588</v>
      </c>
      <c r="AK121" s="5094" t="s">
        <v>1588</v>
      </c>
      <c r="AL121" s="5094" t="s">
        <v>1588</v>
      </c>
      <c r="AM121" s="5094" t="s">
        <v>1588</v>
      </c>
      <c r="AN121" s="5094" t="s">
        <v>1588</v>
      </c>
      <c r="AO121" s="5094" t="s">
        <v>1588</v>
      </c>
      <c r="AP121" s="5094" t="s">
        <v>1588</v>
      </c>
      <c r="AQ121" s="5094" t="s">
        <v>1588</v>
      </c>
      <c r="AR121" s="5094" t="s">
        <v>1588</v>
      </c>
      <c r="AS121" s="5094" t="s">
        <v>1588</v>
      </c>
      <c r="AT121" s="5094" t="s">
        <v>1588</v>
      </c>
      <c r="AU121" s="5094" t="s">
        <v>1588</v>
      </c>
      <c r="AV121" s="5094" t="s">
        <v>1588</v>
      </c>
      <c r="AW121" s="5094" t="s">
        <v>1588</v>
      </c>
      <c r="AX121" s="5094" t="s">
        <v>1588</v>
      </c>
      <c r="AY121" s="5094" t="s">
        <v>1588</v>
      </c>
      <c r="AZ121" s="5094" t="s">
        <v>1588</v>
      </c>
      <c r="BA121" s="5094" t="s">
        <v>1588</v>
      </c>
      <c r="BB121" s="5094" t="s">
        <v>1588</v>
      </c>
      <c r="BC121" s="5094" t="s">
        <v>1588</v>
      </c>
      <c r="BD121" s="5094" t="s">
        <v>1588</v>
      </c>
      <c r="BE121" s="5094" t="s">
        <v>1588</v>
      </c>
      <c r="BF121" s="5094">
        <v>64149</v>
      </c>
      <c r="BG121" s="5094">
        <v>36565</v>
      </c>
      <c r="BH121" s="5094">
        <v>14</v>
      </c>
      <c r="BI121" s="3821">
        <f>SUM(X121:X130)</f>
        <v>149211606</v>
      </c>
      <c r="BJ121" s="3821">
        <f>SUM(Y121:Y130)</f>
        <v>86990000</v>
      </c>
      <c r="BK121" s="5091">
        <f>+BJ121/BI121</f>
        <v>0.58299754511053248</v>
      </c>
      <c r="BL121" s="5094" t="s">
        <v>1726</v>
      </c>
      <c r="BM121" s="5094" t="s">
        <v>1590</v>
      </c>
      <c r="BN121" s="5078">
        <v>43467</v>
      </c>
      <c r="BO121" s="5078">
        <v>43830</v>
      </c>
      <c r="BP121" s="5078">
        <v>43830</v>
      </c>
      <c r="BQ121" s="5078" t="s">
        <v>1702</v>
      </c>
      <c r="BR121" s="5081" t="s">
        <v>1591</v>
      </c>
    </row>
    <row r="122" spans="1:70" ht="57" x14ac:dyDescent="0.2">
      <c r="A122" s="2164"/>
      <c r="B122" s="2165"/>
      <c r="C122" s="2166"/>
      <c r="D122" s="2165"/>
      <c r="E122" s="2165"/>
      <c r="F122" s="2166"/>
      <c r="G122" s="2171"/>
      <c r="H122" s="2165"/>
      <c r="I122" s="2166"/>
      <c r="J122" s="5111"/>
      <c r="K122" s="5088"/>
      <c r="L122" s="5085"/>
      <c r="M122" s="5085"/>
      <c r="N122" s="5085"/>
      <c r="O122" s="5085"/>
      <c r="P122" s="5085"/>
      <c r="Q122" s="5088"/>
      <c r="R122" s="5246"/>
      <c r="S122" s="5102"/>
      <c r="T122" s="5088"/>
      <c r="U122" s="5088"/>
      <c r="V122" s="2837" t="s">
        <v>1727</v>
      </c>
      <c r="W122" s="2823">
        <v>25000000</v>
      </c>
      <c r="X122" s="2142">
        <v>24500000</v>
      </c>
      <c r="Y122" s="2142">
        <v>16661000</v>
      </c>
      <c r="Z122" s="2180">
        <v>61</v>
      </c>
      <c r="AA122" s="5238"/>
      <c r="AB122" s="5240"/>
      <c r="AC122" s="5240"/>
      <c r="AD122" s="5240"/>
      <c r="AE122" s="5240"/>
      <c r="AF122" s="5095"/>
      <c r="AG122" s="5095"/>
      <c r="AH122" s="5095"/>
      <c r="AI122" s="5095"/>
      <c r="AJ122" s="5095"/>
      <c r="AK122" s="5095"/>
      <c r="AL122" s="5095"/>
      <c r="AM122" s="5095"/>
      <c r="AN122" s="5095"/>
      <c r="AO122" s="5095"/>
      <c r="AP122" s="5095"/>
      <c r="AQ122" s="5095"/>
      <c r="AR122" s="5095"/>
      <c r="AS122" s="5095"/>
      <c r="AT122" s="5095"/>
      <c r="AU122" s="5095"/>
      <c r="AV122" s="5095"/>
      <c r="AW122" s="5095"/>
      <c r="AX122" s="5095"/>
      <c r="AY122" s="5095"/>
      <c r="AZ122" s="5095"/>
      <c r="BA122" s="5095"/>
      <c r="BB122" s="5095"/>
      <c r="BC122" s="5095"/>
      <c r="BD122" s="5095"/>
      <c r="BE122" s="5095"/>
      <c r="BF122" s="5095"/>
      <c r="BG122" s="5095"/>
      <c r="BH122" s="5095"/>
      <c r="BI122" s="3822"/>
      <c r="BJ122" s="3822"/>
      <c r="BK122" s="5092"/>
      <c r="BL122" s="5095"/>
      <c r="BM122" s="5095"/>
      <c r="BN122" s="5079"/>
      <c r="BO122" s="5079"/>
      <c r="BP122" s="5079"/>
      <c r="BQ122" s="5079"/>
      <c r="BR122" s="5082"/>
    </row>
    <row r="123" spans="1:70" ht="77.25" customHeight="1" x14ac:dyDescent="0.2">
      <c r="A123" s="2164"/>
      <c r="B123" s="2165"/>
      <c r="C123" s="2166"/>
      <c r="D123" s="2165"/>
      <c r="E123" s="2165"/>
      <c r="F123" s="2166"/>
      <c r="G123" s="2171"/>
      <c r="H123" s="2165"/>
      <c r="I123" s="2166"/>
      <c r="J123" s="5111"/>
      <c r="K123" s="5088"/>
      <c r="L123" s="5085"/>
      <c r="M123" s="5085"/>
      <c r="N123" s="5085"/>
      <c r="O123" s="5085"/>
      <c r="P123" s="5085"/>
      <c r="Q123" s="5088"/>
      <c r="R123" s="5246"/>
      <c r="S123" s="5102"/>
      <c r="T123" s="5088"/>
      <c r="U123" s="5088"/>
      <c r="V123" s="2837" t="s">
        <v>1728</v>
      </c>
      <c r="W123" s="2823">
        <v>25000000</v>
      </c>
      <c r="X123" s="2142">
        <v>24500000</v>
      </c>
      <c r="Y123" s="2142">
        <v>16661000</v>
      </c>
      <c r="Z123" s="2180">
        <v>61</v>
      </c>
      <c r="AA123" s="5238"/>
      <c r="AB123" s="5240"/>
      <c r="AC123" s="5240"/>
      <c r="AD123" s="5240"/>
      <c r="AE123" s="5240"/>
      <c r="AF123" s="5095"/>
      <c r="AG123" s="5095"/>
      <c r="AH123" s="5095"/>
      <c r="AI123" s="5095"/>
      <c r="AJ123" s="5095"/>
      <c r="AK123" s="5095"/>
      <c r="AL123" s="5095"/>
      <c r="AM123" s="5095"/>
      <c r="AN123" s="5095"/>
      <c r="AO123" s="5095"/>
      <c r="AP123" s="5095"/>
      <c r="AQ123" s="5095"/>
      <c r="AR123" s="5095"/>
      <c r="AS123" s="5095"/>
      <c r="AT123" s="5095"/>
      <c r="AU123" s="5095"/>
      <c r="AV123" s="5095"/>
      <c r="AW123" s="5095"/>
      <c r="AX123" s="5095"/>
      <c r="AY123" s="5095"/>
      <c r="AZ123" s="5095"/>
      <c r="BA123" s="5095"/>
      <c r="BB123" s="5095"/>
      <c r="BC123" s="5095"/>
      <c r="BD123" s="5095"/>
      <c r="BE123" s="5095"/>
      <c r="BF123" s="5095"/>
      <c r="BG123" s="5095"/>
      <c r="BH123" s="5095"/>
      <c r="BI123" s="3822"/>
      <c r="BJ123" s="3822"/>
      <c r="BK123" s="5092"/>
      <c r="BL123" s="5095"/>
      <c r="BM123" s="5095"/>
      <c r="BN123" s="5079"/>
      <c r="BO123" s="5079"/>
      <c r="BP123" s="5079"/>
      <c r="BQ123" s="5079"/>
      <c r="BR123" s="5082"/>
    </row>
    <row r="124" spans="1:70" ht="40.5" customHeight="1" x14ac:dyDescent="0.2">
      <c r="A124" s="2164"/>
      <c r="B124" s="2165"/>
      <c r="C124" s="2166"/>
      <c r="D124" s="2165"/>
      <c r="E124" s="2165"/>
      <c r="F124" s="2166"/>
      <c r="G124" s="2171"/>
      <c r="H124" s="2165"/>
      <c r="I124" s="2166"/>
      <c r="J124" s="5111"/>
      <c r="K124" s="5088"/>
      <c r="L124" s="5085"/>
      <c r="M124" s="5085"/>
      <c r="N124" s="5085"/>
      <c r="O124" s="5085"/>
      <c r="P124" s="5085"/>
      <c r="Q124" s="5088"/>
      <c r="R124" s="5246"/>
      <c r="S124" s="5102"/>
      <c r="T124" s="5088"/>
      <c r="U124" s="5088"/>
      <c r="V124" s="5087" t="s">
        <v>1729</v>
      </c>
      <c r="W124" s="2823">
        <v>28702000</v>
      </c>
      <c r="X124" s="2142">
        <v>28480133</v>
      </c>
      <c r="Y124" s="2142">
        <v>16661000</v>
      </c>
      <c r="Z124" s="2180">
        <v>61</v>
      </c>
      <c r="AA124" s="5238"/>
      <c r="AB124" s="5240"/>
      <c r="AC124" s="5240"/>
      <c r="AD124" s="5240"/>
      <c r="AE124" s="5240"/>
      <c r="AF124" s="5095"/>
      <c r="AG124" s="5095"/>
      <c r="AH124" s="5095"/>
      <c r="AI124" s="5095"/>
      <c r="AJ124" s="5095"/>
      <c r="AK124" s="5095"/>
      <c r="AL124" s="5095"/>
      <c r="AM124" s="5095"/>
      <c r="AN124" s="5095"/>
      <c r="AO124" s="5095"/>
      <c r="AP124" s="5095"/>
      <c r="AQ124" s="5095"/>
      <c r="AR124" s="5095"/>
      <c r="AS124" s="5095"/>
      <c r="AT124" s="5095"/>
      <c r="AU124" s="5095"/>
      <c r="AV124" s="5095"/>
      <c r="AW124" s="5095"/>
      <c r="AX124" s="5095"/>
      <c r="AY124" s="5095"/>
      <c r="AZ124" s="5095"/>
      <c r="BA124" s="5095"/>
      <c r="BB124" s="5095"/>
      <c r="BC124" s="5095"/>
      <c r="BD124" s="5095"/>
      <c r="BE124" s="5095"/>
      <c r="BF124" s="5095"/>
      <c r="BG124" s="5095"/>
      <c r="BH124" s="5095"/>
      <c r="BI124" s="3822"/>
      <c r="BJ124" s="3822"/>
      <c r="BK124" s="5092"/>
      <c r="BL124" s="5095"/>
      <c r="BM124" s="5095"/>
      <c r="BN124" s="5079"/>
      <c r="BO124" s="5079"/>
      <c r="BP124" s="5079"/>
      <c r="BQ124" s="5079"/>
      <c r="BR124" s="5082"/>
    </row>
    <row r="125" spans="1:70" ht="36.75" customHeight="1" x14ac:dyDescent="0.2">
      <c r="A125" s="2164"/>
      <c r="B125" s="2165"/>
      <c r="C125" s="2166"/>
      <c r="D125" s="2165"/>
      <c r="E125" s="2165"/>
      <c r="F125" s="2166"/>
      <c r="G125" s="2171"/>
      <c r="H125" s="2165"/>
      <c r="I125" s="2166"/>
      <c r="J125" s="5112"/>
      <c r="K125" s="5089"/>
      <c r="L125" s="5086"/>
      <c r="M125" s="5086"/>
      <c r="N125" s="5086"/>
      <c r="O125" s="5085"/>
      <c r="P125" s="5085"/>
      <c r="Q125" s="5088"/>
      <c r="R125" s="5246"/>
      <c r="S125" s="5102"/>
      <c r="T125" s="5088"/>
      <c r="U125" s="5089"/>
      <c r="V125" s="5089"/>
      <c r="W125" s="2823">
        <v>9000000</v>
      </c>
      <c r="X125" s="2142">
        <v>9000000</v>
      </c>
      <c r="Y125" s="2142">
        <v>0</v>
      </c>
      <c r="Z125" s="2180">
        <v>161</v>
      </c>
      <c r="AA125" s="5238"/>
      <c r="AB125" s="5240"/>
      <c r="AC125" s="5240"/>
      <c r="AD125" s="5240"/>
      <c r="AE125" s="5240"/>
      <c r="AF125" s="5095"/>
      <c r="AG125" s="5095"/>
      <c r="AH125" s="5095"/>
      <c r="AI125" s="5095"/>
      <c r="AJ125" s="5095"/>
      <c r="AK125" s="5095"/>
      <c r="AL125" s="5095"/>
      <c r="AM125" s="5095"/>
      <c r="AN125" s="5095"/>
      <c r="AO125" s="5095"/>
      <c r="AP125" s="5095"/>
      <c r="AQ125" s="5095"/>
      <c r="AR125" s="5095"/>
      <c r="AS125" s="5095"/>
      <c r="AT125" s="5095"/>
      <c r="AU125" s="5095"/>
      <c r="AV125" s="5095"/>
      <c r="AW125" s="5095"/>
      <c r="AX125" s="5095"/>
      <c r="AY125" s="5095"/>
      <c r="AZ125" s="5095"/>
      <c r="BA125" s="5095"/>
      <c r="BB125" s="5095"/>
      <c r="BC125" s="5095"/>
      <c r="BD125" s="5095"/>
      <c r="BE125" s="5095"/>
      <c r="BF125" s="5095"/>
      <c r="BG125" s="5095"/>
      <c r="BH125" s="5095"/>
      <c r="BI125" s="3822"/>
      <c r="BJ125" s="3822"/>
      <c r="BK125" s="5092"/>
      <c r="BL125" s="5095"/>
      <c r="BM125" s="5095"/>
      <c r="BN125" s="5079"/>
      <c r="BO125" s="5079"/>
      <c r="BP125" s="5079"/>
      <c r="BQ125" s="5079"/>
      <c r="BR125" s="5082"/>
    </row>
    <row r="126" spans="1:70" ht="33" customHeight="1" x14ac:dyDescent="0.2">
      <c r="A126" s="2164"/>
      <c r="B126" s="2165"/>
      <c r="C126" s="2166"/>
      <c r="D126" s="2165"/>
      <c r="E126" s="2165"/>
      <c r="F126" s="2166"/>
      <c r="G126" s="2171"/>
      <c r="H126" s="2165"/>
      <c r="I126" s="2166"/>
      <c r="J126" s="5110">
        <v>143</v>
      </c>
      <c r="K126" s="5072" t="s">
        <v>1730</v>
      </c>
      <c r="L126" s="5084" t="s">
        <v>1581</v>
      </c>
      <c r="M126" s="5084">
        <v>1</v>
      </c>
      <c r="N126" s="5084">
        <v>1</v>
      </c>
      <c r="O126" s="5085"/>
      <c r="P126" s="5085"/>
      <c r="Q126" s="5088"/>
      <c r="R126" s="5118">
        <f>SUM(W126:W130)/S121</f>
        <v>0.25415228949940372</v>
      </c>
      <c r="S126" s="5102"/>
      <c r="T126" s="5088"/>
      <c r="U126" s="5072" t="s">
        <v>1731</v>
      </c>
      <c r="V126" s="5087" t="s">
        <v>1732</v>
      </c>
      <c r="W126" s="2823">
        <v>2500000</v>
      </c>
      <c r="X126" s="2142">
        <v>2496400</v>
      </c>
      <c r="Y126" s="2142">
        <v>2238750</v>
      </c>
      <c r="Z126" s="2180">
        <v>20</v>
      </c>
      <c r="AA126" s="5238"/>
      <c r="AB126" s="5240"/>
      <c r="AC126" s="5240"/>
      <c r="AD126" s="5240"/>
      <c r="AE126" s="5240"/>
      <c r="AF126" s="5095"/>
      <c r="AG126" s="5095"/>
      <c r="AH126" s="5095"/>
      <c r="AI126" s="5095"/>
      <c r="AJ126" s="5095"/>
      <c r="AK126" s="5095"/>
      <c r="AL126" s="5095"/>
      <c r="AM126" s="5095"/>
      <c r="AN126" s="5095"/>
      <c r="AO126" s="5095"/>
      <c r="AP126" s="5095"/>
      <c r="AQ126" s="5095"/>
      <c r="AR126" s="5095"/>
      <c r="AS126" s="5095"/>
      <c r="AT126" s="5095"/>
      <c r="AU126" s="5095"/>
      <c r="AV126" s="5095"/>
      <c r="AW126" s="5095"/>
      <c r="AX126" s="5095"/>
      <c r="AY126" s="5095"/>
      <c r="AZ126" s="5095"/>
      <c r="BA126" s="5095"/>
      <c r="BB126" s="5095"/>
      <c r="BC126" s="5095"/>
      <c r="BD126" s="5095"/>
      <c r="BE126" s="5095"/>
      <c r="BF126" s="5095"/>
      <c r="BG126" s="5095"/>
      <c r="BH126" s="5095"/>
      <c r="BI126" s="3822"/>
      <c r="BJ126" s="3822"/>
      <c r="BK126" s="5092"/>
      <c r="BL126" s="5095"/>
      <c r="BM126" s="5095"/>
      <c r="BN126" s="5079"/>
      <c r="BO126" s="5079"/>
      <c r="BP126" s="5079"/>
      <c r="BQ126" s="5079"/>
      <c r="BR126" s="5082"/>
    </row>
    <row r="127" spans="1:70" ht="31.5" customHeight="1" x14ac:dyDescent="0.2">
      <c r="A127" s="2164"/>
      <c r="B127" s="2165"/>
      <c r="C127" s="2166"/>
      <c r="D127" s="2165"/>
      <c r="E127" s="2165"/>
      <c r="F127" s="2166"/>
      <c r="G127" s="2171"/>
      <c r="H127" s="2165"/>
      <c r="I127" s="2166"/>
      <c r="J127" s="5111"/>
      <c r="K127" s="5072"/>
      <c r="L127" s="5085"/>
      <c r="M127" s="5085"/>
      <c r="N127" s="5085"/>
      <c r="O127" s="5085"/>
      <c r="P127" s="5085"/>
      <c r="Q127" s="5088"/>
      <c r="R127" s="5119"/>
      <c r="S127" s="5102"/>
      <c r="T127" s="5088"/>
      <c r="U127" s="5072"/>
      <c r="V127" s="5089"/>
      <c r="W127" s="2823">
        <v>28403914</v>
      </c>
      <c r="X127" s="2142">
        <v>28245869</v>
      </c>
      <c r="Y127" s="2142">
        <v>11391000</v>
      </c>
      <c r="Z127" s="2180">
        <v>161</v>
      </c>
      <c r="AA127" s="5238"/>
      <c r="AB127" s="5240"/>
      <c r="AC127" s="5240"/>
      <c r="AD127" s="5240"/>
      <c r="AE127" s="5240"/>
      <c r="AF127" s="5095"/>
      <c r="AG127" s="5095"/>
      <c r="AH127" s="5095"/>
      <c r="AI127" s="5095"/>
      <c r="AJ127" s="5095"/>
      <c r="AK127" s="5095"/>
      <c r="AL127" s="5095"/>
      <c r="AM127" s="5095"/>
      <c r="AN127" s="5095"/>
      <c r="AO127" s="5095"/>
      <c r="AP127" s="5095"/>
      <c r="AQ127" s="5095"/>
      <c r="AR127" s="5095"/>
      <c r="AS127" s="5095"/>
      <c r="AT127" s="5095"/>
      <c r="AU127" s="5095"/>
      <c r="AV127" s="5095"/>
      <c r="AW127" s="5095"/>
      <c r="AX127" s="5095"/>
      <c r="AY127" s="5095"/>
      <c r="AZ127" s="5095"/>
      <c r="BA127" s="5095"/>
      <c r="BB127" s="5095"/>
      <c r="BC127" s="5095"/>
      <c r="BD127" s="5095"/>
      <c r="BE127" s="5095"/>
      <c r="BF127" s="5095"/>
      <c r="BG127" s="5095"/>
      <c r="BH127" s="5095"/>
      <c r="BI127" s="3822"/>
      <c r="BJ127" s="3822"/>
      <c r="BK127" s="5092"/>
      <c r="BL127" s="5095"/>
      <c r="BM127" s="5095"/>
      <c r="BN127" s="5079"/>
      <c r="BO127" s="5079"/>
      <c r="BP127" s="5079"/>
      <c r="BQ127" s="5079"/>
      <c r="BR127" s="5082"/>
    </row>
    <row r="128" spans="1:70" ht="64.5" customHeight="1" x14ac:dyDescent="0.2">
      <c r="A128" s="2164"/>
      <c r="B128" s="2165"/>
      <c r="C128" s="2166"/>
      <c r="D128" s="2165"/>
      <c r="E128" s="2165"/>
      <c r="F128" s="2166"/>
      <c r="G128" s="2171"/>
      <c r="H128" s="2165"/>
      <c r="I128" s="2166"/>
      <c r="J128" s="5111"/>
      <c r="K128" s="5072"/>
      <c r="L128" s="5085"/>
      <c r="M128" s="5085"/>
      <c r="N128" s="5085"/>
      <c r="O128" s="5085"/>
      <c r="P128" s="5085"/>
      <c r="Q128" s="5088"/>
      <c r="R128" s="5119"/>
      <c r="S128" s="5102"/>
      <c r="T128" s="5088"/>
      <c r="U128" s="5072"/>
      <c r="V128" s="2852" t="s">
        <v>1733</v>
      </c>
      <c r="W128" s="2823">
        <v>2500000</v>
      </c>
      <c r="X128" s="2142">
        <v>2496400</v>
      </c>
      <c r="Y128" s="2142">
        <v>2238750</v>
      </c>
      <c r="Z128" s="2180">
        <v>20</v>
      </c>
      <c r="AA128" s="5238"/>
      <c r="AB128" s="5240"/>
      <c r="AC128" s="5240"/>
      <c r="AD128" s="5240"/>
      <c r="AE128" s="5240"/>
      <c r="AF128" s="5095"/>
      <c r="AG128" s="5095"/>
      <c r="AH128" s="5095"/>
      <c r="AI128" s="5095"/>
      <c r="AJ128" s="5095"/>
      <c r="AK128" s="5095"/>
      <c r="AL128" s="5095"/>
      <c r="AM128" s="5095"/>
      <c r="AN128" s="5095"/>
      <c r="AO128" s="5095"/>
      <c r="AP128" s="5095"/>
      <c r="AQ128" s="5095"/>
      <c r="AR128" s="5095"/>
      <c r="AS128" s="5095"/>
      <c r="AT128" s="5095"/>
      <c r="AU128" s="5095"/>
      <c r="AV128" s="5095"/>
      <c r="AW128" s="5095"/>
      <c r="AX128" s="5095"/>
      <c r="AY128" s="5095"/>
      <c r="AZ128" s="5095"/>
      <c r="BA128" s="5095"/>
      <c r="BB128" s="5095"/>
      <c r="BC128" s="5095"/>
      <c r="BD128" s="5095"/>
      <c r="BE128" s="5095"/>
      <c r="BF128" s="5095"/>
      <c r="BG128" s="5095"/>
      <c r="BH128" s="5095"/>
      <c r="BI128" s="3822"/>
      <c r="BJ128" s="3822"/>
      <c r="BK128" s="5092"/>
      <c r="BL128" s="5095"/>
      <c r="BM128" s="5095"/>
      <c r="BN128" s="5079"/>
      <c r="BO128" s="5079"/>
      <c r="BP128" s="5079"/>
      <c r="BQ128" s="5079"/>
      <c r="BR128" s="5082"/>
    </row>
    <row r="129" spans="1:70" ht="99" customHeight="1" x14ac:dyDescent="0.2">
      <c r="A129" s="2164"/>
      <c r="B129" s="2165"/>
      <c r="C129" s="2166"/>
      <c r="D129" s="2165"/>
      <c r="E129" s="2165"/>
      <c r="F129" s="2166"/>
      <c r="G129" s="2171"/>
      <c r="H129" s="2165"/>
      <c r="I129" s="2166"/>
      <c r="J129" s="5111"/>
      <c r="K129" s="5072"/>
      <c r="L129" s="5085"/>
      <c r="M129" s="5085"/>
      <c r="N129" s="5085"/>
      <c r="O129" s="5085"/>
      <c r="P129" s="5085"/>
      <c r="Q129" s="5088"/>
      <c r="R129" s="5119"/>
      <c r="S129" s="5102"/>
      <c r="T129" s="5088"/>
      <c r="U129" s="5072"/>
      <c r="V129" s="2852" t="s">
        <v>1734</v>
      </c>
      <c r="W129" s="2823">
        <v>2500000</v>
      </c>
      <c r="X129" s="2142">
        <v>2496400</v>
      </c>
      <c r="Y129" s="2142">
        <v>2238750</v>
      </c>
      <c r="Z129" s="2180">
        <v>20</v>
      </c>
      <c r="AA129" s="5238"/>
      <c r="AB129" s="5240"/>
      <c r="AC129" s="5240"/>
      <c r="AD129" s="5240"/>
      <c r="AE129" s="5240"/>
      <c r="AF129" s="5095"/>
      <c r="AG129" s="5095"/>
      <c r="AH129" s="5095"/>
      <c r="AI129" s="5095"/>
      <c r="AJ129" s="5095"/>
      <c r="AK129" s="5095"/>
      <c r="AL129" s="5095"/>
      <c r="AM129" s="5095"/>
      <c r="AN129" s="5095"/>
      <c r="AO129" s="5095"/>
      <c r="AP129" s="5095"/>
      <c r="AQ129" s="5095"/>
      <c r="AR129" s="5095"/>
      <c r="AS129" s="5095"/>
      <c r="AT129" s="5095"/>
      <c r="AU129" s="5095"/>
      <c r="AV129" s="5095"/>
      <c r="AW129" s="5095"/>
      <c r="AX129" s="5095"/>
      <c r="AY129" s="5095"/>
      <c r="AZ129" s="5095"/>
      <c r="BA129" s="5095"/>
      <c r="BB129" s="5095"/>
      <c r="BC129" s="5095"/>
      <c r="BD129" s="5095"/>
      <c r="BE129" s="5095"/>
      <c r="BF129" s="5095"/>
      <c r="BG129" s="5095"/>
      <c r="BH129" s="5095"/>
      <c r="BI129" s="3822"/>
      <c r="BJ129" s="3822"/>
      <c r="BK129" s="5092"/>
      <c r="BL129" s="5095"/>
      <c r="BM129" s="5095"/>
      <c r="BN129" s="5079"/>
      <c r="BO129" s="5079"/>
      <c r="BP129" s="5079"/>
      <c r="BQ129" s="5079"/>
      <c r="BR129" s="5082"/>
    </row>
    <row r="130" spans="1:70" ht="78" customHeight="1" x14ac:dyDescent="0.2">
      <c r="A130" s="2164"/>
      <c r="B130" s="2165"/>
      <c r="C130" s="2166"/>
      <c r="D130" s="2165"/>
      <c r="E130" s="2165"/>
      <c r="F130" s="2166"/>
      <c r="G130" s="2171"/>
      <c r="H130" s="2165"/>
      <c r="I130" s="2166"/>
      <c r="J130" s="5112"/>
      <c r="K130" s="5072"/>
      <c r="L130" s="5086"/>
      <c r="M130" s="5086"/>
      <c r="N130" s="5086"/>
      <c r="O130" s="5086"/>
      <c r="P130" s="5086"/>
      <c r="Q130" s="5088"/>
      <c r="R130" s="5119"/>
      <c r="S130" s="5121"/>
      <c r="T130" s="5089"/>
      <c r="U130" s="5072"/>
      <c r="V130" s="2852" t="s">
        <v>1735</v>
      </c>
      <c r="W130" s="2821">
        <v>2500000</v>
      </c>
      <c r="X130" s="2142">
        <v>2496404</v>
      </c>
      <c r="Y130" s="2142">
        <v>2238750</v>
      </c>
      <c r="Z130" s="2180">
        <v>20</v>
      </c>
      <c r="AA130" s="5238"/>
      <c r="AB130" s="5241"/>
      <c r="AC130" s="5241"/>
      <c r="AD130" s="5241"/>
      <c r="AE130" s="5241"/>
      <c r="AF130" s="5103"/>
      <c r="AG130" s="5103"/>
      <c r="AH130" s="5103"/>
      <c r="AI130" s="5103"/>
      <c r="AJ130" s="5103"/>
      <c r="AK130" s="5103"/>
      <c r="AL130" s="5103"/>
      <c r="AM130" s="5103"/>
      <c r="AN130" s="5103"/>
      <c r="AO130" s="5103"/>
      <c r="AP130" s="5103"/>
      <c r="AQ130" s="5103"/>
      <c r="AR130" s="5103"/>
      <c r="AS130" s="5103"/>
      <c r="AT130" s="5103"/>
      <c r="AU130" s="5103"/>
      <c r="AV130" s="5103"/>
      <c r="AW130" s="5103"/>
      <c r="AX130" s="5103"/>
      <c r="AY130" s="5103"/>
      <c r="AZ130" s="5103"/>
      <c r="BA130" s="5103"/>
      <c r="BB130" s="5103"/>
      <c r="BC130" s="5103"/>
      <c r="BD130" s="5103"/>
      <c r="BE130" s="5103"/>
      <c r="BF130" s="5103"/>
      <c r="BG130" s="5103"/>
      <c r="BH130" s="5103"/>
      <c r="BI130" s="3823"/>
      <c r="BJ130" s="3823"/>
      <c r="BK130" s="5109"/>
      <c r="BL130" s="5103"/>
      <c r="BM130" s="5103"/>
      <c r="BN130" s="5117"/>
      <c r="BO130" s="5117"/>
      <c r="BP130" s="5117"/>
      <c r="BQ130" s="5117"/>
      <c r="BR130" s="5098"/>
    </row>
    <row r="131" spans="1:70" ht="36" customHeight="1" x14ac:dyDescent="0.2">
      <c r="A131" s="2181"/>
      <c r="B131" s="2182"/>
      <c r="C131" s="2183"/>
      <c r="D131" s="2182"/>
      <c r="E131" s="2182"/>
      <c r="F131" s="2183"/>
      <c r="G131" s="2184"/>
      <c r="H131" s="2182"/>
      <c r="I131" s="2183"/>
      <c r="J131" s="5110">
        <v>144</v>
      </c>
      <c r="K131" s="5113" t="s">
        <v>1736</v>
      </c>
      <c r="L131" s="5110" t="s">
        <v>1581</v>
      </c>
      <c r="M131" s="5110">
        <v>5</v>
      </c>
      <c r="N131" s="5110">
        <v>5</v>
      </c>
      <c r="O131" s="5110" t="s">
        <v>1737</v>
      </c>
      <c r="P131" s="5242" t="s">
        <v>1738</v>
      </c>
      <c r="Q131" s="5125" t="s">
        <v>1739</v>
      </c>
      <c r="R131" s="5221">
        <f>SUM(W131:W146)/S131</f>
        <v>0.79586170296807968</v>
      </c>
      <c r="S131" s="5225">
        <f>SUM(W131:W154)</f>
        <v>571611313</v>
      </c>
      <c r="T131" s="5113" t="s">
        <v>1740</v>
      </c>
      <c r="U131" s="5113" t="s">
        <v>1741</v>
      </c>
      <c r="V131" s="5219" t="s">
        <v>1742</v>
      </c>
      <c r="W131" s="2142">
        <f>242840543+9693675</f>
        <v>252534218</v>
      </c>
      <c r="X131" s="2142">
        <v>77682297</v>
      </c>
      <c r="Y131" s="2142">
        <v>60247458</v>
      </c>
      <c r="Z131" s="2185">
        <v>111</v>
      </c>
      <c r="AA131" s="5110" t="s">
        <v>1743</v>
      </c>
      <c r="AB131" s="5222">
        <v>292684</v>
      </c>
      <c r="AC131" s="5222">
        <f>SUM(AB131*0.33)</f>
        <v>96585.72</v>
      </c>
      <c r="AD131" s="5222">
        <v>282326</v>
      </c>
      <c r="AE131" s="5222">
        <f t="shared" ref="AE131" si="0">SUM(AD131*0.33)</f>
        <v>93167.58</v>
      </c>
      <c r="AF131" s="5222">
        <v>135912</v>
      </c>
      <c r="AG131" s="5222">
        <f t="shared" ref="AG131" si="1">SUM(AF131*0.33)</f>
        <v>44850.96</v>
      </c>
      <c r="AH131" s="5222">
        <v>45122</v>
      </c>
      <c r="AI131" s="5222">
        <f t="shared" ref="AI131" si="2">SUM(AH131*0.33)</f>
        <v>14890.26</v>
      </c>
      <c r="AJ131" s="5222">
        <v>307101</v>
      </c>
      <c r="AK131" s="5222">
        <f t="shared" ref="AK131" si="3">SUM(AJ131*0.33)</f>
        <v>101343.33</v>
      </c>
      <c r="AL131" s="5222">
        <v>86875</v>
      </c>
      <c r="AM131" s="5222">
        <f t="shared" ref="AM131" si="4">SUM(AL131*0.33)</f>
        <v>28668.75</v>
      </c>
      <c r="AN131" s="5222">
        <v>2145</v>
      </c>
      <c r="AO131" s="5222">
        <f t="shared" ref="AO131" si="5">SUM(AN131*0.33)</f>
        <v>707.85</v>
      </c>
      <c r="AP131" s="5222">
        <v>12718</v>
      </c>
      <c r="AQ131" s="5222">
        <f t="shared" ref="AQ131" si="6">SUM(AP131*0.33)</f>
        <v>4196.9400000000005</v>
      </c>
      <c r="AR131" s="5222">
        <v>26</v>
      </c>
      <c r="AS131" s="5222">
        <f t="shared" ref="AS131" si="7">SUM(AR131*0.33)</f>
        <v>8.58</v>
      </c>
      <c r="AT131" s="5222">
        <v>37</v>
      </c>
      <c r="AU131" s="5222">
        <f t="shared" ref="AU131" si="8">SUM(AT131*0.33)</f>
        <v>12.21</v>
      </c>
      <c r="AV131" s="5222" t="s">
        <v>1588</v>
      </c>
      <c r="AW131" s="5222" t="s">
        <v>1588</v>
      </c>
      <c r="AX131" s="5222" t="s">
        <v>1588</v>
      </c>
      <c r="AY131" s="5222" t="s">
        <v>1588</v>
      </c>
      <c r="AZ131" s="5222">
        <v>53164</v>
      </c>
      <c r="BA131" s="5222">
        <f t="shared" ref="BA131" si="9">SUM(AZ131*0.33)</f>
        <v>17544.120000000003</v>
      </c>
      <c r="BB131" s="5222">
        <v>16982</v>
      </c>
      <c r="BC131" s="5222">
        <f t="shared" ref="BC131" si="10">SUM(BB131*0.33)</f>
        <v>5604.06</v>
      </c>
      <c r="BD131" s="5222">
        <v>60013</v>
      </c>
      <c r="BE131" s="5222">
        <f t="shared" ref="BE131" si="11">SUM(BD131*0.33)</f>
        <v>19804.29</v>
      </c>
      <c r="BF131" s="5222">
        <v>575010</v>
      </c>
      <c r="BG131" s="5222">
        <f t="shared" ref="BG131" si="12">SUM(BF131*0.33)</f>
        <v>189753.30000000002</v>
      </c>
      <c r="BH131" s="5094">
        <v>25</v>
      </c>
      <c r="BI131" s="3821">
        <f>SUM(X131:X154)</f>
        <v>345032783</v>
      </c>
      <c r="BJ131" s="3821">
        <f>SUM(Y131:Y154)</f>
        <v>266295744</v>
      </c>
      <c r="BK131" s="5091">
        <f>+BJ131/BI131</f>
        <v>0.7717983829959717</v>
      </c>
      <c r="BL131" s="5094" t="s">
        <v>1744</v>
      </c>
      <c r="BM131" s="5094" t="s">
        <v>1590</v>
      </c>
      <c r="BN131" s="5202">
        <v>43467</v>
      </c>
      <c r="BO131" s="5202">
        <v>43830</v>
      </c>
      <c r="BP131" s="5202">
        <v>43830</v>
      </c>
      <c r="BQ131" s="5202">
        <v>43830</v>
      </c>
      <c r="BR131" s="5205" t="s">
        <v>1591</v>
      </c>
    </row>
    <row r="132" spans="1:70" ht="42" customHeight="1" x14ac:dyDescent="0.2">
      <c r="A132" s="2181"/>
      <c r="B132" s="2182"/>
      <c r="C132" s="2183"/>
      <c r="D132" s="2182"/>
      <c r="E132" s="2182"/>
      <c r="F132" s="2183"/>
      <c r="G132" s="2184"/>
      <c r="H132" s="2182"/>
      <c r="I132" s="2183"/>
      <c r="J132" s="5111"/>
      <c r="K132" s="5114"/>
      <c r="L132" s="5111"/>
      <c r="M132" s="5111"/>
      <c r="N132" s="5111"/>
      <c r="O132" s="5111"/>
      <c r="P132" s="5243"/>
      <c r="Q132" s="5125"/>
      <c r="R132" s="5221"/>
      <c r="S132" s="5226"/>
      <c r="T132" s="5114"/>
      <c r="U132" s="5114"/>
      <c r="V132" s="5228"/>
      <c r="W132" s="2824">
        <v>80200000</v>
      </c>
      <c r="X132" s="2142">
        <v>79603000</v>
      </c>
      <c r="Y132" s="2142">
        <v>54525000</v>
      </c>
      <c r="Z132" s="2186">
        <v>61</v>
      </c>
      <c r="AA132" s="5111"/>
      <c r="AB132" s="5223"/>
      <c r="AC132" s="5223"/>
      <c r="AD132" s="5223"/>
      <c r="AE132" s="5223"/>
      <c r="AF132" s="5223"/>
      <c r="AG132" s="5223"/>
      <c r="AH132" s="5223"/>
      <c r="AI132" s="5223"/>
      <c r="AJ132" s="5223"/>
      <c r="AK132" s="5223"/>
      <c r="AL132" s="5223"/>
      <c r="AM132" s="5223"/>
      <c r="AN132" s="5223"/>
      <c r="AO132" s="5223"/>
      <c r="AP132" s="5223"/>
      <c r="AQ132" s="5223"/>
      <c r="AR132" s="5223"/>
      <c r="AS132" s="5223"/>
      <c r="AT132" s="5223"/>
      <c r="AU132" s="5223"/>
      <c r="AV132" s="5223"/>
      <c r="AW132" s="5223"/>
      <c r="AX132" s="5223"/>
      <c r="AY132" s="5223"/>
      <c r="AZ132" s="5223"/>
      <c r="BA132" s="5223"/>
      <c r="BB132" s="5223"/>
      <c r="BC132" s="5223"/>
      <c r="BD132" s="5223"/>
      <c r="BE132" s="5223"/>
      <c r="BF132" s="5223"/>
      <c r="BG132" s="5223"/>
      <c r="BH132" s="5095"/>
      <c r="BI132" s="3822"/>
      <c r="BJ132" s="3822"/>
      <c r="BK132" s="5092"/>
      <c r="BL132" s="5095"/>
      <c r="BM132" s="5095"/>
      <c r="BN132" s="5203"/>
      <c r="BO132" s="5203"/>
      <c r="BP132" s="5203"/>
      <c r="BQ132" s="5203"/>
      <c r="BR132" s="5206"/>
    </row>
    <row r="133" spans="1:70" ht="42" customHeight="1" x14ac:dyDescent="0.2">
      <c r="A133" s="2181"/>
      <c r="B133" s="2182"/>
      <c r="C133" s="2183"/>
      <c r="D133" s="2182"/>
      <c r="E133" s="2182"/>
      <c r="F133" s="2183"/>
      <c r="G133" s="2184"/>
      <c r="H133" s="2182"/>
      <c r="I133" s="2183"/>
      <c r="J133" s="5111"/>
      <c r="K133" s="5114"/>
      <c r="L133" s="5111"/>
      <c r="M133" s="5111"/>
      <c r="N133" s="5111"/>
      <c r="O133" s="5111"/>
      <c r="P133" s="5243"/>
      <c r="Q133" s="5125"/>
      <c r="R133" s="5221"/>
      <c r="S133" s="5226"/>
      <c r="T133" s="5114"/>
      <c r="U133" s="5114"/>
      <c r="V133" s="5229"/>
      <c r="W133" s="2187">
        <f>0+4271940</f>
        <v>4271940</v>
      </c>
      <c r="X133" s="2142">
        <v>4271940</v>
      </c>
      <c r="Y133" s="2142">
        <v>4271940</v>
      </c>
      <c r="Z133" s="2188">
        <v>107</v>
      </c>
      <c r="AA133" s="5111"/>
      <c r="AB133" s="5223"/>
      <c r="AC133" s="5223"/>
      <c r="AD133" s="5223"/>
      <c r="AE133" s="5223"/>
      <c r="AF133" s="5223"/>
      <c r="AG133" s="5223"/>
      <c r="AH133" s="5223"/>
      <c r="AI133" s="5223"/>
      <c r="AJ133" s="5223"/>
      <c r="AK133" s="5223"/>
      <c r="AL133" s="5223"/>
      <c r="AM133" s="5223"/>
      <c r="AN133" s="5223"/>
      <c r="AO133" s="5223"/>
      <c r="AP133" s="5223"/>
      <c r="AQ133" s="5223"/>
      <c r="AR133" s="5223"/>
      <c r="AS133" s="5223"/>
      <c r="AT133" s="5223"/>
      <c r="AU133" s="5223"/>
      <c r="AV133" s="5223"/>
      <c r="AW133" s="5223"/>
      <c r="AX133" s="5223"/>
      <c r="AY133" s="5223"/>
      <c r="AZ133" s="5223"/>
      <c r="BA133" s="5223"/>
      <c r="BB133" s="5223"/>
      <c r="BC133" s="5223"/>
      <c r="BD133" s="5223"/>
      <c r="BE133" s="5223"/>
      <c r="BF133" s="5223"/>
      <c r="BG133" s="5223"/>
      <c r="BH133" s="5095"/>
      <c r="BI133" s="3822"/>
      <c r="BJ133" s="3822"/>
      <c r="BK133" s="5092"/>
      <c r="BL133" s="5095"/>
      <c r="BM133" s="5095"/>
      <c r="BN133" s="5203"/>
      <c r="BO133" s="5203"/>
      <c r="BP133" s="5203"/>
      <c r="BQ133" s="5203"/>
      <c r="BR133" s="5206"/>
    </row>
    <row r="134" spans="1:70" ht="51" customHeight="1" x14ac:dyDescent="0.2">
      <c r="A134" s="2181"/>
      <c r="B134" s="2182"/>
      <c r="C134" s="2183"/>
      <c r="D134" s="2182"/>
      <c r="E134" s="2182"/>
      <c r="F134" s="2183"/>
      <c r="G134" s="2184"/>
      <c r="H134" s="2182"/>
      <c r="I134" s="2183"/>
      <c r="J134" s="5111"/>
      <c r="K134" s="5114"/>
      <c r="L134" s="5111"/>
      <c r="M134" s="5111"/>
      <c r="N134" s="5111"/>
      <c r="O134" s="5111"/>
      <c r="P134" s="5243"/>
      <c r="Q134" s="5125"/>
      <c r="R134" s="5221"/>
      <c r="S134" s="5226"/>
      <c r="T134" s="5114"/>
      <c r="U134" s="5114"/>
      <c r="V134" s="5229"/>
      <c r="W134" s="2187">
        <v>9557695</v>
      </c>
      <c r="X134" s="2142">
        <v>4191000</v>
      </c>
      <c r="Y134" s="2142">
        <v>0</v>
      </c>
      <c r="Z134" s="2188">
        <v>147</v>
      </c>
      <c r="AA134" s="5111"/>
      <c r="AB134" s="5223"/>
      <c r="AC134" s="5223"/>
      <c r="AD134" s="5223"/>
      <c r="AE134" s="5223"/>
      <c r="AF134" s="5223"/>
      <c r="AG134" s="5223"/>
      <c r="AH134" s="5223"/>
      <c r="AI134" s="5223"/>
      <c r="AJ134" s="5223"/>
      <c r="AK134" s="5223"/>
      <c r="AL134" s="5223"/>
      <c r="AM134" s="5223"/>
      <c r="AN134" s="5223"/>
      <c r="AO134" s="5223"/>
      <c r="AP134" s="5223"/>
      <c r="AQ134" s="5223"/>
      <c r="AR134" s="5223"/>
      <c r="AS134" s="5223"/>
      <c r="AT134" s="5223"/>
      <c r="AU134" s="5223"/>
      <c r="AV134" s="5223"/>
      <c r="AW134" s="5223"/>
      <c r="AX134" s="5223"/>
      <c r="AY134" s="5223"/>
      <c r="AZ134" s="5223"/>
      <c r="BA134" s="5223"/>
      <c r="BB134" s="5223"/>
      <c r="BC134" s="5223"/>
      <c r="BD134" s="5223"/>
      <c r="BE134" s="5223"/>
      <c r="BF134" s="5223"/>
      <c r="BG134" s="5223"/>
      <c r="BH134" s="5095"/>
      <c r="BI134" s="3822"/>
      <c r="BJ134" s="3822"/>
      <c r="BK134" s="5092"/>
      <c r="BL134" s="5095"/>
      <c r="BM134" s="5095"/>
      <c r="BN134" s="5203"/>
      <c r="BO134" s="5203"/>
      <c r="BP134" s="5203"/>
      <c r="BQ134" s="5203"/>
      <c r="BR134" s="5206"/>
    </row>
    <row r="135" spans="1:70" ht="33.75" customHeight="1" x14ac:dyDescent="0.2">
      <c r="A135" s="2181"/>
      <c r="B135" s="2182"/>
      <c r="C135" s="2183"/>
      <c r="D135" s="2182"/>
      <c r="E135" s="2182"/>
      <c r="F135" s="2183"/>
      <c r="G135" s="2184"/>
      <c r="H135" s="2182"/>
      <c r="I135" s="2183"/>
      <c r="J135" s="5111"/>
      <c r="K135" s="5114"/>
      <c r="L135" s="5111"/>
      <c r="M135" s="5111"/>
      <c r="N135" s="5111"/>
      <c r="O135" s="5111"/>
      <c r="P135" s="5243"/>
      <c r="Q135" s="5125"/>
      <c r="R135" s="5221"/>
      <c r="S135" s="5226"/>
      <c r="T135" s="5114"/>
      <c r="U135" s="5227"/>
      <c r="V135" s="5230" t="s">
        <v>1745</v>
      </c>
      <c r="W135" s="2189">
        <v>7000000</v>
      </c>
      <c r="X135" s="2142">
        <v>7000000</v>
      </c>
      <c r="Y135" s="2142">
        <v>7000000</v>
      </c>
      <c r="Z135" s="2190">
        <v>61</v>
      </c>
      <c r="AA135" s="5111"/>
      <c r="AB135" s="5223"/>
      <c r="AC135" s="5223"/>
      <c r="AD135" s="5223"/>
      <c r="AE135" s="5223"/>
      <c r="AF135" s="5223"/>
      <c r="AG135" s="5223"/>
      <c r="AH135" s="5223"/>
      <c r="AI135" s="5223"/>
      <c r="AJ135" s="5223"/>
      <c r="AK135" s="5223"/>
      <c r="AL135" s="5223"/>
      <c r="AM135" s="5223"/>
      <c r="AN135" s="5223"/>
      <c r="AO135" s="5223"/>
      <c r="AP135" s="5223"/>
      <c r="AQ135" s="5223"/>
      <c r="AR135" s="5223"/>
      <c r="AS135" s="5223"/>
      <c r="AT135" s="5223"/>
      <c r="AU135" s="5223"/>
      <c r="AV135" s="5223"/>
      <c r="AW135" s="5223"/>
      <c r="AX135" s="5223"/>
      <c r="AY135" s="5223"/>
      <c r="AZ135" s="5223"/>
      <c r="BA135" s="5223"/>
      <c r="BB135" s="5223"/>
      <c r="BC135" s="5223"/>
      <c r="BD135" s="5223"/>
      <c r="BE135" s="5223"/>
      <c r="BF135" s="5223"/>
      <c r="BG135" s="5223"/>
      <c r="BH135" s="5095"/>
      <c r="BI135" s="3822"/>
      <c r="BJ135" s="3822"/>
      <c r="BK135" s="5092"/>
      <c r="BL135" s="5095"/>
      <c r="BM135" s="5095"/>
      <c r="BN135" s="5203"/>
      <c r="BO135" s="5203"/>
      <c r="BP135" s="5203"/>
      <c r="BQ135" s="5203"/>
      <c r="BR135" s="5206"/>
    </row>
    <row r="136" spans="1:70" ht="28.5" customHeight="1" x14ac:dyDescent="0.2">
      <c r="A136" s="2181"/>
      <c r="B136" s="2182"/>
      <c r="C136" s="2183"/>
      <c r="D136" s="2182"/>
      <c r="E136" s="2182"/>
      <c r="F136" s="2183"/>
      <c r="G136" s="2184"/>
      <c r="H136" s="2182"/>
      <c r="I136" s="2183"/>
      <c r="J136" s="5111"/>
      <c r="K136" s="5114"/>
      <c r="L136" s="5111"/>
      <c r="M136" s="5111"/>
      <c r="N136" s="5111"/>
      <c r="O136" s="5111"/>
      <c r="P136" s="5243"/>
      <c r="Q136" s="5125"/>
      <c r="R136" s="5221"/>
      <c r="S136" s="5226"/>
      <c r="T136" s="5114"/>
      <c r="U136" s="5227"/>
      <c r="V136" s="5231"/>
      <c r="W136" s="5233">
        <f>0+4271940</f>
        <v>4271940</v>
      </c>
      <c r="X136" s="2142">
        <f>0+4271940</f>
        <v>4271940</v>
      </c>
      <c r="Y136" s="2142">
        <v>4271940</v>
      </c>
      <c r="Z136" s="5235">
        <v>107</v>
      </c>
      <c r="AA136" s="5111"/>
      <c r="AB136" s="5223"/>
      <c r="AC136" s="5223"/>
      <c r="AD136" s="5223"/>
      <c r="AE136" s="5223"/>
      <c r="AF136" s="5223"/>
      <c r="AG136" s="5223"/>
      <c r="AH136" s="5223"/>
      <c r="AI136" s="5223"/>
      <c r="AJ136" s="5223"/>
      <c r="AK136" s="5223"/>
      <c r="AL136" s="5223"/>
      <c r="AM136" s="5223"/>
      <c r="AN136" s="5223"/>
      <c r="AO136" s="5223"/>
      <c r="AP136" s="5223"/>
      <c r="AQ136" s="5223"/>
      <c r="AR136" s="5223"/>
      <c r="AS136" s="5223"/>
      <c r="AT136" s="5223"/>
      <c r="AU136" s="5223"/>
      <c r="AV136" s="5223"/>
      <c r="AW136" s="5223"/>
      <c r="AX136" s="5223"/>
      <c r="AY136" s="5223"/>
      <c r="AZ136" s="5223"/>
      <c r="BA136" s="5223"/>
      <c r="BB136" s="5223"/>
      <c r="BC136" s="5223"/>
      <c r="BD136" s="5223"/>
      <c r="BE136" s="5223"/>
      <c r="BF136" s="5223"/>
      <c r="BG136" s="5223"/>
      <c r="BH136" s="5095"/>
      <c r="BI136" s="3822"/>
      <c r="BJ136" s="3822"/>
      <c r="BK136" s="5092"/>
      <c r="BL136" s="5095"/>
      <c r="BM136" s="5095"/>
      <c r="BN136" s="5203"/>
      <c r="BO136" s="5203"/>
      <c r="BP136" s="5203"/>
      <c r="BQ136" s="5203"/>
      <c r="BR136" s="5206"/>
    </row>
    <row r="137" spans="1:70" ht="24" customHeight="1" x14ac:dyDescent="0.2">
      <c r="A137" s="2181"/>
      <c r="B137" s="2182"/>
      <c r="C137" s="2183"/>
      <c r="D137" s="2182"/>
      <c r="E137" s="2182"/>
      <c r="F137" s="2183"/>
      <c r="G137" s="2184"/>
      <c r="H137" s="2182"/>
      <c r="I137" s="2183"/>
      <c r="J137" s="5111"/>
      <c r="K137" s="5114"/>
      <c r="L137" s="5111"/>
      <c r="M137" s="5111"/>
      <c r="N137" s="5111"/>
      <c r="O137" s="5111"/>
      <c r="P137" s="5243"/>
      <c r="Q137" s="5125"/>
      <c r="R137" s="5221"/>
      <c r="S137" s="5226"/>
      <c r="T137" s="5114"/>
      <c r="U137" s="5227"/>
      <c r="V137" s="5232"/>
      <c r="W137" s="5234"/>
      <c r="X137" s="2142"/>
      <c r="Y137" s="2142"/>
      <c r="Z137" s="5236"/>
      <c r="AA137" s="5111"/>
      <c r="AB137" s="5223"/>
      <c r="AC137" s="5223"/>
      <c r="AD137" s="5223"/>
      <c r="AE137" s="5223"/>
      <c r="AF137" s="5223"/>
      <c r="AG137" s="5223"/>
      <c r="AH137" s="5223"/>
      <c r="AI137" s="5223"/>
      <c r="AJ137" s="5223"/>
      <c r="AK137" s="5223"/>
      <c r="AL137" s="5223"/>
      <c r="AM137" s="5223"/>
      <c r="AN137" s="5223"/>
      <c r="AO137" s="5223"/>
      <c r="AP137" s="5223"/>
      <c r="AQ137" s="5223"/>
      <c r="AR137" s="5223"/>
      <c r="AS137" s="5223"/>
      <c r="AT137" s="5223"/>
      <c r="AU137" s="5223"/>
      <c r="AV137" s="5223"/>
      <c r="AW137" s="5223"/>
      <c r="AX137" s="5223"/>
      <c r="AY137" s="5223"/>
      <c r="AZ137" s="5223"/>
      <c r="BA137" s="5223"/>
      <c r="BB137" s="5223"/>
      <c r="BC137" s="5223"/>
      <c r="BD137" s="5223"/>
      <c r="BE137" s="5223"/>
      <c r="BF137" s="5223"/>
      <c r="BG137" s="5223"/>
      <c r="BH137" s="5095"/>
      <c r="BI137" s="3822"/>
      <c r="BJ137" s="3822"/>
      <c r="BK137" s="5092"/>
      <c r="BL137" s="5095"/>
      <c r="BM137" s="5095"/>
      <c r="BN137" s="5203"/>
      <c r="BO137" s="5203"/>
      <c r="BP137" s="5203"/>
      <c r="BQ137" s="5203"/>
      <c r="BR137" s="5206"/>
    </row>
    <row r="138" spans="1:70" ht="28.5" customHeight="1" x14ac:dyDescent="0.2">
      <c r="A138" s="2181"/>
      <c r="B138" s="2182"/>
      <c r="C138" s="2183"/>
      <c r="D138" s="2182"/>
      <c r="E138" s="2182"/>
      <c r="F138" s="2183"/>
      <c r="G138" s="2184"/>
      <c r="H138" s="2182"/>
      <c r="I138" s="2183"/>
      <c r="J138" s="5111"/>
      <c r="K138" s="5114"/>
      <c r="L138" s="5111"/>
      <c r="M138" s="5111"/>
      <c r="N138" s="5111"/>
      <c r="O138" s="5111"/>
      <c r="P138" s="5243"/>
      <c r="Q138" s="5125"/>
      <c r="R138" s="5221"/>
      <c r="S138" s="5226"/>
      <c r="T138" s="5114"/>
      <c r="U138" s="5114"/>
      <c r="V138" s="5228" t="s">
        <v>1746</v>
      </c>
      <c r="W138" s="2826">
        <v>10000000</v>
      </c>
      <c r="X138" s="2142">
        <v>10000000</v>
      </c>
      <c r="Y138" s="2142">
        <v>10000000</v>
      </c>
      <c r="Z138" s="2191">
        <v>61</v>
      </c>
      <c r="AA138" s="5111"/>
      <c r="AB138" s="5223"/>
      <c r="AC138" s="5223"/>
      <c r="AD138" s="5223"/>
      <c r="AE138" s="5223"/>
      <c r="AF138" s="5223"/>
      <c r="AG138" s="5223"/>
      <c r="AH138" s="5223"/>
      <c r="AI138" s="5223"/>
      <c r="AJ138" s="5223"/>
      <c r="AK138" s="5223"/>
      <c r="AL138" s="5223"/>
      <c r="AM138" s="5223"/>
      <c r="AN138" s="5223"/>
      <c r="AO138" s="5223"/>
      <c r="AP138" s="5223"/>
      <c r="AQ138" s="5223"/>
      <c r="AR138" s="5223"/>
      <c r="AS138" s="5223"/>
      <c r="AT138" s="5223"/>
      <c r="AU138" s="5223"/>
      <c r="AV138" s="5223"/>
      <c r="AW138" s="5223"/>
      <c r="AX138" s="5223"/>
      <c r="AY138" s="5223"/>
      <c r="AZ138" s="5223"/>
      <c r="BA138" s="5223"/>
      <c r="BB138" s="5223"/>
      <c r="BC138" s="5223"/>
      <c r="BD138" s="5223"/>
      <c r="BE138" s="5223"/>
      <c r="BF138" s="5223"/>
      <c r="BG138" s="5223"/>
      <c r="BH138" s="5095"/>
      <c r="BI138" s="3822"/>
      <c r="BJ138" s="3822"/>
      <c r="BK138" s="5092"/>
      <c r="BL138" s="5095"/>
      <c r="BM138" s="5095"/>
      <c r="BN138" s="5203"/>
      <c r="BO138" s="5203"/>
      <c r="BP138" s="5203"/>
      <c r="BQ138" s="5203"/>
      <c r="BR138" s="5206"/>
    </row>
    <row r="139" spans="1:70" ht="24.75" customHeight="1" x14ac:dyDescent="0.2">
      <c r="A139" s="2181"/>
      <c r="B139" s="2182"/>
      <c r="C139" s="2183"/>
      <c r="D139" s="2182"/>
      <c r="E139" s="2182"/>
      <c r="F139" s="2183"/>
      <c r="G139" s="2184"/>
      <c r="H139" s="2182"/>
      <c r="I139" s="2183"/>
      <c r="J139" s="5111"/>
      <c r="K139" s="5114"/>
      <c r="L139" s="5111"/>
      <c r="M139" s="5111"/>
      <c r="N139" s="5111"/>
      <c r="O139" s="5111"/>
      <c r="P139" s="5243"/>
      <c r="Q139" s="5125"/>
      <c r="R139" s="5221"/>
      <c r="S139" s="5226"/>
      <c r="T139" s="5114"/>
      <c r="U139" s="5114"/>
      <c r="V139" s="5228"/>
      <c r="W139" s="2142">
        <v>10000000</v>
      </c>
      <c r="X139" s="2142">
        <f>6411500-64</f>
        <v>6411436</v>
      </c>
      <c r="Y139" s="2142">
        <v>5161500</v>
      </c>
      <c r="Z139" s="2192">
        <v>20</v>
      </c>
      <c r="AA139" s="5111"/>
      <c r="AB139" s="5223"/>
      <c r="AC139" s="5223"/>
      <c r="AD139" s="5223"/>
      <c r="AE139" s="5223"/>
      <c r="AF139" s="5223"/>
      <c r="AG139" s="5223"/>
      <c r="AH139" s="5223"/>
      <c r="AI139" s="5223"/>
      <c r="AJ139" s="5223"/>
      <c r="AK139" s="5223"/>
      <c r="AL139" s="5223"/>
      <c r="AM139" s="5223"/>
      <c r="AN139" s="5223"/>
      <c r="AO139" s="5223"/>
      <c r="AP139" s="5223"/>
      <c r="AQ139" s="5223"/>
      <c r="AR139" s="5223"/>
      <c r="AS139" s="5223"/>
      <c r="AT139" s="5223"/>
      <c r="AU139" s="5223"/>
      <c r="AV139" s="5223"/>
      <c r="AW139" s="5223"/>
      <c r="AX139" s="5223"/>
      <c r="AY139" s="5223"/>
      <c r="AZ139" s="5223"/>
      <c r="BA139" s="5223"/>
      <c r="BB139" s="5223"/>
      <c r="BC139" s="5223"/>
      <c r="BD139" s="5223"/>
      <c r="BE139" s="5223"/>
      <c r="BF139" s="5223"/>
      <c r="BG139" s="5223"/>
      <c r="BH139" s="5095"/>
      <c r="BI139" s="3822"/>
      <c r="BJ139" s="3822"/>
      <c r="BK139" s="5092"/>
      <c r="BL139" s="5095"/>
      <c r="BM139" s="5095"/>
      <c r="BN139" s="5203"/>
      <c r="BO139" s="5203"/>
      <c r="BP139" s="5203"/>
      <c r="BQ139" s="5203"/>
      <c r="BR139" s="5206"/>
    </row>
    <row r="140" spans="1:70" ht="26.25" customHeight="1" x14ac:dyDescent="0.2">
      <c r="A140" s="2181"/>
      <c r="B140" s="2182"/>
      <c r="C140" s="2183"/>
      <c r="D140" s="2182"/>
      <c r="E140" s="2182"/>
      <c r="F140" s="2183"/>
      <c r="G140" s="2184"/>
      <c r="H140" s="2182"/>
      <c r="I140" s="2183"/>
      <c r="J140" s="5111"/>
      <c r="K140" s="5114"/>
      <c r="L140" s="5111"/>
      <c r="M140" s="5111"/>
      <c r="N140" s="5111"/>
      <c r="O140" s="5111"/>
      <c r="P140" s="5243"/>
      <c r="Q140" s="5125"/>
      <c r="R140" s="5221"/>
      <c r="S140" s="5226"/>
      <c r="T140" s="5114"/>
      <c r="U140" s="5114"/>
      <c r="V140" s="5220"/>
      <c r="W140" s="2142">
        <f>0+4271940</f>
        <v>4271940</v>
      </c>
      <c r="X140" s="2142">
        <v>4271940</v>
      </c>
      <c r="Y140" s="2142">
        <v>4271940</v>
      </c>
      <c r="Z140" s="2192">
        <v>107</v>
      </c>
      <c r="AA140" s="5111"/>
      <c r="AB140" s="5223"/>
      <c r="AC140" s="5223"/>
      <c r="AD140" s="5223"/>
      <c r="AE140" s="5223"/>
      <c r="AF140" s="5223"/>
      <c r="AG140" s="5223"/>
      <c r="AH140" s="5223"/>
      <c r="AI140" s="5223"/>
      <c r="AJ140" s="5223"/>
      <c r="AK140" s="5223"/>
      <c r="AL140" s="5223"/>
      <c r="AM140" s="5223"/>
      <c r="AN140" s="5223"/>
      <c r="AO140" s="5223"/>
      <c r="AP140" s="5223"/>
      <c r="AQ140" s="5223"/>
      <c r="AR140" s="5223"/>
      <c r="AS140" s="5223"/>
      <c r="AT140" s="5223"/>
      <c r="AU140" s="5223"/>
      <c r="AV140" s="5223"/>
      <c r="AW140" s="5223"/>
      <c r="AX140" s="5223"/>
      <c r="AY140" s="5223"/>
      <c r="AZ140" s="5223"/>
      <c r="BA140" s="5223"/>
      <c r="BB140" s="5223"/>
      <c r="BC140" s="5223"/>
      <c r="BD140" s="5223"/>
      <c r="BE140" s="5223"/>
      <c r="BF140" s="5223"/>
      <c r="BG140" s="5223"/>
      <c r="BH140" s="5095"/>
      <c r="BI140" s="3822"/>
      <c r="BJ140" s="3822"/>
      <c r="BK140" s="5092"/>
      <c r="BL140" s="5095"/>
      <c r="BM140" s="5095"/>
      <c r="BN140" s="5203"/>
      <c r="BO140" s="5203"/>
      <c r="BP140" s="5203"/>
      <c r="BQ140" s="5203"/>
      <c r="BR140" s="5206"/>
    </row>
    <row r="141" spans="1:70" ht="43.5" customHeight="1" x14ac:dyDescent="0.2">
      <c r="A141" s="2181"/>
      <c r="B141" s="2182"/>
      <c r="C141" s="2183"/>
      <c r="D141" s="2182"/>
      <c r="E141" s="2182"/>
      <c r="F141" s="2183"/>
      <c r="G141" s="2184"/>
      <c r="H141" s="2182"/>
      <c r="I141" s="2183"/>
      <c r="J141" s="5111"/>
      <c r="K141" s="5114"/>
      <c r="L141" s="5111"/>
      <c r="M141" s="5111"/>
      <c r="N141" s="5111"/>
      <c r="O141" s="5111"/>
      <c r="P141" s="5243"/>
      <c r="Q141" s="5125"/>
      <c r="R141" s="5221"/>
      <c r="S141" s="5226"/>
      <c r="T141" s="5114"/>
      <c r="U141" s="5114"/>
      <c r="V141" s="5219" t="s">
        <v>1747</v>
      </c>
      <c r="W141" s="2142">
        <v>20000000</v>
      </c>
      <c r="X141" s="2142">
        <v>6411500</v>
      </c>
      <c r="Y141" s="2142">
        <v>5161500</v>
      </c>
      <c r="Z141" s="2192">
        <v>20</v>
      </c>
      <c r="AA141" s="5111"/>
      <c r="AB141" s="5223"/>
      <c r="AC141" s="5223"/>
      <c r="AD141" s="5223"/>
      <c r="AE141" s="5223"/>
      <c r="AF141" s="5223"/>
      <c r="AG141" s="5223"/>
      <c r="AH141" s="5223"/>
      <c r="AI141" s="5223"/>
      <c r="AJ141" s="5223"/>
      <c r="AK141" s="5223"/>
      <c r="AL141" s="5223"/>
      <c r="AM141" s="5223"/>
      <c r="AN141" s="5223"/>
      <c r="AO141" s="5223"/>
      <c r="AP141" s="5223"/>
      <c r="AQ141" s="5223"/>
      <c r="AR141" s="5223"/>
      <c r="AS141" s="5223"/>
      <c r="AT141" s="5223"/>
      <c r="AU141" s="5223"/>
      <c r="AV141" s="5223"/>
      <c r="AW141" s="5223"/>
      <c r="AX141" s="5223"/>
      <c r="AY141" s="5223"/>
      <c r="AZ141" s="5223"/>
      <c r="BA141" s="5223"/>
      <c r="BB141" s="5223"/>
      <c r="BC141" s="5223"/>
      <c r="BD141" s="5223"/>
      <c r="BE141" s="5223"/>
      <c r="BF141" s="5223"/>
      <c r="BG141" s="5223"/>
      <c r="BH141" s="5095"/>
      <c r="BI141" s="3822"/>
      <c r="BJ141" s="3822"/>
      <c r="BK141" s="5092"/>
      <c r="BL141" s="5095"/>
      <c r="BM141" s="5095"/>
      <c r="BN141" s="5203"/>
      <c r="BO141" s="5203"/>
      <c r="BP141" s="5203"/>
      <c r="BQ141" s="5203"/>
      <c r="BR141" s="5206"/>
    </row>
    <row r="142" spans="1:70" ht="45.75" customHeight="1" x14ac:dyDescent="0.2">
      <c r="A142" s="2181"/>
      <c r="B142" s="2182"/>
      <c r="C142" s="2183"/>
      <c r="D142" s="2182"/>
      <c r="E142" s="2182"/>
      <c r="F142" s="2183"/>
      <c r="G142" s="2184"/>
      <c r="H142" s="2182"/>
      <c r="I142" s="2183"/>
      <c r="J142" s="5111"/>
      <c r="K142" s="5114"/>
      <c r="L142" s="5111"/>
      <c r="M142" s="5111"/>
      <c r="N142" s="5111"/>
      <c r="O142" s="5111"/>
      <c r="P142" s="5243"/>
      <c r="Q142" s="5125"/>
      <c r="R142" s="5221"/>
      <c r="S142" s="5226"/>
      <c r="T142" s="5114"/>
      <c r="U142" s="5114"/>
      <c r="V142" s="5220"/>
      <c r="W142" s="2142">
        <f>0+4271940</f>
        <v>4271940</v>
      </c>
      <c r="X142" s="2142">
        <v>4271940</v>
      </c>
      <c r="Y142" s="2142">
        <v>4271940</v>
      </c>
      <c r="Z142" s="2192">
        <v>107</v>
      </c>
      <c r="AA142" s="5111"/>
      <c r="AB142" s="5223"/>
      <c r="AC142" s="5223"/>
      <c r="AD142" s="5223"/>
      <c r="AE142" s="5223"/>
      <c r="AF142" s="5223"/>
      <c r="AG142" s="5223"/>
      <c r="AH142" s="5223"/>
      <c r="AI142" s="5223"/>
      <c r="AJ142" s="5223"/>
      <c r="AK142" s="5223"/>
      <c r="AL142" s="5223"/>
      <c r="AM142" s="5223"/>
      <c r="AN142" s="5223"/>
      <c r="AO142" s="5223"/>
      <c r="AP142" s="5223"/>
      <c r="AQ142" s="5223"/>
      <c r="AR142" s="5223"/>
      <c r="AS142" s="5223"/>
      <c r="AT142" s="5223"/>
      <c r="AU142" s="5223"/>
      <c r="AV142" s="5223"/>
      <c r="AW142" s="5223"/>
      <c r="AX142" s="5223"/>
      <c r="AY142" s="5223"/>
      <c r="AZ142" s="5223"/>
      <c r="BA142" s="5223"/>
      <c r="BB142" s="5223"/>
      <c r="BC142" s="5223"/>
      <c r="BD142" s="5223"/>
      <c r="BE142" s="5223"/>
      <c r="BF142" s="5223"/>
      <c r="BG142" s="5223"/>
      <c r="BH142" s="5095"/>
      <c r="BI142" s="3822"/>
      <c r="BJ142" s="3822"/>
      <c r="BK142" s="5092"/>
      <c r="BL142" s="5095"/>
      <c r="BM142" s="5095"/>
      <c r="BN142" s="5203"/>
      <c r="BO142" s="5203"/>
      <c r="BP142" s="5203"/>
      <c r="BQ142" s="5203"/>
      <c r="BR142" s="5206"/>
    </row>
    <row r="143" spans="1:70" ht="51" customHeight="1" x14ac:dyDescent="0.2">
      <c r="A143" s="2181"/>
      <c r="B143" s="2182"/>
      <c r="C143" s="2183"/>
      <c r="D143" s="2182"/>
      <c r="E143" s="2182"/>
      <c r="F143" s="2183"/>
      <c r="G143" s="2184"/>
      <c r="H143" s="2182"/>
      <c r="I143" s="2183"/>
      <c r="J143" s="5111"/>
      <c r="K143" s="5114"/>
      <c r="L143" s="5111"/>
      <c r="M143" s="5111"/>
      <c r="N143" s="5111"/>
      <c r="O143" s="5111"/>
      <c r="P143" s="5243"/>
      <c r="Q143" s="5125"/>
      <c r="R143" s="5221"/>
      <c r="S143" s="5226"/>
      <c r="T143" s="5114"/>
      <c r="U143" s="5114"/>
      <c r="V143" s="5219" t="s">
        <v>1748</v>
      </c>
      <c r="W143" s="2142">
        <v>20000000</v>
      </c>
      <c r="X143" s="2142">
        <v>6411500</v>
      </c>
      <c r="Y143" s="2142">
        <v>5161500</v>
      </c>
      <c r="Z143" s="2192">
        <v>20</v>
      </c>
      <c r="AA143" s="5111"/>
      <c r="AB143" s="5223"/>
      <c r="AC143" s="5223"/>
      <c r="AD143" s="5223"/>
      <c r="AE143" s="5223"/>
      <c r="AF143" s="5223"/>
      <c r="AG143" s="5223"/>
      <c r="AH143" s="5223"/>
      <c r="AI143" s="5223"/>
      <c r="AJ143" s="5223"/>
      <c r="AK143" s="5223"/>
      <c r="AL143" s="5223"/>
      <c r="AM143" s="5223"/>
      <c r="AN143" s="5223"/>
      <c r="AO143" s="5223"/>
      <c r="AP143" s="5223"/>
      <c r="AQ143" s="5223"/>
      <c r="AR143" s="5223"/>
      <c r="AS143" s="5223"/>
      <c r="AT143" s="5223"/>
      <c r="AU143" s="5223"/>
      <c r="AV143" s="5223"/>
      <c r="AW143" s="5223"/>
      <c r="AX143" s="5223"/>
      <c r="AY143" s="5223"/>
      <c r="AZ143" s="5223"/>
      <c r="BA143" s="5223"/>
      <c r="BB143" s="5223"/>
      <c r="BC143" s="5223"/>
      <c r="BD143" s="5223"/>
      <c r="BE143" s="5223"/>
      <c r="BF143" s="5223"/>
      <c r="BG143" s="5223"/>
      <c r="BH143" s="5095"/>
      <c r="BI143" s="3822"/>
      <c r="BJ143" s="3822"/>
      <c r="BK143" s="5092"/>
      <c r="BL143" s="5095"/>
      <c r="BM143" s="5095"/>
      <c r="BN143" s="5203"/>
      <c r="BO143" s="5203"/>
      <c r="BP143" s="5203"/>
      <c r="BQ143" s="5203"/>
      <c r="BR143" s="5206"/>
    </row>
    <row r="144" spans="1:70" ht="38.25" customHeight="1" x14ac:dyDescent="0.2">
      <c r="A144" s="2181"/>
      <c r="B144" s="2182"/>
      <c r="C144" s="2183"/>
      <c r="D144" s="2182"/>
      <c r="E144" s="2182"/>
      <c r="F144" s="2183"/>
      <c r="G144" s="2184"/>
      <c r="H144" s="2182"/>
      <c r="I144" s="2183"/>
      <c r="J144" s="5111"/>
      <c r="K144" s="5114"/>
      <c r="L144" s="5111"/>
      <c r="M144" s="5111"/>
      <c r="N144" s="5111"/>
      <c r="O144" s="5111"/>
      <c r="P144" s="5243"/>
      <c r="Q144" s="5125"/>
      <c r="R144" s="5221"/>
      <c r="S144" s="5226"/>
      <c r="T144" s="5114"/>
      <c r="U144" s="5114"/>
      <c r="V144" s="5220"/>
      <c r="W144" s="2142">
        <f>0+4271940</f>
        <v>4271940</v>
      </c>
      <c r="X144" s="2142">
        <v>4271940</v>
      </c>
      <c r="Y144" s="2142">
        <v>4271940</v>
      </c>
      <c r="Z144" s="2192">
        <v>107</v>
      </c>
      <c r="AA144" s="5111"/>
      <c r="AB144" s="5223"/>
      <c r="AC144" s="5223"/>
      <c r="AD144" s="5223"/>
      <c r="AE144" s="5223"/>
      <c r="AF144" s="5223"/>
      <c r="AG144" s="5223"/>
      <c r="AH144" s="5223"/>
      <c r="AI144" s="5223"/>
      <c r="AJ144" s="5223"/>
      <c r="AK144" s="5223"/>
      <c r="AL144" s="5223"/>
      <c r="AM144" s="5223"/>
      <c r="AN144" s="5223"/>
      <c r="AO144" s="5223"/>
      <c r="AP144" s="5223"/>
      <c r="AQ144" s="5223"/>
      <c r="AR144" s="5223"/>
      <c r="AS144" s="5223"/>
      <c r="AT144" s="5223"/>
      <c r="AU144" s="5223"/>
      <c r="AV144" s="5223"/>
      <c r="AW144" s="5223"/>
      <c r="AX144" s="5223"/>
      <c r="AY144" s="5223"/>
      <c r="AZ144" s="5223"/>
      <c r="BA144" s="5223"/>
      <c r="BB144" s="5223"/>
      <c r="BC144" s="5223"/>
      <c r="BD144" s="5223"/>
      <c r="BE144" s="5223"/>
      <c r="BF144" s="5223"/>
      <c r="BG144" s="5223"/>
      <c r="BH144" s="5095"/>
      <c r="BI144" s="3822"/>
      <c r="BJ144" s="3822"/>
      <c r="BK144" s="5092"/>
      <c r="BL144" s="5095"/>
      <c r="BM144" s="5095"/>
      <c r="BN144" s="5203"/>
      <c r="BO144" s="5203"/>
      <c r="BP144" s="5203"/>
      <c r="BQ144" s="5203"/>
      <c r="BR144" s="5206"/>
    </row>
    <row r="145" spans="1:70" ht="42.75" customHeight="1" x14ac:dyDescent="0.2">
      <c r="A145" s="2181"/>
      <c r="B145" s="2182"/>
      <c r="C145" s="2183"/>
      <c r="D145" s="2182"/>
      <c r="E145" s="2182"/>
      <c r="F145" s="2183"/>
      <c r="G145" s="2184"/>
      <c r="H145" s="2182"/>
      <c r="I145" s="2183"/>
      <c r="J145" s="5111"/>
      <c r="K145" s="5114"/>
      <c r="L145" s="5111"/>
      <c r="M145" s="5111"/>
      <c r="N145" s="5111"/>
      <c r="O145" s="5111"/>
      <c r="P145" s="5243"/>
      <c r="Q145" s="5125"/>
      <c r="R145" s="5221"/>
      <c r="S145" s="5226"/>
      <c r="T145" s="5114"/>
      <c r="U145" s="5114"/>
      <c r="V145" s="5219" t="s">
        <v>1749</v>
      </c>
      <c r="W145" s="2142">
        <v>20000000</v>
      </c>
      <c r="X145" s="2142">
        <v>6411450</v>
      </c>
      <c r="Y145" s="2142">
        <f>5161500-114</f>
        <v>5161386</v>
      </c>
      <c r="Z145" s="2192">
        <v>20</v>
      </c>
      <c r="AA145" s="5111"/>
      <c r="AB145" s="5223"/>
      <c r="AC145" s="5223"/>
      <c r="AD145" s="5223"/>
      <c r="AE145" s="5223"/>
      <c r="AF145" s="5223"/>
      <c r="AG145" s="5223"/>
      <c r="AH145" s="5223"/>
      <c r="AI145" s="5223"/>
      <c r="AJ145" s="5223"/>
      <c r="AK145" s="5223"/>
      <c r="AL145" s="5223"/>
      <c r="AM145" s="5223"/>
      <c r="AN145" s="5223"/>
      <c r="AO145" s="5223"/>
      <c r="AP145" s="5223"/>
      <c r="AQ145" s="5223"/>
      <c r="AR145" s="5223"/>
      <c r="AS145" s="5223"/>
      <c r="AT145" s="5223"/>
      <c r="AU145" s="5223"/>
      <c r="AV145" s="5223"/>
      <c r="AW145" s="5223"/>
      <c r="AX145" s="5223"/>
      <c r="AY145" s="5223"/>
      <c r="AZ145" s="5223"/>
      <c r="BA145" s="5223"/>
      <c r="BB145" s="5223"/>
      <c r="BC145" s="5223"/>
      <c r="BD145" s="5223"/>
      <c r="BE145" s="5223"/>
      <c r="BF145" s="5223"/>
      <c r="BG145" s="5223"/>
      <c r="BH145" s="5095"/>
      <c r="BI145" s="3822"/>
      <c r="BJ145" s="3822"/>
      <c r="BK145" s="5092"/>
      <c r="BL145" s="5095"/>
      <c r="BM145" s="5095"/>
      <c r="BN145" s="5203"/>
      <c r="BO145" s="5203"/>
      <c r="BP145" s="5203"/>
      <c r="BQ145" s="5203"/>
      <c r="BR145" s="5206"/>
    </row>
    <row r="146" spans="1:70" ht="48" customHeight="1" x14ac:dyDescent="0.2">
      <c r="A146" s="2181"/>
      <c r="B146" s="2182"/>
      <c r="C146" s="2183"/>
      <c r="D146" s="2182"/>
      <c r="E146" s="2182"/>
      <c r="F146" s="2183"/>
      <c r="G146" s="2184"/>
      <c r="H146" s="2182"/>
      <c r="I146" s="2183"/>
      <c r="J146" s="5112"/>
      <c r="K146" s="5115"/>
      <c r="L146" s="5112"/>
      <c r="M146" s="5112"/>
      <c r="N146" s="5112"/>
      <c r="O146" s="5111"/>
      <c r="P146" s="5243"/>
      <c r="Q146" s="5125"/>
      <c r="R146" s="5245"/>
      <c r="S146" s="5226"/>
      <c r="T146" s="5114"/>
      <c r="U146" s="5115"/>
      <c r="V146" s="5220"/>
      <c r="W146" s="2824">
        <f>0+4271940</f>
        <v>4271940</v>
      </c>
      <c r="X146" s="2142">
        <v>4271940</v>
      </c>
      <c r="Y146" s="2142">
        <v>4271940</v>
      </c>
      <c r="Z146" s="2186">
        <v>107</v>
      </c>
      <c r="AA146" s="5111"/>
      <c r="AB146" s="5223"/>
      <c r="AC146" s="5223"/>
      <c r="AD146" s="5223"/>
      <c r="AE146" s="5223"/>
      <c r="AF146" s="5223"/>
      <c r="AG146" s="5223"/>
      <c r="AH146" s="5223"/>
      <c r="AI146" s="5223"/>
      <c r="AJ146" s="5223"/>
      <c r="AK146" s="5223"/>
      <c r="AL146" s="5223"/>
      <c r="AM146" s="5223"/>
      <c r="AN146" s="5223"/>
      <c r="AO146" s="5223"/>
      <c r="AP146" s="5223"/>
      <c r="AQ146" s="5223"/>
      <c r="AR146" s="5223"/>
      <c r="AS146" s="5223"/>
      <c r="AT146" s="5223"/>
      <c r="AU146" s="5223"/>
      <c r="AV146" s="5223"/>
      <c r="AW146" s="5223"/>
      <c r="AX146" s="5223"/>
      <c r="AY146" s="5223"/>
      <c r="AZ146" s="5223"/>
      <c r="BA146" s="5223"/>
      <c r="BB146" s="5223"/>
      <c r="BC146" s="5223"/>
      <c r="BD146" s="5223"/>
      <c r="BE146" s="5223"/>
      <c r="BF146" s="5223"/>
      <c r="BG146" s="5223"/>
      <c r="BH146" s="5095"/>
      <c r="BI146" s="3822"/>
      <c r="BJ146" s="3822"/>
      <c r="BK146" s="5092"/>
      <c r="BL146" s="5095"/>
      <c r="BM146" s="5095"/>
      <c r="BN146" s="5203"/>
      <c r="BO146" s="5203"/>
      <c r="BP146" s="5203"/>
      <c r="BQ146" s="5203"/>
      <c r="BR146" s="5206"/>
    </row>
    <row r="147" spans="1:70" ht="27.75" customHeight="1" x14ac:dyDescent="0.2">
      <c r="A147" s="2181"/>
      <c r="B147" s="2182"/>
      <c r="C147" s="2183"/>
      <c r="D147" s="2182"/>
      <c r="E147" s="2182"/>
      <c r="F147" s="2183"/>
      <c r="G147" s="2184"/>
      <c r="H147" s="2182"/>
      <c r="I147" s="2183"/>
      <c r="J147" s="5110">
        <v>145</v>
      </c>
      <c r="K147" s="5113" t="s">
        <v>1750</v>
      </c>
      <c r="L147" s="5110" t="s">
        <v>1581</v>
      </c>
      <c r="M147" s="5110">
        <v>1</v>
      </c>
      <c r="N147" s="5110">
        <v>0.7</v>
      </c>
      <c r="O147" s="5111"/>
      <c r="P147" s="5243"/>
      <c r="Q147" s="5142"/>
      <c r="R147" s="5221">
        <f>SUM(W147:W154)/S131</f>
        <v>0.20413829703192035</v>
      </c>
      <c r="S147" s="5226"/>
      <c r="T147" s="5114"/>
      <c r="U147" s="5087" t="s">
        <v>1751</v>
      </c>
      <c r="V147" s="5170" t="s">
        <v>1752</v>
      </c>
      <c r="W147" s="2189">
        <v>33000000</v>
      </c>
      <c r="X147" s="2142">
        <v>32530400</v>
      </c>
      <c r="Y147" s="2142">
        <v>23519400</v>
      </c>
      <c r="Z147" s="2190">
        <v>61</v>
      </c>
      <c r="AA147" s="5111"/>
      <c r="AB147" s="5223"/>
      <c r="AC147" s="5223"/>
      <c r="AD147" s="5223"/>
      <c r="AE147" s="5223"/>
      <c r="AF147" s="5223"/>
      <c r="AG147" s="5223"/>
      <c r="AH147" s="5223"/>
      <c r="AI147" s="5223"/>
      <c r="AJ147" s="5223"/>
      <c r="AK147" s="5223"/>
      <c r="AL147" s="5223"/>
      <c r="AM147" s="5223"/>
      <c r="AN147" s="5223"/>
      <c r="AO147" s="5223"/>
      <c r="AP147" s="5223"/>
      <c r="AQ147" s="5223"/>
      <c r="AR147" s="5223"/>
      <c r="AS147" s="5223"/>
      <c r="AT147" s="5223"/>
      <c r="AU147" s="5223"/>
      <c r="AV147" s="5223"/>
      <c r="AW147" s="5223"/>
      <c r="AX147" s="5223"/>
      <c r="AY147" s="5223"/>
      <c r="AZ147" s="5223"/>
      <c r="BA147" s="5223"/>
      <c r="BB147" s="5223"/>
      <c r="BC147" s="5223"/>
      <c r="BD147" s="5223"/>
      <c r="BE147" s="5223"/>
      <c r="BF147" s="5223"/>
      <c r="BG147" s="5223"/>
      <c r="BH147" s="5095"/>
      <c r="BI147" s="3822"/>
      <c r="BJ147" s="3822"/>
      <c r="BK147" s="5092"/>
      <c r="BL147" s="5095"/>
      <c r="BM147" s="5095"/>
      <c r="BN147" s="5203"/>
      <c r="BO147" s="5203"/>
      <c r="BP147" s="5203"/>
      <c r="BQ147" s="5203"/>
      <c r="BR147" s="5206"/>
    </row>
    <row r="148" spans="1:70" ht="31.5" customHeight="1" x14ac:dyDescent="0.2">
      <c r="A148" s="2181"/>
      <c r="B148" s="2182"/>
      <c r="C148" s="2183"/>
      <c r="D148" s="2182"/>
      <c r="E148" s="2182"/>
      <c r="F148" s="2183"/>
      <c r="G148" s="2184"/>
      <c r="H148" s="2182"/>
      <c r="I148" s="2183"/>
      <c r="J148" s="5111"/>
      <c r="K148" s="5114"/>
      <c r="L148" s="5111"/>
      <c r="M148" s="5111"/>
      <c r="N148" s="5111"/>
      <c r="O148" s="5111"/>
      <c r="P148" s="5243"/>
      <c r="Q148" s="5142"/>
      <c r="R148" s="5221"/>
      <c r="S148" s="5226"/>
      <c r="T148" s="5114"/>
      <c r="U148" s="5088"/>
      <c r="V148" s="5182"/>
      <c r="W148" s="2189">
        <f>0+4271940</f>
        <v>4271940</v>
      </c>
      <c r="X148" s="2142">
        <v>4271940</v>
      </c>
      <c r="Y148" s="2142">
        <v>4271940</v>
      </c>
      <c r="Z148" s="2190">
        <v>107</v>
      </c>
      <c r="AA148" s="5111"/>
      <c r="AB148" s="5223"/>
      <c r="AC148" s="5223"/>
      <c r="AD148" s="5223"/>
      <c r="AE148" s="5223"/>
      <c r="AF148" s="5223"/>
      <c r="AG148" s="5223"/>
      <c r="AH148" s="5223"/>
      <c r="AI148" s="5223"/>
      <c r="AJ148" s="5223"/>
      <c r="AK148" s="5223"/>
      <c r="AL148" s="5223"/>
      <c r="AM148" s="5223"/>
      <c r="AN148" s="5223"/>
      <c r="AO148" s="5223"/>
      <c r="AP148" s="5223"/>
      <c r="AQ148" s="5223"/>
      <c r="AR148" s="5223"/>
      <c r="AS148" s="5223"/>
      <c r="AT148" s="5223"/>
      <c r="AU148" s="5223"/>
      <c r="AV148" s="5223"/>
      <c r="AW148" s="5223"/>
      <c r="AX148" s="5223"/>
      <c r="AY148" s="5223"/>
      <c r="AZ148" s="5223"/>
      <c r="BA148" s="5223"/>
      <c r="BB148" s="5223"/>
      <c r="BC148" s="5223"/>
      <c r="BD148" s="5223"/>
      <c r="BE148" s="5223"/>
      <c r="BF148" s="5223"/>
      <c r="BG148" s="5223"/>
      <c r="BH148" s="5095"/>
      <c r="BI148" s="3822"/>
      <c r="BJ148" s="3822"/>
      <c r="BK148" s="5092"/>
      <c r="BL148" s="5095"/>
      <c r="BM148" s="5095"/>
      <c r="BN148" s="5203"/>
      <c r="BO148" s="5203"/>
      <c r="BP148" s="5203"/>
      <c r="BQ148" s="5203"/>
      <c r="BR148" s="5206"/>
    </row>
    <row r="149" spans="1:70" ht="31.5" customHeight="1" x14ac:dyDescent="0.2">
      <c r="A149" s="2181"/>
      <c r="B149" s="2182"/>
      <c r="C149" s="2183"/>
      <c r="D149" s="2182"/>
      <c r="E149" s="2182"/>
      <c r="F149" s="2183"/>
      <c r="G149" s="2184"/>
      <c r="H149" s="2182"/>
      <c r="I149" s="2183"/>
      <c r="J149" s="5111"/>
      <c r="K149" s="5114"/>
      <c r="L149" s="5111"/>
      <c r="M149" s="5111"/>
      <c r="N149" s="5111"/>
      <c r="O149" s="5111"/>
      <c r="P149" s="5243"/>
      <c r="Q149" s="5142"/>
      <c r="R149" s="5221"/>
      <c r="S149" s="5226"/>
      <c r="T149" s="5114"/>
      <c r="U149" s="5088"/>
      <c r="V149" s="5217" t="s">
        <v>1753</v>
      </c>
      <c r="W149" s="2825">
        <v>33000000</v>
      </c>
      <c r="X149" s="2142">
        <v>32530400</v>
      </c>
      <c r="Y149" s="2142">
        <v>23519300</v>
      </c>
      <c r="Z149" s="2193">
        <v>61</v>
      </c>
      <c r="AA149" s="5111"/>
      <c r="AB149" s="5223"/>
      <c r="AC149" s="5223"/>
      <c r="AD149" s="5223"/>
      <c r="AE149" s="5223"/>
      <c r="AF149" s="5223"/>
      <c r="AG149" s="5223"/>
      <c r="AH149" s="5223"/>
      <c r="AI149" s="5223"/>
      <c r="AJ149" s="5223"/>
      <c r="AK149" s="5223"/>
      <c r="AL149" s="5223"/>
      <c r="AM149" s="5223"/>
      <c r="AN149" s="5223"/>
      <c r="AO149" s="5223"/>
      <c r="AP149" s="5223"/>
      <c r="AQ149" s="5223"/>
      <c r="AR149" s="5223"/>
      <c r="AS149" s="5223"/>
      <c r="AT149" s="5223"/>
      <c r="AU149" s="5223"/>
      <c r="AV149" s="5223"/>
      <c r="AW149" s="5223"/>
      <c r="AX149" s="5223"/>
      <c r="AY149" s="5223"/>
      <c r="AZ149" s="5223"/>
      <c r="BA149" s="5223"/>
      <c r="BB149" s="5223"/>
      <c r="BC149" s="5223"/>
      <c r="BD149" s="5223"/>
      <c r="BE149" s="5223"/>
      <c r="BF149" s="5223"/>
      <c r="BG149" s="5223"/>
      <c r="BH149" s="5095"/>
      <c r="BI149" s="3822"/>
      <c r="BJ149" s="3822"/>
      <c r="BK149" s="5092"/>
      <c r="BL149" s="5095"/>
      <c r="BM149" s="5095"/>
      <c r="BN149" s="5203"/>
      <c r="BO149" s="5203"/>
      <c r="BP149" s="5203"/>
      <c r="BQ149" s="5203"/>
      <c r="BR149" s="5206"/>
    </row>
    <row r="150" spans="1:70" ht="34.5" customHeight="1" x14ac:dyDescent="0.2">
      <c r="A150" s="2181"/>
      <c r="B150" s="2182"/>
      <c r="C150" s="2183"/>
      <c r="D150" s="2182"/>
      <c r="E150" s="2182"/>
      <c r="F150" s="2183"/>
      <c r="G150" s="2184"/>
      <c r="H150" s="2182"/>
      <c r="I150" s="2183"/>
      <c r="J150" s="5111"/>
      <c r="K150" s="5114"/>
      <c r="L150" s="5111"/>
      <c r="M150" s="5111"/>
      <c r="N150" s="5111"/>
      <c r="O150" s="5111"/>
      <c r="P150" s="5243"/>
      <c r="Q150" s="5142"/>
      <c r="R150" s="5221"/>
      <c r="S150" s="5226"/>
      <c r="T150" s="5114"/>
      <c r="U150" s="5088"/>
      <c r="V150" s="5182"/>
      <c r="W150" s="2142">
        <f>0+4271940</f>
        <v>4271940</v>
      </c>
      <c r="X150" s="2142">
        <v>4271940</v>
      </c>
      <c r="Y150" s="2142">
        <v>4271940</v>
      </c>
      <c r="Z150" s="2192">
        <v>107</v>
      </c>
      <c r="AA150" s="5111"/>
      <c r="AB150" s="5223"/>
      <c r="AC150" s="5223"/>
      <c r="AD150" s="5223"/>
      <c r="AE150" s="5223"/>
      <c r="AF150" s="5223"/>
      <c r="AG150" s="5223"/>
      <c r="AH150" s="5223"/>
      <c r="AI150" s="5223"/>
      <c r="AJ150" s="5223"/>
      <c r="AK150" s="5223"/>
      <c r="AL150" s="5223"/>
      <c r="AM150" s="5223"/>
      <c r="AN150" s="5223"/>
      <c r="AO150" s="5223"/>
      <c r="AP150" s="5223"/>
      <c r="AQ150" s="5223"/>
      <c r="AR150" s="5223"/>
      <c r="AS150" s="5223"/>
      <c r="AT150" s="5223"/>
      <c r="AU150" s="5223"/>
      <c r="AV150" s="5223"/>
      <c r="AW150" s="5223"/>
      <c r="AX150" s="5223"/>
      <c r="AY150" s="5223"/>
      <c r="AZ150" s="5223"/>
      <c r="BA150" s="5223"/>
      <c r="BB150" s="5223"/>
      <c r="BC150" s="5223"/>
      <c r="BD150" s="5223"/>
      <c r="BE150" s="5223"/>
      <c r="BF150" s="5223"/>
      <c r="BG150" s="5223"/>
      <c r="BH150" s="5095"/>
      <c r="BI150" s="3822"/>
      <c r="BJ150" s="3822"/>
      <c r="BK150" s="5092"/>
      <c r="BL150" s="5095"/>
      <c r="BM150" s="5095"/>
      <c r="BN150" s="5203"/>
      <c r="BO150" s="5203"/>
      <c r="BP150" s="5203"/>
      <c r="BQ150" s="5203"/>
      <c r="BR150" s="5206"/>
    </row>
    <row r="151" spans="1:70" ht="24" customHeight="1" x14ac:dyDescent="0.2">
      <c r="A151" s="2181"/>
      <c r="B151" s="2182"/>
      <c r="C151" s="2183"/>
      <c r="D151" s="2182"/>
      <c r="E151" s="2182"/>
      <c r="F151" s="2183"/>
      <c r="G151" s="2184"/>
      <c r="H151" s="2182"/>
      <c r="I151" s="2183"/>
      <c r="J151" s="5111"/>
      <c r="K151" s="5114"/>
      <c r="L151" s="5111"/>
      <c r="M151" s="5111"/>
      <c r="N151" s="5111"/>
      <c r="O151" s="5111"/>
      <c r="P151" s="5243"/>
      <c r="Q151" s="5142"/>
      <c r="R151" s="5221"/>
      <c r="S151" s="5226"/>
      <c r="T151" s="5114"/>
      <c r="U151" s="5088"/>
      <c r="V151" s="5217" t="s">
        <v>1754</v>
      </c>
      <c r="W151" s="2170">
        <v>600000</v>
      </c>
      <c r="X151" s="2142">
        <v>600000</v>
      </c>
      <c r="Y151" s="2142">
        <v>600000</v>
      </c>
      <c r="Z151" s="2192">
        <v>61</v>
      </c>
      <c r="AA151" s="5111"/>
      <c r="AB151" s="5223"/>
      <c r="AC151" s="5223"/>
      <c r="AD151" s="5223"/>
      <c r="AE151" s="5223"/>
      <c r="AF151" s="5223"/>
      <c r="AG151" s="5223"/>
      <c r="AH151" s="5223"/>
      <c r="AI151" s="5223"/>
      <c r="AJ151" s="5223"/>
      <c r="AK151" s="5223"/>
      <c r="AL151" s="5223"/>
      <c r="AM151" s="5223"/>
      <c r="AN151" s="5223"/>
      <c r="AO151" s="5223"/>
      <c r="AP151" s="5223"/>
      <c r="AQ151" s="5223"/>
      <c r="AR151" s="5223"/>
      <c r="AS151" s="5223"/>
      <c r="AT151" s="5223"/>
      <c r="AU151" s="5223"/>
      <c r="AV151" s="5223"/>
      <c r="AW151" s="5223"/>
      <c r="AX151" s="5223"/>
      <c r="AY151" s="5223"/>
      <c r="AZ151" s="5223"/>
      <c r="BA151" s="5223"/>
      <c r="BB151" s="5223"/>
      <c r="BC151" s="5223"/>
      <c r="BD151" s="5223"/>
      <c r="BE151" s="5223"/>
      <c r="BF151" s="5223"/>
      <c r="BG151" s="5223"/>
      <c r="BH151" s="5095"/>
      <c r="BI151" s="3822"/>
      <c r="BJ151" s="3822"/>
      <c r="BK151" s="5092"/>
      <c r="BL151" s="5095"/>
      <c r="BM151" s="5095"/>
      <c r="BN151" s="5203"/>
      <c r="BO151" s="5203"/>
      <c r="BP151" s="5203"/>
      <c r="BQ151" s="5203"/>
      <c r="BR151" s="5206"/>
    </row>
    <row r="152" spans="1:70" ht="27.75" customHeight="1" x14ac:dyDescent="0.2">
      <c r="A152" s="2181"/>
      <c r="B152" s="2182"/>
      <c r="C152" s="2183"/>
      <c r="D152" s="2182"/>
      <c r="E152" s="2182"/>
      <c r="F152" s="2183"/>
      <c r="G152" s="2184"/>
      <c r="H152" s="2182"/>
      <c r="I152" s="2183"/>
      <c r="J152" s="5111"/>
      <c r="K152" s="5114"/>
      <c r="L152" s="5111"/>
      <c r="M152" s="5111"/>
      <c r="N152" s="5111"/>
      <c r="O152" s="5111"/>
      <c r="P152" s="5243"/>
      <c r="Q152" s="5142"/>
      <c r="R152" s="5221"/>
      <c r="S152" s="5226"/>
      <c r="T152" s="5114"/>
      <c r="U152" s="5088"/>
      <c r="V152" s="5218"/>
      <c r="W152" s="2142">
        <f>0+4271940</f>
        <v>4271940</v>
      </c>
      <c r="X152" s="2142">
        <v>4271940</v>
      </c>
      <c r="Y152" s="2142">
        <v>4271940</v>
      </c>
      <c r="Z152" s="2192">
        <v>107</v>
      </c>
      <c r="AA152" s="5111"/>
      <c r="AB152" s="5223"/>
      <c r="AC152" s="5223"/>
      <c r="AD152" s="5223"/>
      <c r="AE152" s="5223"/>
      <c r="AF152" s="5223"/>
      <c r="AG152" s="5223"/>
      <c r="AH152" s="5223"/>
      <c r="AI152" s="5223"/>
      <c r="AJ152" s="5223"/>
      <c r="AK152" s="5223"/>
      <c r="AL152" s="5223"/>
      <c r="AM152" s="5223"/>
      <c r="AN152" s="5223"/>
      <c r="AO152" s="5223"/>
      <c r="AP152" s="5223"/>
      <c r="AQ152" s="5223"/>
      <c r="AR152" s="5223"/>
      <c r="AS152" s="5223"/>
      <c r="AT152" s="5223"/>
      <c r="AU152" s="5223"/>
      <c r="AV152" s="5223"/>
      <c r="AW152" s="5223"/>
      <c r="AX152" s="5223"/>
      <c r="AY152" s="5223"/>
      <c r="AZ152" s="5223"/>
      <c r="BA152" s="5223"/>
      <c r="BB152" s="5223"/>
      <c r="BC152" s="5223"/>
      <c r="BD152" s="5223"/>
      <c r="BE152" s="5223"/>
      <c r="BF152" s="5223"/>
      <c r="BG152" s="5223"/>
      <c r="BH152" s="5095"/>
      <c r="BI152" s="3822"/>
      <c r="BJ152" s="3822"/>
      <c r="BK152" s="5092"/>
      <c r="BL152" s="5095"/>
      <c r="BM152" s="5095"/>
      <c r="BN152" s="5203"/>
      <c r="BO152" s="5203"/>
      <c r="BP152" s="5203"/>
      <c r="BQ152" s="5203"/>
      <c r="BR152" s="5206"/>
    </row>
    <row r="153" spans="1:70" ht="33.75" customHeight="1" x14ac:dyDescent="0.2">
      <c r="A153" s="2181"/>
      <c r="B153" s="2182"/>
      <c r="C153" s="2183"/>
      <c r="D153" s="2182"/>
      <c r="E153" s="2182"/>
      <c r="F153" s="2183"/>
      <c r="G153" s="2184"/>
      <c r="H153" s="2182"/>
      <c r="I153" s="2183"/>
      <c r="J153" s="5111"/>
      <c r="K153" s="5114"/>
      <c r="L153" s="5111"/>
      <c r="M153" s="5111"/>
      <c r="N153" s="5111"/>
      <c r="O153" s="5111"/>
      <c r="P153" s="5243"/>
      <c r="Q153" s="5142"/>
      <c r="R153" s="5221"/>
      <c r="S153" s="5226"/>
      <c r="T153" s="5114"/>
      <c r="U153" s="5088"/>
      <c r="V153" s="5087" t="s">
        <v>1755</v>
      </c>
      <c r="W153" s="2170">
        <v>33000000</v>
      </c>
      <c r="X153" s="2142">
        <v>32530400</v>
      </c>
      <c r="Y153" s="2142">
        <v>23519300</v>
      </c>
      <c r="Z153" s="2192">
        <v>61</v>
      </c>
      <c r="AA153" s="5111"/>
      <c r="AB153" s="5223"/>
      <c r="AC153" s="5223"/>
      <c r="AD153" s="5223"/>
      <c r="AE153" s="5223"/>
      <c r="AF153" s="5223"/>
      <c r="AG153" s="5223"/>
      <c r="AH153" s="5223"/>
      <c r="AI153" s="5223"/>
      <c r="AJ153" s="5223"/>
      <c r="AK153" s="5223"/>
      <c r="AL153" s="5223"/>
      <c r="AM153" s="5223"/>
      <c r="AN153" s="5223"/>
      <c r="AO153" s="5223"/>
      <c r="AP153" s="5223"/>
      <c r="AQ153" s="5223"/>
      <c r="AR153" s="5223"/>
      <c r="AS153" s="5223"/>
      <c r="AT153" s="5223"/>
      <c r="AU153" s="5223"/>
      <c r="AV153" s="5223"/>
      <c r="AW153" s="5223"/>
      <c r="AX153" s="5223"/>
      <c r="AY153" s="5223"/>
      <c r="AZ153" s="5223"/>
      <c r="BA153" s="5223"/>
      <c r="BB153" s="5223"/>
      <c r="BC153" s="5223"/>
      <c r="BD153" s="5223"/>
      <c r="BE153" s="5223"/>
      <c r="BF153" s="5223"/>
      <c r="BG153" s="5223"/>
      <c r="BH153" s="5095"/>
      <c r="BI153" s="3822"/>
      <c r="BJ153" s="3822"/>
      <c r="BK153" s="5092"/>
      <c r="BL153" s="5095"/>
      <c r="BM153" s="5095"/>
      <c r="BN153" s="5203"/>
      <c r="BO153" s="5203"/>
      <c r="BP153" s="5203"/>
      <c r="BQ153" s="5203"/>
      <c r="BR153" s="5206"/>
    </row>
    <row r="154" spans="1:70" ht="35.25" customHeight="1" x14ac:dyDescent="0.2">
      <c r="A154" s="2181"/>
      <c r="B154" s="2182"/>
      <c r="C154" s="2183"/>
      <c r="D154" s="2182"/>
      <c r="E154" s="2182"/>
      <c r="F154" s="2183"/>
      <c r="G154" s="2184"/>
      <c r="H154" s="2182"/>
      <c r="I154" s="2183"/>
      <c r="J154" s="5112"/>
      <c r="K154" s="5115"/>
      <c r="L154" s="5112"/>
      <c r="M154" s="5112"/>
      <c r="N154" s="5112"/>
      <c r="O154" s="5112"/>
      <c r="P154" s="5244"/>
      <c r="Q154" s="5142"/>
      <c r="R154" s="5221"/>
      <c r="S154" s="5226"/>
      <c r="T154" s="5114"/>
      <c r="U154" s="5089"/>
      <c r="V154" s="5089"/>
      <c r="W154" s="2824">
        <f>0+4271940</f>
        <v>4271940</v>
      </c>
      <c r="X154" s="2142">
        <v>4271940</v>
      </c>
      <c r="Y154" s="2142">
        <v>4271940</v>
      </c>
      <c r="Z154" s="2186">
        <v>107</v>
      </c>
      <c r="AA154" s="5112"/>
      <c r="AB154" s="5224"/>
      <c r="AC154" s="5224"/>
      <c r="AD154" s="5224"/>
      <c r="AE154" s="5224"/>
      <c r="AF154" s="5224"/>
      <c r="AG154" s="5224"/>
      <c r="AH154" s="5224"/>
      <c r="AI154" s="5224"/>
      <c r="AJ154" s="5224"/>
      <c r="AK154" s="5224"/>
      <c r="AL154" s="5224"/>
      <c r="AM154" s="5224"/>
      <c r="AN154" s="5224"/>
      <c r="AO154" s="5224"/>
      <c r="AP154" s="5224"/>
      <c r="AQ154" s="5224"/>
      <c r="AR154" s="5224"/>
      <c r="AS154" s="5224"/>
      <c r="AT154" s="5224"/>
      <c r="AU154" s="5224"/>
      <c r="AV154" s="5224"/>
      <c r="AW154" s="5224"/>
      <c r="AX154" s="5224"/>
      <c r="AY154" s="5224"/>
      <c r="AZ154" s="5224"/>
      <c r="BA154" s="5224"/>
      <c r="BB154" s="5224"/>
      <c r="BC154" s="5224"/>
      <c r="BD154" s="5224"/>
      <c r="BE154" s="5224"/>
      <c r="BF154" s="5224"/>
      <c r="BG154" s="5224"/>
      <c r="BH154" s="5103"/>
      <c r="BI154" s="3823"/>
      <c r="BJ154" s="3823"/>
      <c r="BK154" s="5109"/>
      <c r="BL154" s="5103"/>
      <c r="BM154" s="5103"/>
      <c r="BN154" s="5203"/>
      <c r="BO154" s="5203"/>
      <c r="BP154" s="5203"/>
      <c r="BQ154" s="5203"/>
      <c r="BR154" s="5207"/>
    </row>
    <row r="155" spans="1:70" ht="33.75" customHeight="1" x14ac:dyDescent="0.2">
      <c r="A155" s="2181"/>
      <c r="B155" s="2182"/>
      <c r="C155" s="2183"/>
      <c r="D155" s="2182"/>
      <c r="E155" s="2182"/>
      <c r="F155" s="2183"/>
      <c r="G155" s="2184"/>
      <c r="H155" s="2182"/>
      <c r="I155" s="2183"/>
      <c r="J155" s="5110">
        <v>146</v>
      </c>
      <c r="K155" s="5113" t="s">
        <v>1756</v>
      </c>
      <c r="L155" s="5110" t="s">
        <v>1581</v>
      </c>
      <c r="M155" s="5110">
        <v>1</v>
      </c>
      <c r="N155" s="5110">
        <v>0.8</v>
      </c>
      <c r="O155" s="2840"/>
      <c r="P155" s="5110" t="s">
        <v>1757</v>
      </c>
      <c r="Q155" s="5088" t="s">
        <v>1758</v>
      </c>
      <c r="R155" s="5212">
        <v>1</v>
      </c>
      <c r="S155" s="5214">
        <f>SUM(W155:W178)</f>
        <v>218028925</v>
      </c>
      <c r="T155" s="5190" t="s">
        <v>1759</v>
      </c>
      <c r="U155" s="5208" t="s">
        <v>1760</v>
      </c>
      <c r="V155" s="5170" t="s">
        <v>1761</v>
      </c>
      <c r="W155" s="2821">
        <v>10000000</v>
      </c>
      <c r="X155" s="2142">
        <v>10000000</v>
      </c>
      <c r="Y155" s="2142">
        <v>5883500</v>
      </c>
      <c r="Z155" s="2178">
        <v>61</v>
      </c>
      <c r="AA155" s="5110" t="s">
        <v>1762</v>
      </c>
      <c r="AB155" s="5110">
        <v>292684</v>
      </c>
      <c r="AC155" s="5110">
        <f>SUM(AB155*0.49)</f>
        <v>143415.16</v>
      </c>
      <c r="AD155" s="5110">
        <v>282326</v>
      </c>
      <c r="AE155" s="5110">
        <f t="shared" ref="AE155" si="13">SUM(AD155*0.49)</f>
        <v>138339.74</v>
      </c>
      <c r="AF155" s="5110">
        <v>135912</v>
      </c>
      <c r="AG155" s="5110">
        <f t="shared" ref="AG155" si="14">SUM(AF155*0.49)</f>
        <v>66596.88</v>
      </c>
      <c r="AH155" s="5110">
        <v>45122</v>
      </c>
      <c r="AI155" s="5110">
        <f t="shared" ref="AI155" si="15">SUM(AH155*0.49)</f>
        <v>22109.78</v>
      </c>
      <c r="AJ155" s="5110">
        <v>307101</v>
      </c>
      <c r="AK155" s="5110">
        <v>150479.49</v>
      </c>
      <c r="AL155" s="5110">
        <v>86875</v>
      </c>
      <c r="AM155" s="5110">
        <v>42568.75</v>
      </c>
      <c r="AN155" s="5110">
        <v>2145</v>
      </c>
      <c r="AO155" s="5110">
        <f t="shared" ref="AO155" si="16">SUM(AN155*0.49)</f>
        <v>1051.05</v>
      </c>
      <c r="AP155" s="5110">
        <v>12718</v>
      </c>
      <c r="AQ155" s="5110">
        <f t="shared" ref="AQ155" si="17">SUM(AP155*0.49)</f>
        <v>6231.82</v>
      </c>
      <c r="AR155" s="5110">
        <v>26</v>
      </c>
      <c r="AS155" s="5110">
        <f t="shared" ref="AS155" si="18">SUM(AR155*0.49)</f>
        <v>12.74</v>
      </c>
      <c r="AT155" s="5110">
        <v>37</v>
      </c>
      <c r="AU155" s="5110">
        <f t="shared" ref="AU155" si="19">SUM(AT155*0.49)</f>
        <v>18.13</v>
      </c>
      <c r="AV155" s="5110" t="s">
        <v>1588</v>
      </c>
      <c r="AW155" s="5110" t="s">
        <v>1588</v>
      </c>
      <c r="AX155" s="5110" t="s">
        <v>1588</v>
      </c>
      <c r="AY155" s="5110" t="s">
        <v>1588</v>
      </c>
      <c r="AZ155" s="5110">
        <v>53164</v>
      </c>
      <c r="BA155" s="5110">
        <f t="shared" ref="BA155" si="20">SUM(AZ155*0.49)</f>
        <v>26050.36</v>
      </c>
      <c r="BB155" s="5110">
        <v>16982</v>
      </c>
      <c r="BC155" s="5110">
        <f t="shared" ref="BC155" si="21">SUM(BB155*0.49)</f>
        <v>8321.18</v>
      </c>
      <c r="BD155" s="5110">
        <v>60013</v>
      </c>
      <c r="BE155" s="5110">
        <f t="shared" ref="BE155" si="22">SUM(BD155*0.49)</f>
        <v>29406.37</v>
      </c>
      <c r="BF155" s="5110">
        <v>575010</v>
      </c>
      <c r="BG155" s="5110">
        <f t="shared" ref="BG155" si="23">SUM(BF155*0.49)</f>
        <v>281754.90000000002</v>
      </c>
      <c r="BH155" s="5094">
        <v>22</v>
      </c>
      <c r="BI155" s="3821">
        <f>SUM(X155:X178)</f>
        <v>200450433</v>
      </c>
      <c r="BJ155" s="3821">
        <f>SUM(Y155:Y178)</f>
        <v>113289000</v>
      </c>
      <c r="BK155" s="5091">
        <f>+BJ155/BI155</f>
        <v>0.56517213908936781</v>
      </c>
      <c r="BL155" s="5094" t="s">
        <v>1763</v>
      </c>
      <c r="BM155" s="5094" t="s">
        <v>1590</v>
      </c>
      <c r="BN155" s="5211">
        <v>43467</v>
      </c>
      <c r="BO155" s="5202">
        <v>43830</v>
      </c>
      <c r="BP155" s="5211">
        <v>43830</v>
      </c>
      <c r="BQ155" s="5202">
        <v>43830</v>
      </c>
      <c r="BR155" s="5205" t="s">
        <v>1591</v>
      </c>
    </row>
    <row r="156" spans="1:70" ht="45" customHeight="1" x14ac:dyDescent="0.2">
      <c r="A156" s="2181"/>
      <c r="B156" s="2182"/>
      <c r="C156" s="2183"/>
      <c r="D156" s="2182"/>
      <c r="E156" s="2182"/>
      <c r="F156" s="2183"/>
      <c r="G156" s="2184"/>
      <c r="H156" s="2182"/>
      <c r="I156" s="2183"/>
      <c r="J156" s="5111"/>
      <c r="K156" s="5114"/>
      <c r="L156" s="5111"/>
      <c r="M156" s="5111"/>
      <c r="N156" s="5111"/>
      <c r="O156" s="2841"/>
      <c r="P156" s="5111"/>
      <c r="Q156" s="5088"/>
      <c r="R156" s="5212"/>
      <c r="S156" s="5215"/>
      <c r="T156" s="5190"/>
      <c r="U156" s="5209"/>
      <c r="V156" s="5171"/>
      <c r="W156" s="2821">
        <f>40000000-4541103</f>
        <v>35458897</v>
      </c>
      <c r="X156" s="2142">
        <f>8217000+18797085</f>
        <v>27014085</v>
      </c>
      <c r="Y156" s="2142">
        <v>8217000</v>
      </c>
      <c r="Z156" s="2178">
        <v>113</v>
      </c>
      <c r="AA156" s="5111"/>
      <c r="AB156" s="5111"/>
      <c r="AC156" s="5111"/>
      <c r="AD156" s="5111"/>
      <c r="AE156" s="5111"/>
      <c r="AF156" s="5111"/>
      <c r="AG156" s="5111"/>
      <c r="AH156" s="5111"/>
      <c r="AI156" s="5111"/>
      <c r="AJ156" s="5111"/>
      <c r="AK156" s="5111"/>
      <c r="AL156" s="5111"/>
      <c r="AM156" s="5111"/>
      <c r="AN156" s="5111"/>
      <c r="AO156" s="5111"/>
      <c r="AP156" s="5111"/>
      <c r="AQ156" s="5111"/>
      <c r="AR156" s="5111"/>
      <c r="AS156" s="5111"/>
      <c r="AT156" s="5111"/>
      <c r="AU156" s="5111"/>
      <c r="AV156" s="5111"/>
      <c r="AW156" s="5111"/>
      <c r="AX156" s="5111"/>
      <c r="AY156" s="5111"/>
      <c r="AZ156" s="5111"/>
      <c r="BA156" s="5111"/>
      <c r="BB156" s="5111"/>
      <c r="BC156" s="5111"/>
      <c r="BD156" s="5111"/>
      <c r="BE156" s="5111"/>
      <c r="BF156" s="5111"/>
      <c r="BG156" s="5111"/>
      <c r="BH156" s="5095"/>
      <c r="BI156" s="3822"/>
      <c r="BJ156" s="3822"/>
      <c r="BK156" s="5092"/>
      <c r="BL156" s="5095"/>
      <c r="BM156" s="5095"/>
      <c r="BN156" s="5211"/>
      <c r="BO156" s="5203"/>
      <c r="BP156" s="5211"/>
      <c r="BQ156" s="5203"/>
      <c r="BR156" s="5206"/>
    </row>
    <row r="157" spans="1:70" ht="28.5" customHeight="1" x14ac:dyDescent="0.2">
      <c r="A157" s="2181"/>
      <c r="B157" s="2182"/>
      <c r="C157" s="2183"/>
      <c r="D157" s="2182"/>
      <c r="E157" s="2182"/>
      <c r="F157" s="2183"/>
      <c r="G157" s="2184"/>
      <c r="H157" s="2182"/>
      <c r="I157" s="2183"/>
      <c r="J157" s="5111"/>
      <c r="K157" s="5114"/>
      <c r="L157" s="5111"/>
      <c r="M157" s="5111"/>
      <c r="N157" s="5111"/>
      <c r="O157" s="2841"/>
      <c r="P157" s="5111"/>
      <c r="Q157" s="5088"/>
      <c r="R157" s="5212"/>
      <c r="S157" s="5215"/>
      <c r="T157" s="5190"/>
      <c r="U157" s="5209"/>
      <c r="V157" s="5182"/>
      <c r="W157" s="2821">
        <v>4000000</v>
      </c>
      <c r="X157" s="2142">
        <v>4000000</v>
      </c>
      <c r="Y157" s="2142">
        <v>2568750</v>
      </c>
      <c r="Z157" s="2178">
        <v>114</v>
      </c>
      <c r="AA157" s="5111"/>
      <c r="AB157" s="5111"/>
      <c r="AC157" s="5111"/>
      <c r="AD157" s="5111"/>
      <c r="AE157" s="5111"/>
      <c r="AF157" s="5111"/>
      <c r="AG157" s="5111"/>
      <c r="AH157" s="5111"/>
      <c r="AI157" s="5111"/>
      <c r="AJ157" s="5111"/>
      <c r="AK157" s="5111"/>
      <c r="AL157" s="5111"/>
      <c r="AM157" s="5111"/>
      <c r="AN157" s="5111"/>
      <c r="AO157" s="5111"/>
      <c r="AP157" s="5111"/>
      <c r="AQ157" s="5111"/>
      <c r="AR157" s="5111"/>
      <c r="AS157" s="5111"/>
      <c r="AT157" s="5111"/>
      <c r="AU157" s="5111"/>
      <c r="AV157" s="5111"/>
      <c r="AW157" s="5111"/>
      <c r="AX157" s="5111"/>
      <c r="AY157" s="5111"/>
      <c r="AZ157" s="5111"/>
      <c r="BA157" s="5111"/>
      <c r="BB157" s="5111"/>
      <c r="BC157" s="5111"/>
      <c r="BD157" s="5111"/>
      <c r="BE157" s="5111"/>
      <c r="BF157" s="5111"/>
      <c r="BG157" s="5111"/>
      <c r="BH157" s="5095"/>
      <c r="BI157" s="3822"/>
      <c r="BJ157" s="3822"/>
      <c r="BK157" s="5092"/>
      <c r="BL157" s="5095"/>
      <c r="BM157" s="5095"/>
      <c r="BN157" s="5211"/>
      <c r="BO157" s="5203"/>
      <c r="BP157" s="5211"/>
      <c r="BQ157" s="5203"/>
      <c r="BR157" s="5206"/>
    </row>
    <row r="158" spans="1:70" ht="33.75" customHeight="1" x14ac:dyDescent="0.2">
      <c r="A158" s="2181"/>
      <c r="B158" s="2182"/>
      <c r="C158" s="2183"/>
      <c r="D158" s="2182"/>
      <c r="E158" s="2182"/>
      <c r="F158" s="2183"/>
      <c r="G158" s="2184"/>
      <c r="H158" s="2182"/>
      <c r="I158" s="2183"/>
      <c r="J158" s="5111"/>
      <c r="K158" s="5114"/>
      <c r="L158" s="5111"/>
      <c r="M158" s="5111"/>
      <c r="N158" s="5111"/>
      <c r="O158" s="2841"/>
      <c r="P158" s="5111"/>
      <c r="Q158" s="5088"/>
      <c r="R158" s="5212"/>
      <c r="S158" s="5215"/>
      <c r="T158" s="5190"/>
      <c r="U158" s="5209"/>
      <c r="V158" s="5170" t="s">
        <v>1764</v>
      </c>
      <c r="W158" s="2821">
        <v>1750000</v>
      </c>
      <c r="X158" s="2142">
        <f>1750000</f>
        <v>1750000</v>
      </c>
      <c r="Y158" s="2142">
        <v>1750000</v>
      </c>
      <c r="Z158" s="2178">
        <v>61</v>
      </c>
      <c r="AA158" s="5111"/>
      <c r="AB158" s="5111"/>
      <c r="AC158" s="5111"/>
      <c r="AD158" s="5111"/>
      <c r="AE158" s="5111"/>
      <c r="AF158" s="5111"/>
      <c r="AG158" s="5111"/>
      <c r="AH158" s="5111"/>
      <c r="AI158" s="5111"/>
      <c r="AJ158" s="5111"/>
      <c r="AK158" s="5111"/>
      <c r="AL158" s="5111"/>
      <c r="AM158" s="5111"/>
      <c r="AN158" s="5111"/>
      <c r="AO158" s="5111"/>
      <c r="AP158" s="5111"/>
      <c r="AQ158" s="5111"/>
      <c r="AR158" s="5111"/>
      <c r="AS158" s="5111"/>
      <c r="AT158" s="5111"/>
      <c r="AU158" s="5111"/>
      <c r="AV158" s="5111"/>
      <c r="AW158" s="5111"/>
      <c r="AX158" s="5111"/>
      <c r="AY158" s="5111"/>
      <c r="AZ158" s="5111"/>
      <c r="BA158" s="5111"/>
      <c r="BB158" s="5111"/>
      <c r="BC158" s="5111"/>
      <c r="BD158" s="5111"/>
      <c r="BE158" s="5111"/>
      <c r="BF158" s="5111"/>
      <c r="BG158" s="5111"/>
      <c r="BH158" s="5095"/>
      <c r="BI158" s="3822"/>
      <c r="BJ158" s="3822"/>
      <c r="BK158" s="5092"/>
      <c r="BL158" s="5095"/>
      <c r="BM158" s="5095"/>
      <c r="BN158" s="5211"/>
      <c r="BO158" s="5203"/>
      <c r="BP158" s="5211"/>
      <c r="BQ158" s="5203"/>
      <c r="BR158" s="5206"/>
    </row>
    <row r="159" spans="1:70" ht="33.75" customHeight="1" x14ac:dyDescent="0.2">
      <c r="A159" s="2181"/>
      <c r="B159" s="2182"/>
      <c r="C159" s="2183"/>
      <c r="D159" s="2182"/>
      <c r="E159" s="2182"/>
      <c r="F159" s="2183"/>
      <c r="G159" s="2184"/>
      <c r="H159" s="2182"/>
      <c r="I159" s="2183"/>
      <c r="J159" s="5111"/>
      <c r="K159" s="5114"/>
      <c r="L159" s="5111"/>
      <c r="M159" s="5111"/>
      <c r="N159" s="5111"/>
      <c r="O159" s="2841"/>
      <c r="P159" s="5111"/>
      <c r="Q159" s="5088"/>
      <c r="R159" s="5212"/>
      <c r="S159" s="5215"/>
      <c r="T159" s="5190"/>
      <c r="U159" s="5209"/>
      <c r="V159" s="5171"/>
      <c r="W159" s="2821">
        <v>3000000</v>
      </c>
      <c r="X159" s="2142">
        <v>3000000</v>
      </c>
      <c r="Y159" s="2142">
        <v>3000000</v>
      </c>
      <c r="Z159" s="2178">
        <v>113</v>
      </c>
      <c r="AA159" s="5111"/>
      <c r="AB159" s="5111"/>
      <c r="AC159" s="5111"/>
      <c r="AD159" s="5111"/>
      <c r="AE159" s="5111"/>
      <c r="AF159" s="5111"/>
      <c r="AG159" s="5111"/>
      <c r="AH159" s="5111"/>
      <c r="AI159" s="5111"/>
      <c r="AJ159" s="5111"/>
      <c r="AK159" s="5111"/>
      <c r="AL159" s="5111"/>
      <c r="AM159" s="5111"/>
      <c r="AN159" s="5111"/>
      <c r="AO159" s="5111"/>
      <c r="AP159" s="5111"/>
      <c r="AQ159" s="5111"/>
      <c r="AR159" s="5111"/>
      <c r="AS159" s="5111"/>
      <c r="AT159" s="5111"/>
      <c r="AU159" s="5111"/>
      <c r="AV159" s="5111"/>
      <c r="AW159" s="5111"/>
      <c r="AX159" s="5111"/>
      <c r="AY159" s="5111"/>
      <c r="AZ159" s="5111"/>
      <c r="BA159" s="5111"/>
      <c r="BB159" s="5111"/>
      <c r="BC159" s="5111"/>
      <c r="BD159" s="5111"/>
      <c r="BE159" s="5111"/>
      <c r="BF159" s="5111"/>
      <c r="BG159" s="5111"/>
      <c r="BH159" s="5095"/>
      <c r="BI159" s="3822"/>
      <c r="BJ159" s="3822"/>
      <c r="BK159" s="5092"/>
      <c r="BL159" s="5095"/>
      <c r="BM159" s="5095"/>
      <c r="BN159" s="5211"/>
      <c r="BO159" s="5203"/>
      <c r="BP159" s="5211"/>
      <c r="BQ159" s="5203"/>
      <c r="BR159" s="5206"/>
    </row>
    <row r="160" spans="1:70" ht="33.75" customHeight="1" x14ac:dyDescent="0.2">
      <c r="A160" s="2181"/>
      <c r="B160" s="2182"/>
      <c r="C160" s="2183"/>
      <c r="D160" s="2182"/>
      <c r="E160" s="2182"/>
      <c r="F160" s="2183"/>
      <c r="G160" s="2184"/>
      <c r="H160" s="2182"/>
      <c r="I160" s="2183"/>
      <c r="J160" s="5111"/>
      <c r="K160" s="5114"/>
      <c r="L160" s="5111"/>
      <c r="M160" s="5111"/>
      <c r="N160" s="5111"/>
      <c r="O160" s="2841"/>
      <c r="P160" s="5111"/>
      <c r="Q160" s="5088"/>
      <c r="R160" s="5212"/>
      <c r="S160" s="5215"/>
      <c r="T160" s="5190"/>
      <c r="U160" s="5209"/>
      <c r="V160" s="5171"/>
      <c r="W160" s="2142">
        <v>250000</v>
      </c>
      <c r="X160" s="2142">
        <v>250000</v>
      </c>
      <c r="Y160" s="2142">
        <v>250000</v>
      </c>
      <c r="Z160" s="2178">
        <v>114</v>
      </c>
      <c r="AA160" s="5111"/>
      <c r="AB160" s="5111"/>
      <c r="AC160" s="5111"/>
      <c r="AD160" s="5111"/>
      <c r="AE160" s="5111"/>
      <c r="AF160" s="5111"/>
      <c r="AG160" s="5111"/>
      <c r="AH160" s="5111"/>
      <c r="AI160" s="5111"/>
      <c r="AJ160" s="5111"/>
      <c r="AK160" s="5111"/>
      <c r="AL160" s="5111"/>
      <c r="AM160" s="5111"/>
      <c r="AN160" s="5111"/>
      <c r="AO160" s="5111"/>
      <c r="AP160" s="5111"/>
      <c r="AQ160" s="5111"/>
      <c r="AR160" s="5111"/>
      <c r="AS160" s="5111"/>
      <c r="AT160" s="5111"/>
      <c r="AU160" s="5111"/>
      <c r="AV160" s="5111"/>
      <c r="AW160" s="5111"/>
      <c r="AX160" s="5111"/>
      <c r="AY160" s="5111"/>
      <c r="AZ160" s="5111"/>
      <c r="BA160" s="5111"/>
      <c r="BB160" s="5111"/>
      <c r="BC160" s="5111"/>
      <c r="BD160" s="5111"/>
      <c r="BE160" s="5111"/>
      <c r="BF160" s="5111"/>
      <c r="BG160" s="5111"/>
      <c r="BH160" s="5095"/>
      <c r="BI160" s="3822"/>
      <c r="BJ160" s="3822"/>
      <c r="BK160" s="5092"/>
      <c r="BL160" s="5095"/>
      <c r="BM160" s="5095"/>
      <c r="BN160" s="5211"/>
      <c r="BO160" s="5203"/>
      <c r="BP160" s="5211"/>
      <c r="BQ160" s="5203"/>
      <c r="BR160" s="5206"/>
    </row>
    <row r="161" spans="1:70" ht="33.75" customHeight="1" x14ac:dyDescent="0.2">
      <c r="A161" s="2181"/>
      <c r="B161" s="2182"/>
      <c r="C161" s="2183"/>
      <c r="D161" s="2182"/>
      <c r="E161" s="2182"/>
      <c r="F161" s="2183"/>
      <c r="G161" s="2184"/>
      <c r="H161" s="2182"/>
      <c r="I161" s="2183"/>
      <c r="J161" s="5111"/>
      <c r="K161" s="5114"/>
      <c r="L161" s="5111"/>
      <c r="M161" s="5111"/>
      <c r="N161" s="5111"/>
      <c r="O161" s="2841"/>
      <c r="P161" s="5111"/>
      <c r="Q161" s="5088"/>
      <c r="R161" s="5212"/>
      <c r="S161" s="5215"/>
      <c r="T161" s="5190"/>
      <c r="U161" s="5209"/>
      <c r="V161" s="5182"/>
      <c r="W161" s="2142">
        <v>3000000</v>
      </c>
      <c r="X161" s="2142">
        <v>1009000</v>
      </c>
      <c r="Y161" s="2142">
        <v>0</v>
      </c>
      <c r="Z161" s="2178">
        <v>98</v>
      </c>
      <c r="AA161" s="5111"/>
      <c r="AB161" s="5111"/>
      <c r="AC161" s="5111"/>
      <c r="AD161" s="5111"/>
      <c r="AE161" s="5111"/>
      <c r="AF161" s="5111"/>
      <c r="AG161" s="5111"/>
      <c r="AH161" s="5111"/>
      <c r="AI161" s="5111"/>
      <c r="AJ161" s="5111"/>
      <c r="AK161" s="5111"/>
      <c r="AL161" s="5111"/>
      <c r="AM161" s="5111"/>
      <c r="AN161" s="5111"/>
      <c r="AO161" s="5111"/>
      <c r="AP161" s="5111"/>
      <c r="AQ161" s="5111"/>
      <c r="AR161" s="5111"/>
      <c r="AS161" s="5111"/>
      <c r="AT161" s="5111"/>
      <c r="AU161" s="5111"/>
      <c r="AV161" s="5111"/>
      <c r="AW161" s="5111"/>
      <c r="AX161" s="5111"/>
      <c r="AY161" s="5111"/>
      <c r="AZ161" s="5111"/>
      <c r="BA161" s="5111"/>
      <c r="BB161" s="5111"/>
      <c r="BC161" s="5111"/>
      <c r="BD161" s="5111"/>
      <c r="BE161" s="5111"/>
      <c r="BF161" s="5111"/>
      <c r="BG161" s="5111"/>
      <c r="BH161" s="5095"/>
      <c r="BI161" s="3822"/>
      <c r="BJ161" s="3822"/>
      <c r="BK161" s="5092"/>
      <c r="BL161" s="5095"/>
      <c r="BM161" s="5095"/>
      <c r="BN161" s="5211"/>
      <c r="BO161" s="5203"/>
      <c r="BP161" s="5211"/>
      <c r="BQ161" s="5203"/>
      <c r="BR161" s="5206"/>
    </row>
    <row r="162" spans="1:70" ht="80.25" customHeight="1" x14ac:dyDescent="0.2">
      <c r="A162" s="2181"/>
      <c r="B162" s="2182"/>
      <c r="C162" s="2183"/>
      <c r="D162" s="2182"/>
      <c r="E162" s="2182"/>
      <c r="F162" s="2183"/>
      <c r="G162" s="2184"/>
      <c r="H162" s="2182"/>
      <c r="I162" s="2183"/>
      <c r="J162" s="5111"/>
      <c r="K162" s="5114"/>
      <c r="L162" s="5111"/>
      <c r="M162" s="5111"/>
      <c r="N162" s="5111"/>
      <c r="O162" s="2841" t="s">
        <v>1765</v>
      </c>
      <c r="P162" s="5111"/>
      <c r="Q162" s="5088"/>
      <c r="R162" s="5212"/>
      <c r="S162" s="5215"/>
      <c r="T162" s="5190"/>
      <c r="U162" s="5209"/>
      <c r="V162" s="2194" t="s">
        <v>1766</v>
      </c>
      <c r="W162" s="2142">
        <v>8000000</v>
      </c>
      <c r="X162" s="2142">
        <v>5140524</v>
      </c>
      <c r="Y162" s="2142">
        <v>5140524</v>
      </c>
      <c r="Z162" s="2178">
        <v>113</v>
      </c>
      <c r="AA162" s="5111"/>
      <c r="AB162" s="5111"/>
      <c r="AC162" s="5111"/>
      <c r="AD162" s="5111"/>
      <c r="AE162" s="5111"/>
      <c r="AF162" s="5111"/>
      <c r="AG162" s="5111"/>
      <c r="AH162" s="5111"/>
      <c r="AI162" s="5111"/>
      <c r="AJ162" s="5111"/>
      <c r="AK162" s="5111"/>
      <c r="AL162" s="5111"/>
      <c r="AM162" s="5111"/>
      <c r="AN162" s="5111"/>
      <c r="AO162" s="5111"/>
      <c r="AP162" s="5111"/>
      <c r="AQ162" s="5111"/>
      <c r="AR162" s="5111"/>
      <c r="AS162" s="5111"/>
      <c r="AT162" s="5111"/>
      <c r="AU162" s="5111"/>
      <c r="AV162" s="5111"/>
      <c r="AW162" s="5111"/>
      <c r="AX162" s="5111"/>
      <c r="AY162" s="5111"/>
      <c r="AZ162" s="5111"/>
      <c r="BA162" s="5111"/>
      <c r="BB162" s="5111"/>
      <c r="BC162" s="5111"/>
      <c r="BD162" s="5111"/>
      <c r="BE162" s="5111"/>
      <c r="BF162" s="5111"/>
      <c r="BG162" s="5111"/>
      <c r="BH162" s="5095"/>
      <c r="BI162" s="3822"/>
      <c r="BJ162" s="3822"/>
      <c r="BK162" s="5092"/>
      <c r="BL162" s="5095"/>
      <c r="BM162" s="5095"/>
      <c r="BN162" s="5211"/>
      <c r="BO162" s="5203"/>
      <c r="BP162" s="5211"/>
      <c r="BQ162" s="5203"/>
      <c r="BR162" s="5206"/>
    </row>
    <row r="163" spans="1:70" ht="42" customHeight="1" x14ac:dyDescent="0.2">
      <c r="A163" s="2181"/>
      <c r="B163" s="2182"/>
      <c r="C163" s="2183"/>
      <c r="D163" s="2182"/>
      <c r="E163" s="2182"/>
      <c r="F163" s="2183"/>
      <c r="G163" s="2184"/>
      <c r="H163" s="2182"/>
      <c r="I163" s="2183"/>
      <c r="J163" s="5111"/>
      <c r="K163" s="5114"/>
      <c r="L163" s="5111"/>
      <c r="M163" s="5111"/>
      <c r="N163" s="5111"/>
      <c r="O163" s="2841" t="s">
        <v>1767</v>
      </c>
      <c r="P163" s="5111"/>
      <c r="Q163" s="5088"/>
      <c r="R163" s="5212"/>
      <c r="S163" s="5215"/>
      <c r="T163" s="5190"/>
      <c r="U163" s="5209"/>
      <c r="V163" s="5170" t="s">
        <v>1768</v>
      </c>
      <c r="W163" s="2142">
        <v>500000</v>
      </c>
      <c r="X163" s="2142">
        <f>500000</f>
        <v>500000</v>
      </c>
      <c r="Y163" s="2142">
        <v>500000</v>
      </c>
      <c r="Z163" s="2178">
        <v>61</v>
      </c>
      <c r="AA163" s="5111"/>
      <c r="AB163" s="5111"/>
      <c r="AC163" s="5111"/>
      <c r="AD163" s="5111"/>
      <c r="AE163" s="5111"/>
      <c r="AF163" s="5111"/>
      <c r="AG163" s="5111"/>
      <c r="AH163" s="5111"/>
      <c r="AI163" s="5111"/>
      <c r="AJ163" s="5111"/>
      <c r="AK163" s="5111"/>
      <c r="AL163" s="5111"/>
      <c r="AM163" s="5111"/>
      <c r="AN163" s="5111"/>
      <c r="AO163" s="5111"/>
      <c r="AP163" s="5111"/>
      <c r="AQ163" s="5111"/>
      <c r="AR163" s="5111"/>
      <c r="AS163" s="5111"/>
      <c r="AT163" s="5111"/>
      <c r="AU163" s="5111"/>
      <c r="AV163" s="5111"/>
      <c r="AW163" s="5111"/>
      <c r="AX163" s="5111"/>
      <c r="AY163" s="5111"/>
      <c r="AZ163" s="5111"/>
      <c r="BA163" s="5111"/>
      <c r="BB163" s="5111"/>
      <c r="BC163" s="5111"/>
      <c r="BD163" s="5111"/>
      <c r="BE163" s="5111"/>
      <c r="BF163" s="5111"/>
      <c r="BG163" s="5111"/>
      <c r="BH163" s="5095"/>
      <c r="BI163" s="3822"/>
      <c r="BJ163" s="3822"/>
      <c r="BK163" s="5092"/>
      <c r="BL163" s="5095"/>
      <c r="BM163" s="5095"/>
      <c r="BN163" s="5211"/>
      <c r="BO163" s="5203"/>
      <c r="BP163" s="5211"/>
      <c r="BQ163" s="5203"/>
      <c r="BR163" s="5206"/>
    </row>
    <row r="164" spans="1:70" ht="24" customHeight="1" x14ac:dyDescent="0.2">
      <c r="A164" s="2181"/>
      <c r="B164" s="2182"/>
      <c r="C164" s="2183"/>
      <c r="D164" s="2182"/>
      <c r="E164" s="2182"/>
      <c r="F164" s="2183"/>
      <c r="G164" s="2184"/>
      <c r="H164" s="2182"/>
      <c r="I164" s="2183"/>
      <c r="J164" s="5111"/>
      <c r="K164" s="5114"/>
      <c r="L164" s="5111"/>
      <c r="M164" s="5111"/>
      <c r="N164" s="5111"/>
      <c r="O164" s="2841"/>
      <c r="P164" s="5111"/>
      <c r="Q164" s="5088"/>
      <c r="R164" s="5212"/>
      <c r="S164" s="5215"/>
      <c r="T164" s="5190"/>
      <c r="U164" s="5209"/>
      <c r="V164" s="5171"/>
      <c r="W164" s="2142">
        <v>1911543</v>
      </c>
      <c r="X164" s="2142">
        <v>1911543</v>
      </c>
      <c r="Y164" s="2142">
        <v>1911543</v>
      </c>
      <c r="Z164" s="2178">
        <v>113</v>
      </c>
      <c r="AA164" s="5111"/>
      <c r="AB164" s="5111"/>
      <c r="AC164" s="5111"/>
      <c r="AD164" s="5111"/>
      <c r="AE164" s="5111"/>
      <c r="AF164" s="5111"/>
      <c r="AG164" s="5111"/>
      <c r="AH164" s="5111"/>
      <c r="AI164" s="5111"/>
      <c r="AJ164" s="5111"/>
      <c r="AK164" s="5111"/>
      <c r="AL164" s="5111"/>
      <c r="AM164" s="5111"/>
      <c r="AN164" s="5111"/>
      <c r="AO164" s="5111"/>
      <c r="AP164" s="5111"/>
      <c r="AQ164" s="5111"/>
      <c r="AR164" s="5111"/>
      <c r="AS164" s="5111"/>
      <c r="AT164" s="5111"/>
      <c r="AU164" s="5111"/>
      <c r="AV164" s="5111"/>
      <c r="AW164" s="5111"/>
      <c r="AX164" s="5111"/>
      <c r="AY164" s="5111"/>
      <c r="AZ164" s="5111"/>
      <c r="BA164" s="5111"/>
      <c r="BB164" s="5111"/>
      <c r="BC164" s="5111"/>
      <c r="BD164" s="5111"/>
      <c r="BE164" s="5111"/>
      <c r="BF164" s="5111"/>
      <c r="BG164" s="5111"/>
      <c r="BH164" s="5095"/>
      <c r="BI164" s="3822"/>
      <c r="BJ164" s="3822"/>
      <c r="BK164" s="5092"/>
      <c r="BL164" s="5095"/>
      <c r="BM164" s="5095"/>
      <c r="BN164" s="5211"/>
      <c r="BO164" s="5203"/>
      <c r="BP164" s="5211"/>
      <c r="BQ164" s="5203"/>
      <c r="BR164" s="5206"/>
    </row>
    <row r="165" spans="1:70" ht="24.75" customHeight="1" x14ac:dyDescent="0.2">
      <c r="A165" s="2181"/>
      <c r="B165" s="2182"/>
      <c r="C165" s="2183"/>
      <c r="D165" s="2182"/>
      <c r="E165" s="2182"/>
      <c r="F165" s="2183"/>
      <c r="G165" s="2184"/>
      <c r="H165" s="2182"/>
      <c r="I165" s="2183"/>
      <c r="J165" s="5111"/>
      <c r="K165" s="5114"/>
      <c r="L165" s="5111"/>
      <c r="M165" s="5111"/>
      <c r="N165" s="5111"/>
      <c r="O165" s="2841"/>
      <c r="P165" s="5111"/>
      <c r="Q165" s="5088"/>
      <c r="R165" s="5212"/>
      <c r="S165" s="5215"/>
      <c r="T165" s="5190"/>
      <c r="U165" s="5210"/>
      <c r="V165" s="5182"/>
      <c r="W165" s="2142">
        <v>193819</v>
      </c>
      <c r="X165" s="2142">
        <v>193819</v>
      </c>
      <c r="Y165" s="2142">
        <v>193819</v>
      </c>
      <c r="Z165" s="2178">
        <v>114</v>
      </c>
      <c r="AA165" s="5111"/>
      <c r="AB165" s="5111"/>
      <c r="AC165" s="5111"/>
      <c r="AD165" s="5111"/>
      <c r="AE165" s="5111"/>
      <c r="AF165" s="5111"/>
      <c r="AG165" s="5111"/>
      <c r="AH165" s="5111"/>
      <c r="AI165" s="5111"/>
      <c r="AJ165" s="5111"/>
      <c r="AK165" s="5111"/>
      <c r="AL165" s="5111"/>
      <c r="AM165" s="5111"/>
      <c r="AN165" s="5111"/>
      <c r="AO165" s="5111"/>
      <c r="AP165" s="5111"/>
      <c r="AQ165" s="5111"/>
      <c r="AR165" s="5111"/>
      <c r="AS165" s="5111"/>
      <c r="AT165" s="5111"/>
      <c r="AU165" s="5111"/>
      <c r="AV165" s="5111"/>
      <c r="AW165" s="5111"/>
      <c r="AX165" s="5111"/>
      <c r="AY165" s="5111"/>
      <c r="AZ165" s="5111"/>
      <c r="BA165" s="5111"/>
      <c r="BB165" s="5111"/>
      <c r="BC165" s="5111"/>
      <c r="BD165" s="5111"/>
      <c r="BE165" s="5111"/>
      <c r="BF165" s="5111"/>
      <c r="BG165" s="5111"/>
      <c r="BH165" s="5095"/>
      <c r="BI165" s="3822"/>
      <c r="BJ165" s="3822"/>
      <c r="BK165" s="5092"/>
      <c r="BL165" s="5095"/>
      <c r="BM165" s="5095"/>
      <c r="BN165" s="5211"/>
      <c r="BO165" s="5203"/>
      <c r="BP165" s="5211"/>
      <c r="BQ165" s="5203"/>
      <c r="BR165" s="5206"/>
    </row>
    <row r="166" spans="1:70" ht="28.5" customHeight="1" x14ac:dyDescent="0.2">
      <c r="A166" s="2181"/>
      <c r="B166" s="2182"/>
      <c r="C166" s="2183"/>
      <c r="D166" s="2182"/>
      <c r="E166" s="2182"/>
      <c r="F166" s="2183"/>
      <c r="G166" s="2184"/>
      <c r="H166" s="2182"/>
      <c r="I166" s="2183"/>
      <c r="J166" s="5111"/>
      <c r="K166" s="5114"/>
      <c r="L166" s="5111"/>
      <c r="M166" s="5111"/>
      <c r="N166" s="5111"/>
      <c r="O166" s="2841" t="s">
        <v>1769</v>
      </c>
      <c r="P166" s="5111"/>
      <c r="Q166" s="5088"/>
      <c r="R166" s="5212"/>
      <c r="S166" s="5215"/>
      <c r="T166" s="5190"/>
      <c r="U166" s="5208" t="s">
        <v>1770</v>
      </c>
      <c r="V166" s="5170" t="s">
        <v>1771</v>
      </c>
      <c r="W166" s="2142">
        <v>1750000</v>
      </c>
      <c r="X166" s="2142">
        <f>1750000</f>
        <v>1750000</v>
      </c>
      <c r="Y166" s="2142">
        <v>1750000</v>
      </c>
      <c r="Z166" s="2178">
        <v>61</v>
      </c>
      <c r="AA166" s="5111"/>
      <c r="AB166" s="5111"/>
      <c r="AC166" s="5111"/>
      <c r="AD166" s="5111"/>
      <c r="AE166" s="5111"/>
      <c r="AF166" s="5111"/>
      <c r="AG166" s="5111"/>
      <c r="AH166" s="5111"/>
      <c r="AI166" s="5111"/>
      <c r="AJ166" s="5111"/>
      <c r="AK166" s="5111"/>
      <c r="AL166" s="5111"/>
      <c r="AM166" s="5111"/>
      <c r="AN166" s="5111"/>
      <c r="AO166" s="5111"/>
      <c r="AP166" s="5111"/>
      <c r="AQ166" s="5111"/>
      <c r="AR166" s="5111"/>
      <c r="AS166" s="5111"/>
      <c r="AT166" s="5111"/>
      <c r="AU166" s="5111"/>
      <c r="AV166" s="5111"/>
      <c r="AW166" s="5111"/>
      <c r="AX166" s="5111"/>
      <c r="AY166" s="5111"/>
      <c r="AZ166" s="5111"/>
      <c r="BA166" s="5111"/>
      <c r="BB166" s="5111"/>
      <c r="BC166" s="5111"/>
      <c r="BD166" s="5111"/>
      <c r="BE166" s="5111"/>
      <c r="BF166" s="5111"/>
      <c r="BG166" s="5111"/>
      <c r="BH166" s="5095"/>
      <c r="BI166" s="3822"/>
      <c r="BJ166" s="3822"/>
      <c r="BK166" s="5092"/>
      <c r="BL166" s="5095"/>
      <c r="BM166" s="5095"/>
      <c r="BN166" s="5211"/>
      <c r="BO166" s="5203"/>
      <c r="BP166" s="5211"/>
      <c r="BQ166" s="5203"/>
      <c r="BR166" s="5206"/>
    </row>
    <row r="167" spans="1:70" ht="30" customHeight="1" x14ac:dyDescent="0.2">
      <c r="A167" s="2181"/>
      <c r="B167" s="2182"/>
      <c r="C167" s="2183"/>
      <c r="D167" s="2182"/>
      <c r="E167" s="2182"/>
      <c r="F167" s="2183"/>
      <c r="G167" s="2184"/>
      <c r="H167" s="2182"/>
      <c r="I167" s="2183"/>
      <c r="J167" s="5111"/>
      <c r="K167" s="5114"/>
      <c r="L167" s="5111"/>
      <c r="M167" s="5111"/>
      <c r="N167" s="5111"/>
      <c r="O167" s="2841"/>
      <c r="P167" s="5111"/>
      <c r="Q167" s="5088"/>
      <c r="R167" s="5212"/>
      <c r="S167" s="5215"/>
      <c r="T167" s="5190"/>
      <c r="U167" s="5209"/>
      <c r="V167" s="5171"/>
      <c r="W167" s="2142">
        <v>3000000</v>
      </c>
      <c r="X167" s="2142">
        <v>3000000</v>
      </c>
      <c r="Y167" s="2142">
        <v>2718952</v>
      </c>
      <c r="Z167" s="2178">
        <v>113</v>
      </c>
      <c r="AA167" s="5111"/>
      <c r="AB167" s="5111"/>
      <c r="AC167" s="5111"/>
      <c r="AD167" s="5111"/>
      <c r="AE167" s="5111"/>
      <c r="AF167" s="5111"/>
      <c r="AG167" s="5111"/>
      <c r="AH167" s="5111"/>
      <c r="AI167" s="5111"/>
      <c r="AJ167" s="5111"/>
      <c r="AK167" s="5111"/>
      <c r="AL167" s="5111"/>
      <c r="AM167" s="5111"/>
      <c r="AN167" s="5111"/>
      <c r="AO167" s="5111"/>
      <c r="AP167" s="5111"/>
      <c r="AQ167" s="5111"/>
      <c r="AR167" s="5111"/>
      <c r="AS167" s="5111"/>
      <c r="AT167" s="5111"/>
      <c r="AU167" s="5111"/>
      <c r="AV167" s="5111"/>
      <c r="AW167" s="5111"/>
      <c r="AX167" s="5111"/>
      <c r="AY167" s="5111"/>
      <c r="AZ167" s="5111"/>
      <c r="BA167" s="5111"/>
      <c r="BB167" s="5111"/>
      <c r="BC167" s="5111"/>
      <c r="BD167" s="5111"/>
      <c r="BE167" s="5111"/>
      <c r="BF167" s="5111"/>
      <c r="BG167" s="5111"/>
      <c r="BH167" s="5095"/>
      <c r="BI167" s="3822"/>
      <c r="BJ167" s="3822"/>
      <c r="BK167" s="5092"/>
      <c r="BL167" s="5095"/>
      <c r="BM167" s="5095"/>
      <c r="BN167" s="5211"/>
      <c r="BO167" s="5203"/>
      <c r="BP167" s="5211"/>
      <c r="BQ167" s="5203"/>
      <c r="BR167" s="5206"/>
    </row>
    <row r="168" spans="1:70" ht="27" customHeight="1" x14ac:dyDescent="0.2">
      <c r="A168" s="2181"/>
      <c r="B168" s="2182"/>
      <c r="C168" s="2183"/>
      <c r="D168" s="2182"/>
      <c r="E168" s="2182"/>
      <c r="F168" s="2183"/>
      <c r="G168" s="2184"/>
      <c r="H168" s="2182"/>
      <c r="I168" s="2183"/>
      <c r="J168" s="5111"/>
      <c r="K168" s="5114"/>
      <c r="L168" s="5111"/>
      <c r="M168" s="5111"/>
      <c r="N168" s="5111"/>
      <c r="O168" s="2841" t="s">
        <v>1772</v>
      </c>
      <c r="P168" s="5111"/>
      <c r="Q168" s="5088"/>
      <c r="R168" s="5212"/>
      <c r="S168" s="5215"/>
      <c r="T168" s="5190"/>
      <c r="U168" s="5209"/>
      <c r="V168" s="5182"/>
      <c r="W168" s="2142">
        <v>250000</v>
      </c>
      <c r="X168" s="2142">
        <v>250000</v>
      </c>
      <c r="Y168" s="2142">
        <v>250000</v>
      </c>
      <c r="Z168" s="2178">
        <v>114</v>
      </c>
      <c r="AA168" s="5111"/>
      <c r="AB168" s="5111"/>
      <c r="AC168" s="5111"/>
      <c r="AD168" s="5111"/>
      <c r="AE168" s="5111"/>
      <c r="AF168" s="5111"/>
      <c r="AG168" s="5111"/>
      <c r="AH168" s="5111"/>
      <c r="AI168" s="5111"/>
      <c r="AJ168" s="5111"/>
      <c r="AK168" s="5111"/>
      <c r="AL168" s="5111"/>
      <c r="AM168" s="5111"/>
      <c r="AN168" s="5111"/>
      <c r="AO168" s="5111"/>
      <c r="AP168" s="5111"/>
      <c r="AQ168" s="5111"/>
      <c r="AR168" s="5111"/>
      <c r="AS168" s="5111"/>
      <c r="AT168" s="5111"/>
      <c r="AU168" s="5111"/>
      <c r="AV168" s="5111"/>
      <c r="AW168" s="5111"/>
      <c r="AX168" s="5111"/>
      <c r="AY168" s="5111"/>
      <c r="AZ168" s="5111"/>
      <c r="BA168" s="5111"/>
      <c r="BB168" s="5111"/>
      <c r="BC168" s="5111"/>
      <c r="BD168" s="5111"/>
      <c r="BE168" s="5111"/>
      <c r="BF168" s="5111"/>
      <c r="BG168" s="5111"/>
      <c r="BH168" s="5095"/>
      <c r="BI168" s="3822"/>
      <c r="BJ168" s="3822"/>
      <c r="BK168" s="5092"/>
      <c r="BL168" s="5095"/>
      <c r="BM168" s="5095"/>
      <c r="BN168" s="5211"/>
      <c r="BO168" s="5203"/>
      <c r="BP168" s="5211"/>
      <c r="BQ168" s="5203"/>
      <c r="BR168" s="5206"/>
    </row>
    <row r="169" spans="1:70" ht="27.75" customHeight="1" x14ac:dyDescent="0.2">
      <c r="A169" s="2181"/>
      <c r="B169" s="2182"/>
      <c r="C169" s="2183"/>
      <c r="D169" s="2182"/>
      <c r="E169" s="2182"/>
      <c r="F169" s="2183"/>
      <c r="G169" s="2184"/>
      <c r="H169" s="2182"/>
      <c r="I169" s="2183"/>
      <c r="J169" s="5111"/>
      <c r="K169" s="5114"/>
      <c r="L169" s="5111"/>
      <c r="M169" s="5111"/>
      <c r="N169" s="5111"/>
      <c r="O169" s="2841"/>
      <c r="P169" s="5111"/>
      <c r="Q169" s="5088"/>
      <c r="R169" s="5212"/>
      <c r="S169" s="5215"/>
      <c r="T169" s="5190"/>
      <c r="U169" s="5209"/>
      <c r="V169" s="5170" t="s">
        <v>1773</v>
      </c>
      <c r="W169" s="2142">
        <v>10000000</v>
      </c>
      <c r="X169" s="2142">
        <v>10000000</v>
      </c>
      <c r="Y169" s="2142">
        <v>5883500</v>
      </c>
      <c r="Z169" s="2178">
        <v>61</v>
      </c>
      <c r="AA169" s="5111"/>
      <c r="AB169" s="5111"/>
      <c r="AC169" s="5111"/>
      <c r="AD169" s="5111"/>
      <c r="AE169" s="5111"/>
      <c r="AF169" s="5111"/>
      <c r="AG169" s="5111"/>
      <c r="AH169" s="5111"/>
      <c r="AI169" s="5111"/>
      <c r="AJ169" s="5111"/>
      <c r="AK169" s="5111"/>
      <c r="AL169" s="5111"/>
      <c r="AM169" s="5111"/>
      <c r="AN169" s="5111"/>
      <c r="AO169" s="5111"/>
      <c r="AP169" s="5111"/>
      <c r="AQ169" s="5111"/>
      <c r="AR169" s="5111"/>
      <c r="AS169" s="5111"/>
      <c r="AT169" s="5111"/>
      <c r="AU169" s="5111"/>
      <c r="AV169" s="5111"/>
      <c r="AW169" s="5111"/>
      <c r="AX169" s="5111"/>
      <c r="AY169" s="5111"/>
      <c r="AZ169" s="5111"/>
      <c r="BA169" s="5111"/>
      <c r="BB169" s="5111"/>
      <c r="BC169" s="5111"/>
      <c r="BD169" s="5111"/>
      <c r="BE169" s="5111"/>
      <c r="BF169" s="5111"/>
      <c r="BG169" s="5111"/>
      <c r="BH169" s="5095"/>
      <c r="BI169" s="3822"/>
      <c r="BJ169" s="3822"/>
      <c r="BK169" s="5092"/>
      <c r="BL169" s="5095"/>
      <c r="BM169" s="5095"/>
      <c r="BN169" s="5211"/>
      <c r="BO169" s="5203"/>
      <c r="BP169" s="5211"/>
      <c r="BQ169" s="5203"/>
      <c r="BR169" s="5206"/>
    </row>
    <row r="170" spans="1:70" ht="24" customHeight="1" x14ac:dyDescent="0.2">
      <c r="A170" s="2181"/>
      <c r="B170" s="2182"/>
      <c r="C170" s="2183"/>
      <c r="D170" s="2182"/>
      <c r="E170" s="2182"/>
      <c r="F170" s="2183"/>
      <c r="G170" s="2184"/>
      <c r="H170" s="2182"/>
      <c r="I170" s="2183"/>
      <c r="J170" s="5111"/>
      <c r="K170" s="5114"/>
      <c r="L170" s="5111"/>
      <c r="M170" s="5111"/>
      <c r="N170" s="5111"/>
      <c r="O170" s="2841"/>
      <c r="P170" s="5111"/>
      <c r="Q170" s="5088"/>
      <c r="R170" s="5212"/>
      <c r="S170" s="5215"/>
      <c r="T170" s="5190"/>
      <c r="U170" s="5209"/>
      <c r="V170" s="5171"/>
      <c r="W170" s="2142">
        <v>40000000</v>
      </c>
      <c r="X170" s="2142">
        <f>8217000+8217000+16572000+6900000</f>
        <v>39906000</v>
      </c>
      <c r="Y170" s="2142">
        <f>8217000+8217000+16572000</f>
        <v>33006000</v>
      </c>
      <c r="Z170" s="2178">
        <v>113</v>
      </c>
      <c r="AA170" s="5111"/>
      <c r="AB170" s="5111"/>
      <c r="AC170" s="5111"/>
      <c r="AD170" s="5111"/>
      <c r="AE170" s="5111"/>
      <c r="AF170" s="5111"/>
      <c r="AG170" s="5111"/>
      <c r="AH170" s="5111"/>
      <c r="AI170" s="5111"/>
      <c r="AJ170" s="5111"/>
      <c r="AK170" s="5111"/>
      <c r="AL170" s="5111"/>
      <c r="AM170" s="5111"/>
      <c r="AN170" s="5111"/>
      <c r="AO170" s="5111"/>
      <c r="AP170" s="5111"/>
      <c r="AQ170" s="5111"/>
      <c r="AR170" s="5111"/>
      <c r="AS170" s="5111"/>
      <c r="AT170" s="5111"/>
      <c r="AU170" s="5111"/>
      <c r="AV170" s="5111"/>
      <c r="AW170" s="5111"/>
      <c r="AX170" s="5111"/>
      <c r="AY170" s="5111"/>
      <c r="AZ170" s="5111"/>
      <c r="BA170" s="5111"/>
      <c r="BB170" s="5111"/>
      <c r="BC170" s="5111"/>
      <c r="BD170" s="5111"/>
      <c r="BE170" s="5111"/>
      <c r="BF170" s="5111"/>
      <c r="BG170" s="5111"/>
      <c r="BH170" s="5095"/>
      <c r="BI170" s="3822"/>
      <c r="BJ170" s="3822"/>
      <c r="BK170" s="5092"/>
      <c r="BL170" s="5095"/>
      <c r="BM170" s="5095"/>
      <c r="BN170" s="5211"/>
      <c r="BO170" s="5203"/>
      <c r="BP170" s="5211"/>
      <c r="BQ170" s="5203"/>
      <c r="BR170" s="5206"/>
    </row>
    <row r="171" spans="1:70" ht="25.5" customHeight="1" x14ac:dyDescent="0.2">
      <c r="A171" s="2181"/>
      <c r="B171" s="2182"/>
      <c r="C171" s="2183"/>
      <c r="D171" s="2182"/>
      <c r="E171" s="2182"/>
      <c r="F171" s="2183"/>
      <c r="G171" s="2184"/>
      <c r="H171" s="2182"/>
      <c r="I171" s="2183"/>
      <c r="J171" s="5111"/>
      <c r="K171" s="5114"/>
      <c r="L171" s="5111"/>
      <c r="M171" s="5111"/>
      <c r="N171" s="5111"/>
      <c r="O171" s="2841"/>
      <c r="P171" s="5111"/>
      <c r="Q171" s="5088"/>
      <c r="R171" s="5212"/>
      <c r="S171" s="5215"/>
      <c r="T171" s="5190"/>
      <c r="U171" s="5210"/>
      <c r="V171" s="5182"/>
      <c r="W171" s="2142">
        <v>4000000</v>
      </c>
      <c r="X171" s="2142">
        <v>4000000</v>
      </c>
      <c r="Y171" s="2142">
        <v>2568750</v>
      </c>
      <c r="Z171" s="2178">
        <v>114</v>
      </c>
      <c r="AA171" s="5111"/>
      <c r="AB171" s="5111"/>
      <c r="AC171" s="5111"/>
      <c r="AD171" s="5111"/>
      <c r="AE171" s="5111"/>
      <c r="AF171" s="5111"/>
      <c r="AG171" s="5111"/>
      <c r="AH171" s="5111"/>
      <c r="AI171" s="5111"/>
      <c r="AJ171" s="5111"/>
      <c r="AK171" s="5111"/>
      <c r="AL171" s="5111"/>
      <c r="AM171" s="5111"/>
      <c r="AN171" s="5111"/>
      <c r="AO171" s="5111"/>
      <c r="AP171" s="5111"/>
      <c r="AQ171" s="5111"/>
      <c r="AR171" s="5111"/>
      <c r="AS171" s="5111"/>
      <c r="AT171" s="5111"/>
      <c r="AU171" s="5111"/>
      <c r="AV171" s="5111"/>
      <c r="AW171" s="5111"/>
      <c r="AX171" s="5111"/>
      <c r="AY171" s="5111"/>
      <c r="AZ171" s="5111"/>
      <c r="BA171" s="5111"/>
      <c r="BB171" s="5111"/>
      <c r="BC171" s="5111"/>
      <c r="BD171" s="5111"/>
      <c r="BE171" s="5111"/>
      <c r="BF171" s="5111"/>
      <c r="BG171" s="5111"/>
      <c r="BH171" s="5095"/>
      <c r="BI171" s="3822"/>
      <c r="BJ171" s="3822"/>
      <c r="BK171" s="5092"/>
      <c r="BL171" s="5095"/>
      <c r="BM171" s="5095"/>
      <c r="BN171" s="5211"/>
      <c r="BO171" s="5203"/>
      <c r="BP171" s="5211"/>
      <c r="BQ171" s="5203"/>
      <c r="BR171" s="5206"/>
    </row>
    <row r="172" spans="1:70" ht="58.5" customHeight="1" x14ac:dyDescent="0.2">
      <c r="A172" s="2181"/>
      <c r="B172" s="2182"/>
      <c r="C172" s="2183"/>
      <c r="D172" s="2182"/>
      <c r="E172" s="2182"/>
      <c r="F172" s="2183"/>
      <c r="G172" s="2184"/>
      <c r="H172" s="2182"/>
      <c r="I172" s="2183"/>
      <c r="J172" s="5111"/>
      <c r="K172" s="5114"/>
      <c r="L172" s="5111"/>
      <c r="M172" s="5111"/>
      <c r="N172" s="5111"/>
      <c r="O172" s="2841"/>
      <c r="P172" s="5111"/>
      <c r="Q172" s="5088"/>
      <c r="R172" s="5212"/>
      <c r="S172" s="5215"/>
      <c r="T172" s="5190"/>
      <c r="U172" s="5208" t="s">
        <v>1774</v>
      </c>
      <c r="V172" s="2194" t="s">
        <v>1775</v>
      </c>
      <c r="W172" s="2142">
        <v>18000000</v>
      </c>
      <c r="X172" s="2142">
        <v>18000000</v>
      </c>
      <c r="Y172" s="2142">
        <f>8217000</f>
        <v>8217000</v>
      </c>
      <c r="Z172" s="2178">
        <v>113</v>
      </c>
      <c r="AA172" s="5111"/>
      <c r="AB172" s="5111"/>
      <c r="AC172" s="5111"/>
      <c r="AD172" s="5111"/>
      <c r="AE172" s="5111"/>
      <c r="AF172" s="5111"/>
      <c r="AG172" s="5111"/>
      <c r="AH172" s="5111"/>
      <c r="AI172" s="5111"/>
      <c r="AJ172" s="5111"/>
      <c r="AK172" s="5111"/>
      <c r="AL172" s="5111"/>
      <c r="AM172" s="5111"/>
      <c r="AN172" s="5111"/>
      <c r="AO172" s="5111"/>
      <c r="AP172" s="5111"/>
      <c r="AQ172" s="5111"/>
      <c r="AR172" s="5111"/>
      <c r="AS172" s="5111"/>
      <c r="AT172" s="5111"/>
      <c r="AU172" s="5111"/>
      <c r="AV172" s="5111"/>
      <c r="AW172" s="5111"/>
      <c r="AX172" s="5111"/>
      <c r="AY172" s="5111"/>
      <c r="AZ172" s="5111"/>
      <c r="BA172" s="5111"/>
      <c r="BB172" s="5111"/>
      <c r="BC172" s="5111"/>
      <c r="BD172" s="5111"/>
      <c r="BE172" s="5111"/>
      <c r="BF172" s="5111"/>
      <c r="BG172" s="5111"/>
      <c r="BH172" s="5095"/>
      <c r="BI172" s="3822"/>
      <c r="BJ172" s="3822"/>
      <c r="BK172" s="5092"/>
      <c r="BL172" s="5095"/>
      <c r="BM172" s="5095"/>
      <c r="BN172" s="5211"/>
      <c r="BO172" s="5203"/>
      <c r="BP172" s="5211"/>
      <c r="BQ172" s="5203"/>
      <c r="BR172" s="5206"/>
    </row>
    <row r="173" spans="1:70" ht="27.75" customHeight="1" x14ac:dyDescent="0.2">
      <c r="A173" s="2181"/>
      <c r="B173" s="2182"/>
      <c r="C173" s="2183"/>
      <c r="D173" s="2182"/>
      <c r="E173" s="2182"/>
      <c r="F173" s="2183"/>
      <c r="G173" s="2184"/>
      <c r="H173" s="2182"/>
      <c r="I173" s="2183"/>
      <c r="J173" s="5111"/>
      <c r="K173" s="5114"/>
      <c r="L173" s="5111"/>
      <c r="M173" s="5111"/>
      <c r="N173" s="5111"/>
      <c r="O173" s="2841"/>
      <c r="P173" s="5111"/>
      <c r="Q173" s="5088"/>
      <c r="R173" s="5212"/>
      <c r="S173" s="5215"/>
      <c r="T173" s="5190"/>
      <c r="U173" s="5209"/>
      <c r="V173" s="5170" t="s">
        <v>1776</v>
      </c>
      <c r="W173" s="2142">
        <v>9000000</v>
      </c>
      <c r="X173" s="2142">
        <v>9000000</v>
      </c>
      <c r="Y173" s="2142">
        <v>5883500</v>
      </c>
      <c r="Z173" s="2178">
        <v>61</v>
      </c>
      <c r="AA173" s="5111"/>
      <c r="AB173" s="5111"/>
      <c r="AC173" s="5111"/>
      <c r="AD173" s="5111"/>
      <c r="AE173" s="5111"/>
      <c r="AF173" s="5111"/>
      <c r="AG173" s="5111"/>
      <c r="AH173" s="5111"/>
      <c r="AI173" s="5111"/>
      <c r="AJ173" s="5111"/>
      <c r="AK173" s="5111"/>
      <c r="AL173" s="5111"/>
      <c r="AM173" s="5111"/>
      <c r="AN173" s="5111"/>
      <c r="AO173" s="5111"/>
      <c r="AP173" s="5111"/>
      <c r="AQ173" s="5111"/>
      <c r="AR173" s="5111"/>
      <c r="AS173" s="5111"/>
      <c r="AT173" s="5111"/>
      <c r="AU173" s="5111"/>
      <c r="AV173" s="5111"/>
      <c r="AW173" s="5111"/>
      <c r="AX173" s="5111"/>
      <c r="AY173" s="5111"/>
      <c r="AZ173" s="5111"/>
      <c r="BA173" s="5111"/>
      <c r="BB173" s="5111"/>
      <c r="BC173" s="5111"/>
      <c r="BD173" s="5111"/>
      <c r="BE173" s="5111"/>
      <c r="BF173" s="5111"/>
      <c r="BG173" s="5111"/>
      <c r="BH173" s="5095"/>
      <c r="BI173" s="3822"/>
      <c r="BJ173" s="3822"/>
      <c r="BK173" s="5092"/>
      <c r="BL173" s="5095"/>
      <c r="BM173" s="5095"/>
      <c r="BN173" s="5211"/>
      <c r="BO173" s="5203"/>
      <c r="BP173" s="5211"/>
      <c r="BQ173" s="5203"/>
      <c r="BR173" s="5206"/>
    </row>
    <row r="174" spans="1:70" ht="26.25" customHeight="1" x14ac:dyDescent="0.2">
      <c r="A174" s="2181"/>
      <c r="B174" s="2182"/>
      <c r="C174" s="2183"/>
      <c r="D174" s="2182"/>
      <c r="E174" s="2182"/>
      <c r="F174" s="2183"/>
      <c r="G174" s="2184"/>
      <c r="H174" s="2182"/>
      <c r="I174" s="2183"/>
      <c r="J174" s="5111"/>
      <c r="K174" s="5114"/>
      <c r="L174" s="5111"/>
      <c r="M174" s="5111"/>
      <c r="N174" s="5111"/>
      <c r="O174" s="2841"/>
      <c r="P174" s="5111"/>
      <c r="Q174" s="5088"/>
      <c r="R174" s="5212"/>
      <c r="S174" s="5215"/>
      <c r="T174" s="5190"/>
      <c r="U174" s="5209"/>
      <c r="V174" s="5171"/>
      <c r="W174" s="2142">
        <v>21000000</v>
      </c>
      <c r="X174" s="2142">
        <f>8217000+11000000+1217000</f>
        <v>20434000</v>
      </c>
      <c r="Y174" s="2142">
        <f>8217000</f>
        <v>8217000</v>
      </c>
      <c r="Z174" s="2178">
        <v>113</v>
      </c>
      <c r="AA174" s="5111"/>
      <c r="AB174" s="5111"/>
      <c r="AC174" s="5111"/>
      <c r="AD174" s="5111"/>
      <c r="AE174" s="5111"/>
      <c r="AF174" s="5111"/>
      <c r="AG174" s="5111"/>
      <c r="AH174" s="5111"/>
      <c r="AI174" s="5111"/>
      <c r="AJ174" s="5111"/>
      <c r="AK174" s="5111"/>
      <c r="AL174" s="5111"/>
      <c r="AM174" s="5111"/>
      <c r="AN174" s="5111"/>
      <c r="AO174" s="5111"/>
      <c r="AP174" s="5111"/>
      <c r="AQ174" s="5111"/>
      <c r="AR174" s="5111"/>
      <c r="AS174" s="5111"/>
      <c r="AT174" s="5111"/>
      <c r="AU174" s="5111"/>
      <c r="AV174" s="5111"/>
      <c r="AW174" s="5111"/>
      <c r="AX174" s="5111"/>
      <c r="AY174" s="5111"/>
      <c r="AZ174" s="5111"/>
      <c r="BA174" s="5111"/>
      <c r="BB174" s="5111"/>
      <c r="BC174" s="5111"/>
      <c r="BD174" s="5111"/>
      <c r="BE174" s="5111"/>
      <c r="BF174" s="5111"/>
      <c r="BG174" s="5111"/>
      <c r="BH174" s="5095"/>
      <c r="BI174" s="3822"/>
      <c r="BJ174" s="3822"/>
      <c r="BK174" s="5092"/>
      <c r="BL174" s="5095"/>
      <c r="BM174" s="5095"/>
      <c r="BN174" s="5211"/>
      <c r="BO174" s="5203"/>
      <c r="BP174" s="5211"/>
      <c r="BQ174" s="5203"/>
      <c r="BR174" s="5206"/>
    </row>
    <row r="175" spans="1:70" ht="22.5" customHeight="1" x14ac:dyDescent="0.2">
      <c r="A175" s="2181"/>
      <c r="B175" s="2182"/>
      <c r="C175" s="2183"/>
      <c r="D175" s="2182"/>
      <c r="E175" s="2182"/>
      <c r="F175" s="2183"/>
      <c r="G175" s="2184"/>
      <c r="H175" s="2182"/>
      <c r="I175" s="2183"/>
      <c r="J175" s="5111"/>
      <c r="K175" s="5114"/>
      <c r="L175" s="5111"/>
      <c r="M175" s="5111"/>
      <c r="N175" s="5111"/>
      <c r="O175" s="2841"/>
      <c r="P175" s="5111"/>
      <c r="Q175" s="5088"/>
      <c r="R175" s="5212"/>
      <c r="S175" s="5215"/>
      <c r="T175" s="5190"/>
      <c r="U175" s="5209"/>
      <c r="V175" s="5182"/>
      <c r="W175" s="2142">
        <f>7500000-2035334</f>
        <v>5464666</v>
      </c>
      <c r="X175" s="2142">
        <v>4994400</v>
      </c>
      <c r="Y175" s="2142">
        <v>2568750</v>
      </c>
      <c r="Z175" s="2178">
        <v>114</v>
      </c>
      <c r="AA175" s="5111"/>
      <c r="AB175" s="5111"/>
      <c r="AC175" s="5111"/>
      <c r="AD175" s="5111"/>
      <c r="AE175" s="5111"/>
      <c r="AF175" s="5111"/>
      <c r="AG175" s="5111"/>
      <c r="AH175" s="5111"/>
      <c r="AI175" s="5111"/>
      <c r="AJ175" s="5111"/>
      <c r="AK175" s="5111"/>
      <c r="AL175" s="5111"/>
      <c r="AM175" s="5111"/>
      <c r="AN175" s="5111"/>
      <c r="AO175" s="5111"/>
      <c r="AP175" s="5111"/>
      <c r="AQ175" s="5111"/>
      <c r="AR175" s="5111"/>
      <c r="AS175" s="5111"/>
      <c r="AT175" s="5111"/>
      <c r="AU175" s="5111"/>
      <c r="AV175" s="5111"/>
      <c r="AW175" s="5111"/>
      <c r="AX175" s="5111"/>
      <c r="AY175" s="5111"/>
      <c r="AZ175" s="5111"/>
      <c r="BA175" s="5111"/>
      <c r="BB175" s="5111"/>
      <c r="BC175" s="5111"/>
      <c r="BD175" s="5111"/>
      <c r="BE175" s="5111"/>
      <c r="BF175" s="5111"/>
      <c r="BG175" s="5111"/>
      <c r="BH175" s="5095"/>
      <c r="BI175" s="3822"/>
      <c r="BJ175" s="3822"/>
      <c r="BK175" s="5092"/>
      <c r="BL175" s="5095"/>
      <c r="BM175" s="5095"/>
      <c r="BN175" s="5211"/>
      <c r="BO175" s="5203"/>
      <c r="BP175" s="5211"/>
      <c r="BQ175" s="5203"/>
      <c r="BR175" s="5206"/>
    </row>
    <row r="176" spans="1:70" ht="31.5" customHeight="1" x14ac:dyDescent="0.2">
      <c r="A176" s="2181"/>
      <c r="B176" s="2182"/>
      <c r="C176" s="2183"/>
      <c r="D176" s="2182"/>
      <c r="E176" s="2182"/>
      <c r="F176" s="2183"/>
      <c r="G176" s="2184"/>
      <c r="H176" s="2182"/>
      <c r="I176" s="2183"/>
      <c r="J176" s="5111"/>
      <c r="K176" s="5114"/>
      <c r="L176" s="5111"/>
      <c r="M176" s="5111"/>
      <c r="N176" s="5111"/>
      <c r="O176" s="2841"/>
      <c r="P176" s="5111"/>
      <c r="Q176" s="5088"/>
      <c r="R176" s="5212"/>
      <c r="S176" s="5215"/>
      <c r="T176" s="5190"/>
      <c r="U176" s="5209"/>
      <c r="V176" s="5170" t="s">
        <v>1777</v>
      </c>
      <c r="W176" s="2142">
        <v>9000000</v>
      </c>
      <c r="X176" s="2142">
        <v>9000000</v>
      </c>
      <c r="Y176" s="2142">
        <v>5883500</v>
      </c>
      <c r="Z176" s="2178">
        <v>61</v>
      </c>
      <c r="AA176" s="5111"/>
      <c r="AB176" s="5111"/>
      <c r="AC176" s="5111"/>
      <c r="AD176" s="5111"/>
      <c r="AE176" s="5111"/>
      <c r="AF176" s="5111"/>
      <c r="AG176" s="5111"/>
      <c r="AH176" s="5111"/>
      <c r="AI176" s="5111"/>
      <c r="AJ176" s="5111"/>
      <c r="AK176" s="5111"/>
      <c r="AL176" s="5111"/>
      <c r="AM176" s="5111"/>
      <c r="AN176" s="5111"/>
      <c r="AO176" s="5111"/>
      <c r="AP176" s="5111"/>
      <c r="AQ176" s="5111"/>
      <c r="AR176" s="5111"/>
      <c r="AS176" s="5111"/>
      <c r="AT176" s="5111"/>
      <c r="AU176" s="5111"/>
      <c r="AV176" s="5111"/>
      <c r="AW176" s="5111"/>
      <c r="AX176" s="5111"/>
      <c r="AY176" s="5111"/>
      <c r="AZ176" s="5111"/>
      <c r="BA176" s="5111"/>
      <c r="BB176" s="5111"/>
      <c r="BC176" s="5111"/>
      <c r="BD176" s="5111"/>
      <c r="BE176" s="5111"/>
      <c r="BF176" s="5111"/>
      <c r="BG176" s="5111"/>
      <c r="BH176" s="5095"/>
      <c r="BI176" s="3822"/>
      <c r="BJ176" s="3822"/>
      <c r="BK176" s="5092"/>
      <c r="BL176" s="5095"/>
      <c r="BM176" s="5095"/>
      <c r="BN176" s="5211"/>
      <c r="BO176" s="5203"/>
      <c r="BP176" s="5211"/>
      <c r="BQ176" s="5203"/>
      <c r="BR176" s="5206"/>
    </row>
    <row r="177" spans="1:70" ht="38.25" customHeight="1" x14ac:dyDescent="0.2">
      <c r="A177" s="2181"/>
      <c r="B177" s="2182"/>
      <c r="C177" s="2183"/>
      <c r="D177" s="2182"/>
      <c r="E177" s="2182"/>
      <c r="F177" s="2183"/>
      <c r="G177" s="2184"/>
      <c r="H177" s="2182"/>
      <c r="I177" s="2183"/>
      <c r="J177" s="5111"/>
      <c r="K177" s="5114"/>
      <c r="L177" s="5111"/>
      <c r="M177" s="5111"/>
      <c r="N177" s="5111"/>
      <c r="O177" s="2841"/>
      <c r="P177" s="5111"/>
      <c r="Q177" s="5088"/>
      <c r="R177" s="5212"/>
      <c r="S177" s="5215"/>
      <c r="T177" s="5190"/>
      <c r="U177" s="5209"/>
      <c r="V177" s="5171"/>
      <c r="W177" s="2142">
        <v>21000000</v>
      </c>
      <c r="X177" s="2142">
        <f>2178800+2178800+381+15000000</f>
        <v>19357981</v>
      </c>
      <c r="Y177" s="2142">
        <f>2178800+2178800+381</f>
        <v>4357981</v>
      </c>
      <c r="Z177" s="2178">
        <v>113</v>
      </c>
      <c r="AA177" s="5111"/>
      <c r="AB177" s="5111"/>
      <c r="AC177" s="5111"/>
      <c r="AD177" s="5111"/>
      <c r="AE177" s="5111"/>
      <c r="AF177" s="5111"/>
      <c r="AG177" s="5111"/>
      <c r="AH177" s="5111"/>
      <c r="AI177" s="5111"/>
      <c r="AJ177" s="5111"/>
      <c r="AK177" s="5111"/>
      <c r="AL177" s="5111"/>
      <c r="AM177" s="5111"/>
      <c r="AN177" s="5111"/>
      <c r="AO177" s="5111"/>
      <c r="AP177" s="5111"/>
      <c r="AQ177" s="5111"/>
      <c r="AR177" s="5111"/>
      <c r="AS177" s="5111"/>
      <c r="AT177" s="5111"/>
      <c r="AU177" s="5111"/>
      <c r="AV177" s="5111"/>
      <c r="AW177" s="5111"/>
      <c r="AX177" s="5111"/>
      <c r="AY177" s="5111"/>
      <c r="AZ177" s="5111"/>
      <c r="BA177" s="5111"/>
      <c r="BB177" s="5111"/>
      <c r="BC177" s="5111"/>
      <c r="BD177" s="5111"/>
      <c r="BE177" s="5111"/>
      <c r="BF177" s="5111"/>
      <c r="BG177" s="5111"/>
      <c r="BH177" s="5095"/>
      <c r="BI177" s="3822"/>
      <c r="BJ177" s="3822"/>
      <c r="BK177" s="5092"/>
      <c r="BL177" s="5095"/>
      <c r="BM177" s="5095"/>
      <c r="BN177" s="5211"/>
      <c r="BO177" s="5203"/>
      <c r="BP177" s="5211"/>
      <c r="BQ177" s="5203"/>
      <c r="BR177" s="5206"/>
    </row>
    <row r="178" spans="1:70" ht="28.5" customHeight="1" x14ac:dyDescent="0.2">
      <c r="A178" s="2181"/>
      <c r="B178" s="2182"/>
      <c r="C178" s="2183"/>
      <c r="D178" s="2182"/>
      <c r="E178" s="2182"/>
      <c r="F178" s="2183"/>
      <c r="G178" s="2195"/>
      <c r="H178" s="2196"/>
      <c r="I178" s="2197"/>
      <c r="J178" s="5112"/>
      <c r="K178" s="5115"/>
      <c r="L178" s="5112"/>
      <c r="M178" s="5112"/>
      <c r="N178" s="5112"/>
      <c r="O178" s="2842"/>
      <c r="P178" s="5112"/>
      <c r="Q178" s="5089"/>
      <c r="R178" s="5213"/>
      <c r="S178" s="5216"/>
      <c r="T178" s="5190"/>
      <c r="U178" s="5210"/>
      <c r="V178" s="5182"/>
      <c r="W178" s="2142">
        <v>7500000</v>
      </c>
      <c r="X178" s="2142">
        <f>4994681+994400</f>
        <v>5989081</v>
      </c>
      <c r="Y178" s="2142">
        <f>2568750+181</f>
        <v>2568931</v>
      </c>
      <c r="Z178" s="2178">
        <v>114</v>
      </c>
      <c r="AA178" s="5112"/>
      <c r="AB178" s="5112"/>
      <c r="AC178" s="5112"/>
      <c r="AD178" s="5112"/>
      <c r="AE178" s="5112"/>
      <c r="AF178" s="5112"/>
      <c r="AG178" s="5112"/>
      <c r="AH178" s="5112"/>
      <c r="AI178" s="5112"/>
      <c r="AJ178" s="5112"/>
      <c r="AK178" s="5112"/>
      <c r="AL178" s="5112"/>
      <c r="AM178" s="5112"/>
      <c r="AN178" s="5112"/>
      <c r="AO178" s="5112"/>
      <c r="AP178" s="5112"/>
      <c r="AQ178" s="5112"/>
      <c r="AR178" s="5112"/>
      <c r="AS178" s="5112"/>
      <c r="AT178" s="5112"/>
      <c r="AU178" s="5112"/>
      <c r="AV178" s="5112"/>
      <c r="AW178" s="5112"/>
      <c r="AX178" s="5112"/>
      <c r="AY178" s="5112"/>
      <c r="AZ178" s="5112"/>
      <c r="BA178" s="5112"/>
      <c r="BB178" s="5112"/>
      <c r="BC178" s="5112"/>
      <c r="BD178" s="5112"/>
      <c r="BE178" s="5112"/>
      <c r="BF178" s="5112"/>
      <c r="BG178" s="5112"/>
      <c r="BH178" s="5103"/>
      <c r="BI178" s="3823"/>
      <c r="BJ178" s="3823"/>
      <c r="BK178" s="5109"/>
      <c r="BL178" s="5103"/>
      <c r="BM178" s="5103"/>
      <c r="BN178" s="5211"/>
      <c r="BO178" s="5204"/>
      <c r="BP178" s="5211"/>
      <c r="BQ178" s="5204"/>
      <c r="BR178" s="5207"/>
    </row>
    <row r="179" spans="1:70" ht="38.25" customHeight="1" x14ac:dyDescent="0.2">
      <c r="A179" s="2122"/>
      <c r="B179" s="2123"/>
      <c r="C179" s="2124"/>
      <c r="D179" s="2123"/>
      <c r="E179" s="2123"/>
      <c r="F179" s="2124"/>
      <c r="G179" s="2158">
        <v>41</v>
      </c>
      <c r="H179" s="2128" t="s">
        <v>1778</v>
      </c>
      <c r="I179" s="2128"/>
      <c r="J179" s="2128"/>
      <c r="K179" s="2129"/>
      <c r="L179" s="2128"/>
      <c r="M179" s="2128"/>
      <c r="N179" s="2128"/>
      <c r="O179" s="2130"/>
      <c r="P179" s="2128"/>
      <c r="Q179" s="2129"/>
      <c r="R179" s="2128"/>
      <c r="S179" s="2159"/>
      <c r="T179" s="2232"/>
      <c r="U179" s="2129"/>
      <c r="V179" s="2129"/>
      <c r="W179" s="2199"/>
      <c r="X179" s="2199"/>
      <c r="Y179" s="2199"/>
      <c r="Z179" s="2199"/>
      <c r="AA179" s="2199"/>
      <c r="AB179" s="2130"/>
      <c r="AC179" s="2130"/>
      <c r="AD179" s="2130"/>
      <c r="AE179" s="2130"/>
      <c r="AF179" s="2130"/>
      <c r="AG179" s="2130"/>
      <c r="AH179" s="2130"/>
      <c r="AI179" s="2130"/>
      <c r="AJ179" s="2130"/>
      <c r="AK179" s="2130"/>
      <c r="AL179" s="2130"/>
      <c r="AM179" s="2130"/>
      <c r="AN179" s="2130"/>
      <c r="AO179" s="2130"/>
      <c r="AP179" s="2130"/>
      <c r="AQ179" s="2130"/>
      <c r="AR179" s="2130"/>
      <c r="AS179" s="2130"/>
      <c r="AT179" s="2130"/>
      <c r="AU179" s="2130"/>
      <c r="AV179" s="2130"/>
      <c r="AW179" s="2130"/>
      <c r="AX179" s="2130"/>
      <c r="AY179" s="2130"/>
      <c r="AZ179" s="2130"/>
      <c r="BA179" s="2130"/>
      <c r="BB179" s="2130"/>
      <c r="BC179" s="2130"/>
      <c r="BD179" s="2130"/>
      <c r="BE179" s="2130"/>
      <c r="BF179" s="2130"/>
      <c r="BG179" s="2130"/>
      <c r="BH179" s="2130"/>
      <c r="BI179" s="2162"/>
      <c r="BJ179" s="2162"/>
      <c r="BK179" s="2130"/>
      <c r="BL179" s="2130"/>
      <c r="BM179" s="2130"/>
      <c r="BN179" s="2128"/>
      <c r="BO179" s="2128"/>
      <c r="BP179" s="2128"/>
      <c r="BQ179" s="2128"/>
      <c r="BR179" s="2135"/>
    </row>
    <row r="180" spans="1:70" ht="27.75" customHeight="1" x14ac:dyDescent="0.2">
      <c r="A180" s="2136"/>
      <c r="B180" s="2137"/>
      <c r="C180" s="2138"/>
      <c r="D180" s="2137"/>
      <c r="E180" s="2137"/>
      <c r="F180" s="2138"/>
      <c r="G180" s="2139"/>
      <c r="H180" s="2140"/>
      <c r="I180" s="2141"/>
      <c r="J180" s="5110">
        <v>147</v>
      </c>
      <c r="K180" s="5087" t="s">
        <v>1779</v>
      </c>
      <c r="L180" s="5084" t="s">
        <v>1581</v>
      </c>
      <c r="M180" s="5084">
        <v>14</v>
      </c>
      <c r="N180" s="5084">
        <v>0</v>
      </c>
      <c r="O180" s="5084" t="s">
        <v>1780</v>
      </c>
      <c r="P180" s="5084" t="s">
        <v>1781</v>
      </c>
      <c r="Q180" s="5087" t="s">
        <v>1782</v>
      </c>
      <c r="R180" s="5118">
        <f>SUM(W180:W183)/S180</f>
        <v>0.48275862068965519</v>
      </c>
      <c r="S180" s="5101">
        <f>SUM(W180:W188)</f>
        <v>29000000</v>
      </c>
      <c r="T180" s="5087" t="s">
        <v>1783</v>
      </c>
      <c r="U180" s="5087" t="s">
        <v>1784</v>
      </c>
      <c r="V180" s="5170" t="s">
        <v>1785</v>
      </c>
      <c r="W180" s="2142">
        <v>6000000</v>
      </c>
      <c r="X180" s="2142">
        <v>6000000</v>
      </c>
      <c r="Y180" s="2142">
        <v>6000000</v>
      </c>
      <c r="Z180" s="2143">
        <v>61</v>
      </c>
      <c r="AA180" s="5084" t="s">
        <v>1786</v>
      </c>
      <c r="AB180" s="5158">
        <v>292684</v>
      </c>
      <c r="AC180" s="5084">
        <v>0</v>
      </c>
      <c r="AD180" s="5084">
        <v>282326</v>
      </c>
      <c r="AE180" s="5084">
        <v>0</v>
      </c>
      <c r="AF180" s="5094">
        <v>135912</v>
      </c>
      <c r="AG180" s="5094">
        <v>0</v>
      </c>
      <c r="AH180" s="5094">
        <v>45122</v>
      </c>
      <c r="AI180" s="5094">
        <v>0</v>
      </c>
      <c r="AJ180" s="5094">
        <f>AJ155</f>
        <v>307101</v>
      </c>
      <c r="AK180" s="5094">
        <v>0</v>
      </c>
      <c r="AL180" s="5094">
        <f>AL155</f>
        <v>86875</v>
      </c>
      <c r="AM180" s="5094">
        <v>0</v>
      </c>
      <c r="AN180" s="5094">
        <v>2145</v>
      </c>
      <c r="AO180" s="5094">
        <v>0</v>
      </c>
      <c r="AP180" s="5094">
        <v>12718</v>
      </c>
      <c r="AQ180" s="5094">
        <v>0</v>
      </c>
      <c r="AR180" s="5094">
        <v>26</v>
      </c>
      <c r="AS180" s="5094">
        <v>0</v>
      </c>
      <c r="AT180" s="5094">
        <v>37</v>
      </c>
      <c r="AU180" s="5094">
        <v>0</v>
      </c>
      <c r="AV180" s="5094" t="s">
        <v>1588</v>
      </c>
      <c r="AW180" s="5094">
        <v>0</v>
      </c>
      <c r="AX180" s="5094" t="s">
        <v>1588</v>
      </c>
      <c r="AY180" s="5094">
        <v>0</v>
      </c>
      <c r="AZ180" s="5094">
        <v>53164</v>
      </c>
      <c r="BA180" s="5094">
        <v>0</v>
      </c>
      <c r="BB180" s="5094">
        <v>16982</v>
      </c>
      <c r="BC180" s="5094">
        <v>0</v>
      </c>
      <c r="BD180" s="5094">
        <v>60013</v>
      </c>
      <c r="BE180" s="5094">
        <v>0</v>
      </c>
      <c r="BF180" s="5094">
        <v>575010</v>
      </c>
      <c r="BG180" s="5094">
        <v>0</v>
      </c>
      <c r="BH180" s="5094">
        <v>2</v>
      </c>
      <c r="BI180" s="3821">
        <f>SUM(X180:X188)</f>
        <v>29000000</v>
      </c>
      <c r="BJ180" s="3821">
        <f>SUM(Y180:Y188)</f>
        <v>16960000</v>
      </c>
      <c r="BK180" s="5091">
        <f>+BJ180/BI180</f>
        <v>0.58482758620689657</v>
      </c>
      <c r="BL180" s="5094" t="s">
        <v>1589</v>
      </c>
      <c r="BM180" s="5094" t="s">
        <v>1590</v>
      </c>
      <c r="BN180" s="5078">
        <v>43467</v>
      </c>
      <c r="BO180" s="5078">
        <v>43830</v>
      </c>
      <c r="BP180" s="5078">
        <v>43830</v>
      </c>
      <c r="BQ180" s="5078">
        <v>43830</v>
      </c>
      <c r="BR180" s="5081" t="s">
        <v>1591</v>
      </c>
    </row>
    <row r="181" spans="1:70" ht="24" customHeight="1" x14ac:dyDescent="0.2">
      <c r="A181" s="2136"/>
      <c r="B181" s="2137"/>
      <c r="C181" s="2138"/>
      <c r="D181" s="2137"/>
      <c r="E181" s="2137"/>
      <c r="F181" s="2138"/>
      <c r="G181" s="2145"/>
      <c r="H181" s="2137"/>
      <c r="I181" s="2138"/>
      <c r="J181" s="5111"/>
      <c r="K181" s="5088"/>
      <c r="L181" s="5085"/>
      <c r="M181" s="5085"/>
      <c r="N181" s="5085"/>
      <c r="O181" s="5085"/>
      <c r="P181" s="5085"/>
      <c r="Q181" s="5088"/>
      <c r="R181" s="5119"/>
      <c r="S181" s="5102"/>
      <c r="T181" s="5088"/>
      <c r="U181" s="5088"/>
      <c r="V181" s="5182"/>
      <c r="W181" s="2142">
        <v>4000000</v>
      </c>
      <c r="X181" s="2142">
        <v>4000000</v>
      </c>
      <c r="Y181" s="2142">
        <v>0</v>
      </c>
      <c r="Z181" s="2178">
        <v>98</v>
      </c>
      <c r="AA181" s="5085"/>
      <c r="AB181" s="5159"/>
      <c r="AC181" s="5085"/>
      <c r="AD181" s="5085"/>
      <c r="AE181" s="5085"/>
      <c r="AF181" s="5095"/>
      <c r="AG181" s="5095"/>
      <c r="AH181" s="5095"/>
      <c r="AI181" s="5095"/>
      <c r="AJ181" s="5095"/>
      <c r="AK181" s="5095"/>
      <c r="AL181" s="5095"/>
      <c r="AM181" s="5095"/>
      <c r="AN181" s="5095"/>
      <c r="AO181" s="5095"/>
      <c r="AP181" s="5095"/>
      <c r="AQ181" s="5095"/>
      <c r="AR181" s="5095"/>
      <c r="AS181" s="5095"/>
      <c r="AT181" s="5095"/>
      <c r="AU181" s="5095"/>
      <c r="AV181" s="5095"/>
      <c r="AW181" s="5095"/>
      <c r="AX181" s="5095"/>
      <c r="AY181" s="5095"/>
      <c r="AZ181" s="5095"/>
      <c r="BA181" s="5095"/>
      <c r="BB181" s="5095"/>
      <c r="BC181" s="5095"/>
      <c r="BD181" s="5095"/>
      <c r="BE181" s="5095"/>
      <c r="BF181" s="5095"/>
      <c r="BG181" s="5095"/>
      <c r="BH181" s="5095"/>
      <c r="BI181" s="3822"/>
      <c r="BJ181" s="3822"/>
      <c r="BK181" s="5092"/>
      <c r="BL181" s="5095"/>
      <c r="BM181" s="5095"/>
      <c r="BN181" s="5079"/>
      <c r="BO181" s="5079"/>
      <c r="BP181" s="5079"/>
      <c r="BQ181" s="5079"/>
      <c r="BR181" s="5082"/>
    </row>
    <row r="182" spans="1:70" ht="60" customHeight="1" x14ac:dyDescent="0.2">
      <c r="A182" s="2136"/>
      <c r="B182" s="2137"/>
      <c r="C182" s="2138"/>
      <c r="D182" s="2137"/>
      <c r="E182" s="2137"/>
      <c r="F182" s="2138"/>
      <c r="G182" s="2145"/>
      <c r="H182" s="2137"/>
      <c r="I182" s="2138"/>
      <c r="J182" s="5111"/>
      <c r="K182" s="5088"/>
      <c r="L182" s="5085"/>
      <c r="M182" s="5085"/>
      <c r="N182" s="5085"/>
      <c r="O182" s="5085"/>
      <c r="P182" s="5085"/>
      <c r="Q182" s="5088"/>
      <c r="R182" s="5119"/>
      <c r="S182" s="5102"/>
      <c r="T182" s="5088"/>
      <c r="U182" s="5088"/>
      <c r="V182" s="2194" t="s">
        <v>1787</v>
      </c>
      <c r="W182" s="2142">
        <v>2000000</v>
      </c>
      <c r="X182" s="2142">
        <v>2000000</v>
      </c>
      <c r="Y182" s="2142">
        <v>2000000</v>
      </c>
      <c r="Z182" s="2178">
        <v>61</v>
      </c>
      <c r="AA182" s="5085"/>
      <c r="AB182" s="5159"/>
      <c r="AC182" s="5085"/>
      <c r="AD182" s="5085"/>
      <c r="AE182" s="5085"/>
      <c r="AF182" s="5095"/>
      <c r="AG182" s="5095"/>
      <c r="AH182" s="5095"/>
      <c r="AI182" s="5095"/>
      <c r="AJ182" s="5095"/>
      <c r="AK182" s="5095"/>
      <c r="AL182" s="5095"/>
      <c r="AM182" s="5095"/>
      <c r="AN182" s="5095"/>
      <c r="AO182" s="5095"/>
      <c r="AP182" s="5095"/>
      <c r="AQ182" s="5095"/>
      <c r="AR182" s="5095"/>
      <c r="AS182" s="5095"/>
      <c r="AT182" s="5095"/>
      <c r="AU182" s="5095"/>
      <c r="AV182" s="5095"/>
      <c r="AW182" s="5095"/>
      <c r="AX182" s="5095"/>
      <c r="AY182" s="5095"/>
      <c r="AZ182" s="5095"/>
      <c r="BA182" s="5095"/>
      <c r="BB182" s="5095"/>
      <c r="BC182" s="5095"/>
      <c r="BD182" s="5095"/>
      <c r="BE182" s="5095"/>
      <c r="BF182" s="5095"/>
      <c r="BG182" s="5095"/>
      <c r="BH182" s="5095"/>
      <c r="BI182" s="3822"/>
      <c r="BJ182" s="3822"/>
      <c r="BK182" s="5092"/>
      <c r="BL182" s="5095"/>
      <c r="BM182" s="5095"/>
      <c r="BN182" s="5079"/>
      <c r="BO182" s="5079"/>
      <c r="BP182" s="5079"/>
      <c r="BQ182" s="5079"/>
      <c r="BR182" s="5082"/>
    </row>
    <row r="183" spans="1:70" ht="42.75" x14ac:dyDescent="0.2">
      <c r="A183" s="2136"/>
      <c r="B183" s="2137"/>
      <c r="C183" s="2138"/>
      <c r="D183" s="2137"/>
      <c r="E183" s="2137"/>
      <c r="F183" s="2138"/>
      <c r="G183" s="2145"/>
      <c r="H183" s="2137"/>
      <c r="I183" s="2138"/>
      <c r="J183" s="5112"/>
      <c r="K183" s="5089"/>
      <c r="L183" s="5086"/>
      <c r="M183" s="5086"/>
      <c r="N183" s="5086"/>
      <c r="O183" s="5085"/>
      <c r="P183" s="5085"/>
      <c r="Q183" s="5088"/>
      <c r="R183" s="5120"/>
      <c r="S183" s="5102"/>
      <c r="T183" s="5088"/>
      <c r="U183" s="5089"/>
      <c r="V183" s="2194" t="s">
        <v>1788</v>
      </c>
      <c r="W183" s="2142">
        <v>2000000</v>
      </c>
      <c r="X183" s="2142">
        <v>2000000</v>
      </c>
      <c r="Y183" s="2142">
        <v>2000000</v>
      </c>
      <c r="Z183" s="2178">
        <v>61</v>
      </c>
      <c r="AA183" s="5085"/>
      <c r="AB183" s="5159"/>
      <c r="AC183" s="5085"/>
      <c r="AD183" s="5085"/>
      <c r="AE183" s="5085"/>
      <c r="AF183" s="5095"/>
      <c r="AG183" s="5095"/>
      <c r="AH183" s="5095"/>
      <c r="AI183" s="5095"/>
      <c r="AJ183" s="5095"/>
      <c r="AK183" s="5095"/>
      <c r="AL183" s="5095"/>
      <c r="AM183" s="5095"/>
      <c r="AN183" s="5095"/>
      <c r="AO183" s="5095"/>
      <c r="AP183" s="5095"/>
      <c r="AQ183" s="5095"/>
      <c r="AR183" s="5095"/>
      <c r="AS183" s="5095"/>
      <c r="AT183" s="5095"/>
      <c r="AU183" s="5095"/>
      <c r="AV183" s="5095"/>
      <c r="AW183" s="5095"/>
      <c r="AX183" s="5095"/>
      <c r="AY183" s="5095"/>
      <c r="AZ183" s="5095"/>
      <c r="BA183" s="5095"/>
      <c r="BB183" s="5095"/>
      <c r="BC183" s="5095"/>
      <c r="BD183" s="5095"/>
      <c r="BE183" s="5095"/>
      <c r="BF183" s="5095"/>
      <c r="BG183" s="5095"/>
      <c r="BH183" s="5095"/>
      <c r="BI183" s="3822"/>
      <c r="BJ183" s="3822"/>
      <c r="BK183" s="5092"/>
      <c r="BL183" s="5095"/>
      <c r="BM183" s="5095"/>
      <c r="BN183" s="5079"/>
      <c r="BO183" s="5079"/>
      <c r="BP183" s="5079"/>
      <c r="BQ183" s="5079"/>
      <c r="BR183" s="5082"/>
    </row>
    <row r="184" spans="1:70" ht="34.5" customHeight="1" x14ac:dyDescent="0.2">
      <c r="A184" s="2136"/>
      <c r="B184" s="2137"/>
      <c r="C184" s="2138"/>
      <c r="D184" s="2137"/>
      <c r="E184" s="2137"/>
      <c r="F184" s="2138"/>
      <c r="G184" s="2145"/>
      <c r="H184" s="2137"/>
      <c r="I184" s="2138"/>
      <c r="J184" s="5110">
        <v>148</v>
      </c>
      <c r="K184" s="5087" t="s">
        <v>1789</v>
      </c>
      <c r="L184" s="5084" t="s">
        <v>1581</v>
      </c>
      <c r="M184" s="5084">
        <v>11</v>
      </c>
      <c r="N184" s="5084">
        <v>2</v>
      </c>
      <c r="O184" s="5085"/>
      <c r="P184" s="5085"/>
      <c r="Q184" s="5088"/>
      <c r="R184" s="5118">
        <f>SUM(W184:W188)/S180</f>
        <v>0.51724137931034486</v>
      </c>
      <c r="S184" s="5102"/>
      <c r="T184" s="5088"/>
      <c r="U184" s="5087" t="s">
        <v>1790</v>
      </c>
      <c r="V184" s="5170" t="s">
        <v>1791</v>
      </c>
      <c r="W184" s="2142">
        <v>7000000</v>
      </c>
      <c r="X184" s="2142">
        <v>7000000</v>
      </c>
      <c r="Y184" s="2142">
        <v>3960000</v>
      </c>
      <c r="Z184" s="2178">
        <v>61</v>
      </c>
      <c r="AA184" s="5085"/>
      <c r="AB184" s="5159"/>
      <c r="AC184" s="5085"/>
      <c r="AD184" s="5085"/>
      <c r="AE184" s="5085"/>
      <c r="AF184" s="5095"/>
      <c r="AG184" s="5095"/>
      <c r="AH184" s="5095"/>
      <c r="AI184" s="5095"/>
      <c r="AJ184" s="5095"/>
      <c r="AK184" s="5095"/>
      <c r="AL184" s="5095"/>
      <c r="AM184" s="5095"/>
      <c r="AN184" s="5095"/>
      <c r="AO184" s="5095"/>
      <c r="AP184" s="5095"/>
      <c r="AQ184" s="5095"/>
      <c r="AR184" s="5095"/>
      <c r="AS184" s="5095"/>
      <c r="AT184" s="5095"/>
      <c r="AU184" s="5095"/>
      <c r="AV184" s="5095"/>
      <c r="AW184" s="5095"/>
      <c r="AX184" s="5095"/>
      <c r="AY184" s="5095"/>
      <c r="AZ184" s="5095"/>
      <c r="BA184" s="5095"/>
      <c r="BB184" s="5095"/>
      <c r="BC184" s="5095"/>
      <c r="BD184" s="5095"/>
      <c r="BE184" s="5095"/>
      <c r="BF184" s="5095"/>
      <c r="BG184" s="5095"/>
      <c r="BH184" s="5095"/>
      <c r="BI184" s="3822"/>
      <c r="BJ184" s="3822"/>
      <c r="BK184" s="5092"/>
      <c r="BL184" s="5095"/>
      <c r="BM184" s="5095"/>
      <c r="BN184" s="5079"/>
      <c r="BO184" s="5079"/>
      <c r="BP184" s="5079"/>
      <c r="BQ184" s="5079"/>
      <c r="BR184" s="5082"/>
    </row>
    <row r="185" spans="1:70" ht="39" customHeight="1" x14ac:dyDescent="0.2">
      <c r="A185" s="2136"/>
      <c r="B185" s="2137"/>
      <c r="C185" s="2138"/>
      <c r="D185" s="2137"/>
      <c r="E185" s="2137"/>
      <c r="F185" s="2138"/>
      <c r="G185" s="2145"/>
      <c r="H185" s="2137"/>
      <c r="I185" s="2138"/>
      <c r="J185" s="5111"/>
      <c r="K185" s="5088"/>
      <c r="L185" s="5085"/>
      <c r="M185" s="5085"/>
      <c r="N185" s="5085"/>
      <c r="O185" s="5085"/>
      <c r="P185" s="5085"/>
      <c r="Q185" s="5088"/>
      <c r="R185" s="5119"/>
      <c r="S185" s="5102"/>
      <c r="T185" s="5088"/>
      <c r="U185" s="5088"/>
      <c r="V185" s="5182"/>
      <c r="W185" s="2142">
        <v>5000000</v>
      </c>
      <c r="X185" s="2142">
        <v>5000000</v>
      </c>
      <c r="Y185" s="2142">
        <v>0</v>
      </c>
      <c r="Z185" s="2178">
        <v>98</v>
      </c>
      <c r="AA185" s="5085"/>
      <c r="AB185" s="5159"/>
      <c r="AC185" s="5085"/>
      <c r="AD185" s="5085"/>
      <c r="AE185" s="5085"/>
      <c r="AF185" s="5095"/>
      <c r="AG185" s="5095"/>
      <c r="AH185" s="5095"/>
      <c r="AI185" s="5095"/>
      <c r="AJ185" s="5095"/>
      <c r="AK185" s="5095"/>
      <c r="AL185" s="5095"/>
      <c r="AM185" s="5095"/>
      <c r="AN185" s="5095"/>
      <c r="AO185" s="5095"/>
      <c r="AP185" s="5095"/>
      <c r="AQ185" s="5095"/>
      <c r="AR185" s="5095"/>
      <c r="AS185" s="5095"/>
      <c r="AT185" s="5095"/>
      <c r="AU185" s="5095"/>
      <c r="AV185" s="5095"/>
      <c r="AW185" s="5095"/>
      <c r="AX185" s="5095"/>
      <c r="AY185" s="5095"/>
      <c r="AZ185" s="5095"/>
      <c r="BA185" s="5095"/>
      <c r="BB185" s="5095"/>
      <c r="BC185" s="5095"/>
      <c r="BD185" s="5095"/>
      <c r="BE185" s="5095"/>
      <c r="BF185" s="5095"/>
      <c r="BG185" s="5095"/>
      <c r="BH185" s="5095"/>
      <c r="BI185" s="3822"/>
      <c r="BJ185" s="3822"/>
      <c r="BK185" s="5092"/>
      <c r="BL185" s="5095"/>
      <c r="BM185" s="5095"/>
      <c r="BN185" s="5079"/>
      <c r="BO185" s="5079"/>
      <c r="BP185" s="5079"/>
      <c r="BQ185" s="5079"/>
      <c r="BR185" s="5082"/>
    </row>
    <row r="186" spans="1:70" ht="45.75" customHeight="1" x14ac:dyDescent="0.2">
      <c r="A186" s="2136"/>
      <c r="B186" s="2137"/>
      <c r="C186" s="2138"/>
      <c r="D186" s="2137"/>
      <c r="E186" s="2137"/>
      <c r="F186" s="2138"/>
      <c r="G186" s="2145"/>
      <c r="H186" s="2137"/>
      <c r="I186" s="2138"/>
      <c r="J186" s="5111"/>
      <c r="K186" s="5088"/>
      <c r="L186" s="5085"/>
      <c r="M186" s="5085"/>
      <c r="N186" s="5085"/>
      <c r="O186" s="5085"/>
      <c r="P186" s="5085"/>
      <c r="Q186" s="5088"/>
      <c r="R186" s="5119"/>
      <c r="S186" s="5102"/>
      <c r="T186" s="5088"/>
      <c r="U186" s="5088"/>
      <c r="V186" s="2194" t="s">
        <v>1792</v>
      </c>
      <c r="W186" s="2142">
        <v>1000000</v>
      </c>
      <c r="X186" s="2142">
        <v>1000000</v>
      </c>
      <c r="Y186" s="2142">
        <v>1000000</v>
      </c>
      <c r="Z186" s="2143">
        <v>61</v>
      </c>
      <c r="AA186" s="5085"/>
      <c r="AB186" s="5159"/>
      <c r="AC186" s="5085"/>
      <c r="AD186" s="5085"/>
      <c r="AE186" s="5085"/>
      <c r="AF186" s="5095"/>
      <c r="AG186" s="5095"/>
      <c r="AH186" s="5095"/>
      <c r="AI186" s="5095"/>
      <c r="AJ186" s="5095"/>
      <c r="AK186" s="5095"/>
      <c r="AL186" s="5095"/>
      <c r="AM186" s="5095"/>
      <c r="AN186" s="5095"/>
      <c r="AO186" s="5095"/>
      <c r="AP186" s="5095"/>
      <c r="AQ186" s="5095"/>
      <c r="AR186" s="5095"/>
      <c r="AS186" s="5095"/>
      <c r="AT186" s="5095"/>
      <c r="AU186" s="5095"/>
      <c r="AV186" s="5095"/>
      <c r="AW186" s="5095"/>
      <c r="AX186" s="5095"/>
      <c r="AY186" s="5095"/>
      <c r="AZ186" s="5095"/>
      <c r="BA186" s="5095"/>
      <c r="BB186" s="5095"/>
      <c r="BC186" s="5095"/>
      <c r="BD186" s="5095"/>
      <c r="BE186" s="5095"/>
      <c r="BF186" s="5095"/>
      <c r="BG186" s="5095"/>
      <c r="BH186" s="5095"/>
      <c r="BI186" s="3822"/>
      <c r="BJ186" s="3822"/>
      <c r="BK186" s="5092"/>
      <c r="BL186" s="5095"/>
      <c r="BM186" s="5095"/>
      <c r="BN186" s="5079"/>
      <c r="BO186" s="5079"/>
      <c r="BP186" s="5079"/>
      <c r="BQ186" s="5079"/>
      <c r="BR186" s="5082"/>
    </row>
    <row r="187" spans="1:70" ht="57.75" customHeight="1" x14ac:dyDescent="0.2">
      <c r="A187" s="2136"/>
      <c r="B187" s="2137"/>
      <c r="C187" s="2138"/>
      <c r="D187" s="2137"/>
      <c r="E187" s="2137"/>
      <c r="F187" s="2138"/>
      <c r="G187" s="2145"/>
      <c r="H187" s="2137"/>
      <c r="I187" s="2138"/>
      <c r="J187" s="5111"/>
      <c r="K187" s="5088"/>
      <c r="L187" s="5085"/>
      <c r="M187" s="5085"/>
      <c r="N187" s="5085"/>
      <c r="O187" s="5085"/>
      <c r="P187" s="5085"/>
      <c r="Q187" s="5088"/>
      <c r="R187" s="5119"/>
      <c r="S187" s="5102"/>
      <c r="T187" s="5088"/>
      <c r="U187" s="5088"/>
      <c r="V187" s="2194" t="s">
        <v>1793</v>
      </c>
      <c r="W187" s="2142">
        <v>1000000</v>
      </c>
      <c r="X187" s="2142">
        <v>1000000</v>
      </c>
      <c r="Y187" s="2142">
        <v>1000000</v>
      </c>
      <c r="Z187" s="2143">
        <v>61</v>
      </c>
      <c r="AA187" s="5085"/>
      <c r="AB187" s="5159"/>
      <c r="AC187" s="5085"/>
      <c r="AD187" s="5085"/>
      <c r="AE187" s="5085"/>
      <c r="AF187" s="5095"/>
      <c r="AG187" s="5095"/>
      <c r="AH187" s="5095"/>
      <c r="AI187" s="5095"/>
      <c r="AJ187" s="5095"/>
      <c r="AK187" s="5095"/>
      <c r="AL187" s="5095"/>
      <c r="AM187" s="5095"/>
      <c r="AN187" s="5095"/>
      <c r="AO187" s="5095"/>
      <c r="AP187" s="5095"/>
      <c r="AQ187" s="5095"/>
      <c r="AR187" s="5095"/>
      <c r="AS187" s="5095"/>
      <c r="AT187" s="5095"/>
      <c r="AU187" s="5095"/>
      <c r="AV187" s="5095"/>
      <c r="AW187" s="5095"/>
      <c r="AX187" s="5095"/>
      <c r="AY187" s="5095"/>
      <c r="AZ187" s="5095"/>
      <c r="BA187" s="5095"/>
      <c r="BB187" s="5095"/>
      <c r="BC187" s="5095"/>
      <c r="BD187" s="5095"/>
      <c r="BE187" s="5095"/>
      <c r="BF187" s="5095"/>
      <c r="BG187" s="5095"/>
      <c r="BH187" s="5095"/>
      <c r="BI187" s="3822"/>
      <c r="BJ187" s="3822"/>
      <c r="BK187" s="5092"/>
      <c r="BL187" s="5095"/>
      <c r="BM187" s="5095"/>
      <c r="BN187" s="5079"/>
      <c r="BO187" s="5079"/>
      <c r="BP187" s="5079"/>
      <c r="BQ187" s="5079"/>
      <c r="BR187" s="5082"/>
    </row>
    <row r="188" spans="1:70" ht="57" x14ac:dyDescent="0.2">
      <c r="A188" s="2136"/>
      <c r="B188" s="2137"/>
      <c r="C188" s="2138"/>
      <c r="D188" s="2137"/>
      <c r="E188" s="2137"/>
      <c r="F188" s="2138"/>
      <c r="G188" s="2149"/>
      <c r="H188" s="2147"/>
      <c r="I188" s="2148"/>
      <c r="J188" s="5112"/>
      <c r="K188" s="5089"/>
      <c r="L188" s="5086"/>
      <c r="M188" s="5086"/>
      <c r="N188" s="5086"/>
      <c r="O188" s="5086"/>
      <c r="P188" s="5086"/>
      <c r="Q188" s="5089"/>
      <c r="R188" s="5120"/>
      <c r="S188" s="5121"/>
      <c r="T188" s="5089"/>
      <c r="U188" s="5089"/>
      <c r="V188" s="2194" t="s">
        <v>1794</v>
      </c>
      <c r="W188" s="2142">
        <v>1000000</v>
      </c>
      <c r="X188" s="2142">
        <v>1000000</v>
      </c>
      <c r="Y188" s="2142">
        <v>1000000</v>
      </c>
      <c r="Z188" s="2143">
        <v>61</v>
      </c>
      <c r="AA188" s="5086"/>
      <c r="AB188" s="5160"/>
      <c r="AC188" s="5086"/>
      <c r="AD188" s="5086"/>
      <c r="AE188" s="5086"/>
      <c r="AF188" s="5103"/>
      <c r="AG188" s="5103"/>
      <c r="AH188" s="5103"/>
      <c r="AI188" s="5103"/>
      <c r="AJ188" s="5103"/>
      <c r="AK188" s="5103"/>
      <c r="AL188" s="5103"/>
      <c r="AM188" s="5103"/>
      <c r="AN188" s="5103"/>
      <c r="AO188" s="5103"/>
      <c r="AP188" s="5103"/>
      <c r="AQ188" s="5103"/>
      <c r="AR188" s="5103"/>
      <c r="AS188" s="5103"/>
      <c r="AT188" s="5103"/>
      <c r="AU188" s="5103"/>
      <c r="AV188" s="5103"/>
      <c r="AW188" s="5103"/>
      <c r="AX188" s="5103"/>
      <c r="AY188" s="5103"/>
      <c r="AZ188" s="5103"/>
      <c r="BA188" s="5103"/>
      <c r="BB188" s="5103"/>
      <c r="BC188" s="5103"/>
      <c r="BD188" s="5103"/>
      <c r="BE188" s="5103"/>
      <c r="BF188" s="5103"/>
      <c r="BG188" s="5103"/>
      <c r="BH188" s="5103"/>
      <c r="BI188" s="3823"/>
      <c r="BJ188" s="3823"/>
      <c r="BK188" s="5109"/>
      <c r="BL188" s="5103"/>
      <c r="BM188" s="5103"/>
      <c r="BN188" s="5117"/>
      <c r="BO188" s="5117"/>
      <c r="BP188" s="5117"/>
      <c r="BQ188" s="5117"/>
      <c r="BR188" s="5098"/>
    </row>
    <row r="189" spans="1:70" ht="36" customHeight="1" x14ac:dyDescent="0.2">
      <c r="A189" s="2122"/>
      <c r="B189" s="2123"/>
      <c r="C189" s="2124"/>
      <c r="D189" s="2123"/>
      <c r="E189" s="2123"/>
      <c r="F189" s="2124"/>
      <c r="G189" s="2158">
        <v>42</v>
      </c>
      <c r="H189" s="2128" t="s">
        <v>1795</v>
      </c>
      <c r="I189" s="2128"/>
      <c r="J189" s="2128"/>
      <c r="K189" s="2129"/>
      <c r="L189" s="2128"/>
      <c r="M189" s="2128"/>
      <c r="N189" s="2128"/>
      <c r="O189" s="2130"/>
      <c r="P189" s="2128"/>
      <c r="Q189" s="2129"/>
      <c r="R189" s="2128"/>
      <c r="S189" s="2159"/>
      <c r="T189" s="2129"/>
      <c r="U189" s="2129"/>
      <c r="V189" s="2129"/>
      <c r="W189" s="2199"/>
      <c r="X189" s="2199"/>
      <c r="Y189" s="2199"/>
      <c r="Z189" s="2200"/>
      <c r="AA189" s="2201"/>
      <c r="AB189" s="2130"/>
      <c r="AC189" s="2130"/>
      <c r="AD189" s="2130"/>
      <c r="AE189" s="2130"/>
      <c r="AF189" s="2130"/>
      <c r="AG189" s="2130"/>
      <c r="AH189" s="2130"/>
      <c r="AI189" s="2130"/>
      <c r="AJ189" s="2130"/>
      <c r="AK189" s="2130"/>
      <c r="AL189" s="2130"/>
      <c r="AM189" s="2130"/>
      <c r="AN189" s="2130"/>
      <c r="AO189" s="2130"/>
      <c r="AP189" s="2130"/>
      <c r="AQ189" s="2130"/>
      <c r="AR189" s="2130"/>
      <c r="AS189" s="2130"/>
      <c r="AT189" s="2130"/>
      <c r="AU189" s="2130"/>
      <c r="AV189" s="2130"/>
      <c r="AW189" s="2130"/>
      <c r="AX189" s="2130"/>
      <c r="AY189" s="2130"/>
      <c r="AZ189" s="2130"/>
      <c r="BA189" s="2130"/>
      <c r="BB189" s="2130"/>
      <c r="BC189" s="2130"/>
      <c r="BD189" s="2130"/>
      <c r="BE189" s="2130"/>
      <c r="BF189" s="2130"/>
      <c r="BG189" s="2130"/>
      <c r="BH189" s="2130"/>
      <c r="BI189" s="2162"/>
      <c r="BJ189" s="2162"/>
      <c r="BK189" s="2130"/>
      <c r="BL189" s="2130"/>
      <c r="BM189" s="2130"/>
      <c r="BN189" s="2128"/>
      <c r="BO189" s="2128"/>
      <c r="BP189" s="2128"/>
      <c r="BQ189" s="2128"/>
      <c r="BR189" s="2135"/>
    </row>
    <row r="190" spans="1:70" ht="81" customHeight="1" x14ac:dyDescent="0.2">
      <c r="A190" s="2136"/>
      <c r="B190" s="2137"/>
      <c r="C190" s="2138"/>
      <c r="D190" s="2137"/>
      <c r="E190" s="2137"/>
      <c r="F190" s="2138"/>
      <c r="G190" s="2139"/>
      <c r="H190" s="2140"/>
      <c r="I190" s="2141"/>
      <c r="J190" s="5110">
        <v>149</v>
      </c>
      <c r="K190" s="5087" t="s">
        <v>1796</v>
      </c>
      <c r="L190" s="5084" t="s">
        <v>1581</v>
      </c>
      <c r="M190" s="5084">
        <v>8</v>
      </c>
      <c r="N190" s="5084">
        <v>6</v>
      </c>
      <c r="O190" s="5084" t="s">
        <v>1797</v>
      </c>
      <c r="P190" s="5084" t="s">
        <v>1798</v>
      </c>
      <c r="Q190" s="5087" t="s">
        <v>1799</v>
      </c>
      <c r="R190" s="5118">
        <f>SUM(W190:W195)/S190</f>
        <v>0.63157894736842102</v>
      </c>
      <c r="S190" s="5101">
        <f>SUM(W190:W200)</f>
        <v>76000000</v>
      </c>
      <c r="T190" s="5087" t="s">
        <v>1800</v>
      </c>
      <c r="U190" s="5087" t="s">
        <v>1801</v>
      </c>
      <c r="V190" s="2194" t="s">
        <v>1802</v>
      </c>
      <c r="W190" s="2202">
        <v>8000000</v>
      </c>
      <c r="X190" s="2203">
        <v>8000000</v>
      </c>
      <c r="Y190" s="2203">
        <v>5596000</v>
      </c>
      <c r="Z190" s="2143">
        <v>61</v>
      </c>
      <c r="AA190" s="5084" t="s">
        <v>1803</v>
      </c>
      <c r="AB190" s="5084">
        <v>292684</v>
      </c>
      <c r="AC190" s="5084">
        <f>SUM(AB190*0.69)</f>
        <v>201951.96</v>
      </c>
      <c r="AD190" s="5084">
        <v>282326</v>
      </c>
      <c r="AE190" s="5084">
        <f t="shared" ref="AE190" si="24">SUM(AD190*0.69)</f>
        <v>194804.93999999997</v>
      </c>
      <c r="AF190" s="5084">
        <v>135912</v>
      </c>
      <c r="AG190" s="5084">
        <f t="shared" ref="AG190" si="25">SUM(AF190*0.69)</f>
        <v>93779.28</v>
      </c>
      <c r="AH190" s="5084">
        <v>45122</v>
      </c>
      <c r="AI190" s="5084">
        <f t="shared" ref="AI190" si="26">SUM(AH190*0.69)</f>
        <v>31134.179999999997</v>
      </c>
      <c r="AJ190" s="5084">
        <v>307101</v>
      </c>
      <c r="AK190" s="5084">
        <v>211899.68999999997</v>
      </c>
      <c r="AL190" s="5084">
        <v>86875</v>
      </c>
      <c r="AM190" s="5084">
        <v>59943.749999999993</v>
      </c>
      <c r="AN190" s="5084">
        <v>2145</v>
      </c>
      <c r="AO190" s="5084">
        <f t="shared" ref="AO190" si="27">SUM(AN190*0.69)</f>
        <v>1480.05</v>
      </c>
      <c r="AP190" s="5084">
        <v>12718</v>
      </c>
      <c r="AQ190" s="5084">
        <f t="shared" ref="AQ190" si="28">SUM(AP190*0.69)</f>
        <v>8775.42</v>
      </c>
      <c r="AR190" s="5084">
        <v>26</v>
      </c>
      <c r="AS190" s="5084">
        <f t="shared" ref="AS190" si="29">SUM(AR190*0.69)</f>
        <v>17.939999999999998</v>
      </c>
      <c r="AT190" s="5084">
        <v>37</v>
      </c>
      <c r="AU190" s="5084">
        <f t="shared" ref="AU190" si="30">SUM(AT190*0.69)</f>
        <v>25.529999999999998</v>
      </c>
      <c r="AV190" s="5084" t="s">
        <v>1588</v>
      </c>
      <c r="AW190" s="5084" t="s">
        <v>1588</v>
      </c>
      <c r="AX190" s="5084" t="s">
        <v>1588</v>
      </c>
      <c r="AY190" s="5084" t="s">
        <v>1588</v>
      </c>
      <c r="AZ190" s="5084">
        <v>53164</v>
      </c>
      <c r="BA190" s="5084">
        <f t="shared" ref="BA190" si="31">SUM(AZ190*0.69)</f>
        <v>36683.159999999996</v>
      </c>
      <c r="BB190" s="5084">
        <v>16982</v>
      </c>
      <c r="BC190" s="5084">
        <f t="shared" ref="BC190" si="32">SUM(BB190*0.69)</f>
        <v>11717.58</v>
      </c>
      <c r="BD190" s="5084">
        <v>60013</v>
      </c>
      <c r="BE190" s="5084">
        <f t="shared" ref="BE190" si="33">SUM(BD190*0.69)</f>
        <v>41408.969999999994</v>
      </c>
      <c r="BF190" s="5084">
        <v>575010</v>
      </c>
      <c r="BG190" s="5084">
        <f t="shared" ref="BG190" si="34">SUM(BF190*0.69)</f>
        <v>396756.89999999997</v>
      </c>
      <c r="BH190" s="5094">
        <v>6</v>
      </c>
      <c r="BI190" s="3821">
        <f>SUM(X190:X200)</f>
        <v>75546000</v>
      </c>
      <c r="BJ190" s="3821">
        <f>SUM(Y190:Y200)</f>
        <v>50364000</v>
      </c>
      <c r="BK190" s="5091">
        <f>+BJ190/BI190</f>
        <v>0.66666666666666663</v>
      </c>
      <c r="BL190" s="5094">
        <v>61</v>
      </c>
      <c r="BM190" s="5094" t="s">
        <v>1590</v>
      </c>
      <c r="BN190" s="5078">
        <v>43467</v>
      </c>
      <c r="BO190" s="5078">
        <v>43830</v>
      </c>
      <c r="BP190" s="5078">
        <v>43830</v>
      </c>
      <c r="BQ190" s="5078">
        <v>43830</v>
      </c>
      <c r="BR190" s="5081" t="s">
        <v>1591</v>
      </c>
    </row>
    <row r="191" spans="1:70" ht="78.75" customHeight="1" x14ac:dyDescent="0.2">
      <c r="A191" s="2136"/>
      <c r="B191" s="2137"/>
      <c r="C191" s="2138"/>
      <c r="D191" s="2137"/>
      <c r="E191" s="2137"/>
      <c r="F191" s="2138"/>
      <c r="G191" s="2145"/>
      <c r="H191" s="2137"/>
      <c r="I191" s="2138"/>
      <c r="J191" s="5111"/>
      <c r="K191" s="5088"/>
      <c r="L191" s="5085"/>
      <c r="M191" s="5085"/>
      <c r="N191" s="5085"/>
      <c r="O191" s="5085"/>
      <c r="P191" s="5085"/>
      <c r="Q191" s="5088"/>
      <c r="R191" s="5119"/>
      <c r="S191" s="5102"/>
      <c r="T191" s="5088"/>
      <c r="U191" s="5088"/>
      <c r="V191" s="2194" t="s">
        <v>1804</v>
      </c>
      <c r="W191" s="2202">
        <v>8000000</v>
      </c>
      <c r="X191" s="2203">
        <v>8000000</v>
      </c>
      <c r="Y191" s="2203">
        <v>5596000</v>
      </c>
      <c r="Z191" s="2143">
        <v>61</v>
      </c>
      <c r="AA191" s="5085"/>
      <c r="AB191" s="5085"/>
      <c r="AC191" s="5085"/>
      <c r="AD191" s="5085"/>
      <c r="AE191" s="5085"/>
      <c r="AF191" s="5085"/>
      <c r="AG191" s="5085"/>
      <c r="AH191" s="5085"/>
      <c r="AI191" s="5085"/>
      <c r="AJ191" s="5085"/>
      <c r="AK191" s="5085"/>
      <c r="AL191" s="5085"/>
      <c r="AM191" s="5085"/>
      <c r="AN191" s="5085"/>
      <c r="AO191" s="5085"/>
      <c r="AP191" s="5085"/>
      <c r="AQ191" s="5085"/>
      <c r="AR191" s="5085"/>
      <c r="AS191" s="5085"/>
      <c r="AT191" s="5085"/>
      <c r="AU191" s="5085"/>
      <c r="AV191" s="5085"/>
      <c r="AW191" s="5085"/>
      <c r="AX191" s="5085"/>
      <c r="AY191" s="5085"/>
      <c r="AZ191" s="5085"/>
      <c r="BA191" s="5085"/>
      <c r="BB191" s="5085"/>
      <c r="BC191" s="5085"/>
      <c r="BD191" s="5085"/>
      <c r="BE191" s="5085"/>
      <c r="BF191" s="5085"/>
      <c r="BG191" s="5085"/>
      <c r="BH191" s="5095"/>
      <c r="BI191" s="3822"/>
      <c r="BJ191" s="3822"/>
      <c r="BK191" s="5092"/>
      <c r="BL191" s="5095"/>
      <c r="BM191" s="5095"/>
      <c r="BN191" s="5079"/>
      <c r="BO191" s="5079"/>
      <c r="BP191" s="5079"/>
      <c r="BQ191" s="5079"/>
      <c r="BR191" s="5082"/>
    </row>
    <row r="192" spans="1:70" ht="81" customHeight="1" x14ac:dyDescent="0.2">
      <c r="A192" s="2136"/>
      <c r="B192" s="2137"/>
      <c r="C192" s="2138"/>
      <c r="D192" s="2137"/>
      <c r="E192" s="2137"/>
      <c r="F192" s="2138"/>
      <c r="G192" s="2145"/>
      <c r="H192" s="2137"/>
      <c r="I192" s="2138"/>
      <c r="J192" s="5111"/>
      <c r="K192" s="5088"/>
      <c r="L192" s="5085"/>
      <c r="M192" s="5085"/>
      <c r="N192" s="5085"/>
      <c r="O192" s="5085"/>
      <c r="P192" s="5085"/>
      <c r="Q192" s="5088"/>
      <c r="R192" s="5119"/>
      <c r="S192" s="5102"/>
      <c r="T192" s="5088"/>
      <c r="U192" s="5088"/>
      <c r="V192" s="2194" t="s">
        <v>1805</v>
      </c>
      <c r="W192" s="2202">
        <v>8000000</v>
      </c>
      <c r="X192" s="2203">
        <v>8000000</v>
      </c>
      <c r="Y192" s="2203">
        <v>5596000</v>
      </c>
      <c r="Z192" s="2143">
        <v>61</v>
      </c>
      <c r="AA192" s="5085"/>
      <c r="AB192" s="5085"/>
      <c r="AC192" s="5085"/>
      <c r="AD192" s="5085"/>
      <c r="AE192" s="5085"/>
      <c r="AF192" s="5085"/>
      <c r="AG192" s="5085"/>
      <c r="AH192" s="5085"/>
      <c r="AI192" s="5085"/>
      <c r="AJ192" s="5085"/>
      <c r="AK192" s="5085"/>
      <c r="AL192" s="5085"/>
      <c r="AM192" s="5085"/>
      <c r="AN192" s="5085"/>
      <c r="AO192" s="5085"/>
      <c r="AP192" s="5085"/>
      <c r="AQ192" s="5085"/>
      <c r="AR192" s="5085"/>
      <c r="AS192" s="5085"/>
      <c r="AT192" s="5085"/>
      <c r="AU192" s="5085"/>
      <c r="AV192" s="5085"/>
      <c r="AW192" s="5085"/>
      <c r="AX192" s="5085"/>
      <c r="AY192" s="5085"/>
      <c r="AZ192" s="5085"/>
      <c r="BA192" s="5085"/>
      <c r="BB192" s="5085"/>
      <c r="BC192" s="5085"/>
      <c r="BD192" s="5085"/>
      <c r="BE192" s="5085"/>
      <c r="BF192" s="5085"/>
      <c r="BG192" s="5085"/>
      <c r="BH192" s="5095"/>
      <c r="BI192" s="3822"/>
      <c r="BJ192" s="3822"/>
      <c r="BK192" s="5092"/>
      <c r="BL192" s="5095"/>
      <c r="BM192" s="5095"/>
      <c r="BN192" s="5079"/>
      <c r="BO192" s="5079"/>
      <c r="BP192" s="5079"/>
      <c r="BQ192" s="5079"/>
      <c r="BR192" s="5082"/>
    </row>
    <row r="193" spans="1:70" ht="82.5" customHeight="1" x14ac:dyDescent="0.2">
      <c r="A193" s="2136"/>
      <c r="B193" s="2137"/>
      <c r="C193" s="2138"/>
      <c r="D193" s="2137"/>
      <c r="E193" s="2137"/>
      <c r="F193" s="2138"/>
      <c r="G193" s="2145"/>
      <c r="H193" s="2137"/>
      <c r="I193" s="2138"/>
      <c r="J193" s="5111"/>
      <c r="K193" s="5088"/>
      <c r="L193" s="5085"/>
      <c r="M193" s="5085"/>
      <c r="N193" s="5085"/>
      <c r="O193" s="5085"/>
      <c r="P193" s="5085"/>
      <c r="Q193" s="5088"/>
      <c r="R193" s="5119"/>
      <c r="S193" s="5102"/>
      <c r="T193" s="5088"/>
      <c r="U193" s="5088"/>
      <c r="V193" s="2194" t="s">
        <v>1806</v>
      </c>
      <c r="W193" s="2202">
        <v>8000000</v>
      </c>
      <c r="X193" s="2203">
        <v>8000000</v>
      </c>
      <c r="Y193" s="2203">
        <v>5596000</v>
      </c>
      <c r="Z193" s="2143">
        <v>61</v>
      </c>
      <c r="AA193" s="5085"/>
      <c r="AB193" s="5085"/>
      <c r="AC193" s="5085"/>
      <c r="AD193" s="5085"/>
      <c r="AE193" s="5085"/>
      <c r="AF193" s="5085"/>
      <c r="AG193" s="5085"/>
      <c r="AH193" s="5085"/>
      <c r="AI193" s="5085"/>
      <c r="AJ193" s="5085"/>
      <c r="AK193" s="5085"/>
      <c r="AL193" s="5085"/>
      <c r="AM193" s="5085"/>
      <c r="AN193" s="5085"/>
      <c r="AO193" s="5085"/>
      <c r="AP193" s="5085"/>
      <c r="AQ193" s="5085"/>
      <c r="AR193" s="5085"/>
      <c r="AS193" s="5085"/>
      <c r="AT193" s="5085"/>
      <c r="AU193" s="5085"/>
      <c r="AV193" s="5085"/>
      <c r="AW193" s="5085"/>
      <c r="AX193" s="5085"/>
      <c r="AY193" s="5085"/>
      <c r="AZ193" s="5085"/>
      <c r="BA193" s="5085"/>
      <c r="BB193" s="5085"/>
      <c r="BC193" s="5085"/>
      <c r="BD193" s="5085"/>
      <c r="BE193" s="5085"/>
      <c r="BF193" s="5085"/>
      <c r="BG193" s="5085"/>
      <c r="BH193" s="5095"/>
      <c r="BI193" s="3822"/>
      <c r="BJ193" s="3822"/>
      <c r="BK193" s="5092"/>
      <c r="BL193" s="5095"/>
      <c r="BM193" s="5095"/>
      <c r="BN193" s="5079"/>
      <c r="BO193" s="5079"/>
      <c r="BP193" s="5079"/>
      <c r="BQ193" s="5079"/>
      <c r="BR193" s="5082"/>
    </row>
    <row r="194" spans="1:70" ht="42.75" x14ac:dyDescent="0.2">
      <c r="A194" s="2136"/>
      <c r="B194" s="2137"/>
      <c r="C194" s="2138"/>
      <c r="D194" s="2137"/>
      <c r="E194" s="2137"/>
      <c r="F194" s="2138"/>
      <c r="G194" s="2145"/>
      <c r="H194" s="2137"/>
      <c r="I194" s="2138"/>
      <c r="J194" s="5111"/>
      <c r="K194" s="5088"/>
      <c r="L194" s="5085"/>
      <c r="M194" s="5085"/>
      <c r="N194" s="5085"/>
      <c r="O194" s="5085"/>
      <c r="P194" s="5085"/>
      <c r="Q194" s="5088"/>
      <c r="R194" s="5119"/>
      <c r="S194" s="5102"/>
      <c r="T194" s="5088"/>
      <c r="U194" s="5088"/>
      <c r="V194" s="2194" t="s">
        <v>1807</v>
      </c>
      <c r="W194" s="2202">
        <v>8000000</v>
      </c>
      <c r="X194" s="2203">
        <v>8000000</v>
      </c>
      <c r="Y194" s="2203">
        <v>5596000</v>
      </c>
      <c r="Z194" s="2143">
        <v>61</v>
      </c>
      <c r="AA194" s="5085"/>
      <c r="AB194" s="5085"/>
      <c r="AC194" s="5085"/>
      <c r="AD194" s="5085"/>
      <c r="AE194" s="5085"/>
      <c r="AF194" s="5085"/>
      <c r="AG194" s="5085"/>
      <c r="AH194" s="5085"/>
      <c r="AI194" s="5085"/>
      <c r="AJ194" s="5085"/>
      <c r="AK194" s="5085"/>
      <c r="AL194" s="5085"/>
      <c r="AM194" s="5085"/>
      <c r="AN194" s="5085"/>
      <c r="AO194" s="5085"/>
      <c r="AP194" s="5085"/>
      <c r="AQ194" s="5085"/>
      <c r="AR194" s="5085"/>
      <c r="AS194" s="5085"/>
      <c r="AT194" s="5085"/>
      <c r="AU194" s="5085"/>
      <c r="AV194" s="5085"/>
      <c r="AW194" s="5085"/>
      <c r="AX194" s="5085"/>
      <c r="AY194" s="5085"/>
      <c r="AZ194" s="5085"/>
      <c r="BA194" s="5085"/>
      <c r="BB194" s="5085"/>
      <c r="BC194" s="5085"/>
      <c r="BD194" s="5085"/>
      <c r="BE194" s="5085"/>
      <c r="BF194" s="5085"/>
      <c r="BG194" s="5085"/>
      <c r="BH194" s="5095"/>
      <c r="BI194" s="3822"/>
      <c r="BJ194" s="3822"/>
      <c r="BK194" s="5092"/>
      <c r="BL194" s="5095"/>
      <c r="BM194" s="5095"/>
      <c r="BN194" s="5079"/>
      <c r="BO194" s="5079"/>
      <c r="BP194" s="5079"/>
      <c r="BQ194" s="5079"/>
      <c r="BR194" s="5082"/>
    </row>
    <row r="195" spans="1:70" ht="67.5" customHeight="1" x14ac:dyDescent="0.2">
      <c r="A195" s="2136"/>
      <c r="B195" s="2137"/>
      <c r="C195" s="2138"/>
      <c r="D195" s="2137"/>
      <c r="E195" s="2137"/>
      <c r="F195" s="2138"/>
      <c r="G195" s="2145"/>
      <c r="H195" s="2137"/>
      <c r="I195" s="2138"/>
      <c r="J195" s="5112"/>
      <c r="K195" s="5089"/>
      <c r="L195" s="5086"/>
      <c r="M195" s="5086"/>
      <c r="N195" s="5086"/>
      <c r="O195" s="5085"/>
      <c r="P195" s="5085"/>
      <c r="Q195" s="5088"/>
      <c r="R195" s="5120"/>
      <c r="S195" s="5102"/>
      <c r="T195" s="5088"/>
      <c r="U195" s="5089"/>
      <c r="V195" s="2194" t="s">
        <v>1808</v>
      </c>
      <c r="W195" s="2202">
        <v>8000000</v>
      </c>
      <c r="X195" s="2203">
        <v>8000000</v>
      </c>
      <c r="Y195" s="2203">
        <v>5596000</v>
      </c>
      <c r="Z195" s="2143">
        <v>61</v>
      </c>
      <c r="AA195" s="5085"/>
      <c r="AB195" s="5085"/>
      <c r="AC195" s="5085"/>
      <c r="AD195" s="5085"/>
      <c r="AE195" s="5085"/>
      <c r="AF195" s="5085"/>
      <c r="AG195" s="5085"/>
      <c r="AH195" s="5085"/>
      <c r="AI195" s="5085"/>
      <c r="AJ195" s="5085"/>
      <c r="AK195" s="5085"/>
      <c r="AL195" s="5085"/>
      <c r="AM195" s="5085"/>
      <c r="AN195" s="5085"/>
      <c r="AO195" s="5085"/>
      <c r="AP195" s="5085"/>
      <c r="AQ195" s="5085"/>
      <c r="AR195" s="5085"/>
      <c r="AS195" s="5085"/>
      <c r="AT195" s="5085"/>
      <c r="AU195" s="5085"/>
      <c r="AV195" s="5085"/>
      <c r="AW195" s="5085"/>
      <c r="AX195" s="5085"/>
      <c r="AY195" s="5085"/>
      <c r="AZ195" s="5085"/>
      <c r="BA195" s="5085"/>
      <c r="BB195" s="5085"/>
      <c r="BC195" s="5085"/>
      <c r="BD195" s="5085"/>
      <c r="BE195" s="5085"/>
      <c r="BF195" s="5085"/>
      <c r="BG195" s="5085"/>
      <c r="BH195" s="5095"/>
      <c r="BI195" s="3822"/>
      <c r="BJ195" s="3822"/>
      <c r="BK195" s="5092"/>
      <c r="BL195" s="5095"/>
      <c r="BM195" s="5095"/>
      <c r="BN195" s="5079"/>
      <c r="BO195" s="5079"/>
      <c r="BP195" s="5079"/>
      <c r="BQ195" s="5079"/>
      <c r="BR195" s="5082"/>
    </row>
    <row r="196" spans="1:70" ht="66.75" customHeight="1" x14ac:dyDescent="0.2">
      <c r="A196" s="2136"/>
      <c r="B196" s="2137"/>
      <c r="C196" s="2138"/>
      <c r="D196" s="2137"/>
      <c r="E196" s="2137"/>
      <c r="F196" s="2138"/>
      <c r="G196" s="2145"/>
      <c r="H196" s="2137"/>
      <c r="I196" s="2138"/>
      <c r="J196" s="5110">
        <v>150</v>
      </c>
      <c r="K196" s="5087" t="s">
        <v>1809</v>
      </c>
      <c r="L196" s="5084" t="s">
        <v>1581</v>
      </c>
      <c r="M196" s="5084">
        <v>14</v>
      </c>
      <c r="N196" s="5084">
        <v>14</v>
      </c>
      <c r="O196" s="5085"/>
      <c r="P196" s="5085"/>
      <c r="Q196" s="5088"/>
      <c r="R196" s="5118">
        <f>(W196+W199+W200+W197+W198)/S190</f>
        <v>0.36842105263157893</v>
      </c>
      <c r="S196" s="5102"/>
      <c r="T196" s="5088"/>
      <c r="U196" s="5087" t="s">
        <v>1810</v>
      </c>
      <c r="V196" s="2194" t="s">
        <v>1811</v>
      </c>
      <c r="W196" s="2202">
        <v>5000000</v>
      </c>
      <c r="X196" s="2203">
        <v>4900000</v>
      </c>
      <c r="Y196" s="2203">
        <v>3357600</v>
      </c>
      <c r="Z196" s="2143">
        <v>61</v>
      </c>
      <c r="AA196" s="5085"/>
      <c r="AB196" s="5085"/>
      <c r="AC196" s="5085"/>
      <c r="AD196" s="5085"/>
      <c r="AE196" s="5085"/>
      <c r="AF196" s="5085"/>
      <c r="AG196" s="5085"/>
      <c r="AH196" s="5085"/>
      <c r="AI196" s="5085"/>
      <c r="AJ196" s="5085"/>
      <c r="AK196" s="5085"/>
      <c r="AL196" s="5085"/>
      <c r="AM196" s="5085"/>
      <c r="AN196" s="5085"/>
      <c r="AO196" s="5085"/>
      <c r="AP196" s="5085"/>
      <c r="AQ196" s="5085"/>
      <c r="AR196" s="5085"/>
      <c r="AS196" s="5085"/>
      <c r="AT196" s="5085"/>
      <c r="AU196" s="5085"/>
      <c r="AV196" s="5085"/>
      <c r="AW196" s="5085"/>
      <c r="AX196" s="5085"/>
      <c r="AY196" s="5085"/>
      <c r="AZ196" s="5085"/>
      <c r="BA196" s="5085"/>
      <c r="BB196" s="5085"/>
      <c r="BC196" s="5085"/>
      <c r="BD196" s="5085"/>
      <c r="BE196" s="5085"/>
      <c r="BF196" s="5085"/>
      <c r="BG196" s="5085"/>
      <c r="BH196" s="5095"/>
      <c r="BI196" s="3822"/>
      <c r="BJ196" s="3822"/>
      <c r="BK196" s="5092"/>
      <c r="BL196" s="5095"/>
      <c r="BM196" s="5095"/>
      <c r="BN196" s="5079"/>
      <c r="BO196" s="5079"/>
      <c r="BP196" s="5079"/>
      <c r="BQ196" s="5079"/>
      <c r="BR196" s="5082"/>
    </row>
    <row r="197" spans="1:70" ht="68.25" customHeight="1" x14ac:dyDescent="0.2">
      <c r="A197" s="2136"/>
      <c r="B197" s="2137"/>
      <c r="C197" s="2138"/>
      <c r="D197" s="2137"/>
      <c r="E197" s="2137"/>
      <c r="F197" s="2138"/>
      <c r="G197" s="2145"/>
      <c r="H197" s="2137"/>
      <c r="I197" s="2138"/>
      <c r="J197" s="5111"/>
      <c r="K197" s="5088"/>
      <c r="L197" s="5085"/>
      <c r="M197" s="5085"/>
      <c r="N197" s="5085"/>
      <c r="O197" s="5085"/>
      <c r="P197" s="5085"/>
      <c r="Q197" s="5088"/>
      <c r="R197" s="5119"/>
      <c r="S197" s="5102"/>
      <c r="T197" s="5088"/>
      <c r="U197" s="5088"/>
      <c r="V197" s="2194" t="s">
        <v>1812</v>
      </c>
      <c r="W197" s="2202">
        <v>5000000</v>
      </c>
      <c r="X197" s="2203">
        <v>4900000</v>
      </c>
      <c r="Y197" s="2203">
        <v>3357600</v>
      </c>
      <c r="Z197" s="2143">
        <v>61</v>
      </c>
      <c r="AA197" s="5085"/>
      <c r="AB197" s="5085"/>
      <c r="AC197" s="5085"/>
      <c r="AD197" s="5085"/>
      <c r="AE197" s="5085"/>
      <c r="AF197" s="5085"/>
      <c r="AG197" s="5085"/>
      <c r="AH197" s="5085"/>
      <c r="AI197" s="5085"/>
      <c r="AJ197" s="5085"/>
      <c r="AK197" s="5085"/>
      <c r="AL197" s="5085"/>
      <c r="AM197" s="5085"/>
      <c r="AN197" s="5085"/>
      <c r="AO197" s="5085"/>
      <c r="AP197" s="5085"/>
      <c r="AQ197" s="5085"/>
      <c r="AR197" s="5085"/>
      <c r="AS197" s="5085"/>
      <c r="AT197" s="5085"/>
      <c r="AU197" s="5085"/>
      <c r="AV197" s="5085"/>
      <c r="AW197" s="5085"/>
      <c r="AX197" s="5085"/>
      <c r="AY197" s="5085"/>
      <c r="AZ197" s="5085"/>
      <c r="BA197" s="5085"/>
      <c r="BB197" s="5085"/>
      <c r="BC197" s="5085"/>
      <c r="BD197" s="5085"/>
      <c r="BE197" s="5085"/>
      <c r="BF197" s="5085"/>
      <c r="BG197" s="5085"/>
      <c r="BH197" s="5095"/>
      <c r="BI197" s="3822"/>
      <c r="BJ197" s="3822"/>
      <c r="BK197" s="5092"/>
      <c r="BL197" s="5095"/>
      <c r="BM197" s="5095"/>
      <c r="BN197" s="5079"/>
      <c r="BO197" s="5079"/>
      <c r="BP197" s="5079"/>
      <c r="BQ197" s="5079"/>
      <c r="BR197" s="5082"/>
    </row>
    <row r="198" spans="1:70" ht="94.5" customHeight="1" x14ac:dyDescent="0.2">
      <c r="A198" s="2136"/>
      <c r="B198" s="2137"/>
      <c r="C198" s="2138"/>
      <c r="D198" s="2137"/>
      <c r="E198" s="2137"/>
      <c r="F198" s="2138"/>
      <c r="G198" s="2145"/>
      <c r="H198" s="2137"/>
      <c r="I198" s="2138"/>
      <c r="J198" s="5111"/>
      <c r="K198" s="5088"/>
      <c r="L198" s="5085"/>
      <c r="M198" s="5085"/>
      <c r="N198" s="5085"/>
      <c r="O198" s="5085"/>
      <c r="P198" s="5085"/>
      <c r="Q198" s="5088"/>
      <c r="R198" s="5119"/>
      <c r="S198" s="5102"/>
      <c r="T198" s="5088"/>
      <c r="U198" s="5088"/>
      <c r="V198" s="2194" t="s">
        <v>1813</v>
      </c>
      <c r="W198" s="2202">
        <v>5000000</v>
      </c>
      <c r="X198" s="2203">
        <f>4906000+40000</f>
        <v>4946000</v>
      </c>
      <c r="Y198" s="2203">
        <v>3357600</v>
      </c>
      <c r="Z198" s="2143">
        <v>61</v>
      </c>
      <c r="AA198" s="5085"/>
      <c r="AB198" s="5085"/>
      <c r="AC198" s="5085"/>
      <c r="AD198" s="5085"/>
      <c r="AE198" s="5085"/>
      <c r="AF198" s="5085"/>
      <c r="AG198" s="5085"/>
      <c r="AH198" s="5085"/>
      <c r="AI198" s="5085"/>
      <c r="AJ198" s="5085"/>
      <c r="AK198" s="5085"/>
      <c r="AL198" s="5085"/>
      <c r="AM198" s="5085"/>
      <c r="AN198" s="5085"/>
      <c r="AO198" s="5085"/>
      <c r="AP198" s="5085"/>
      <c r="AQ198" s="5085"/>
      <c r="AR198" s="5085"/>
      <c r="AS198" s="5085"/>
      <c r="AT198" s="5085"/>
      <c r="AU198" s="5085"/>
      <c r="AV198" s="5085"/>
      <c r="AW198" s="5085"/>
      <c r="AX198" s="5085"/>
      <c r="AY198" s="5085"/>
      <c r="AZ198" s="5085"/>
      <c r="BA198" s="5085"/>
      <c r="BB198" s="5085"/>
      <c r="BC198" s="5085"/>
      <c r="BD198" s="5085"/>
      <c r="BE198" s="5085"/>
      <c r="BF198" s="5085"/>
      <c r="BG198" s="5085"/>
      <c r="BH198" s="5095"/>
      <c r="BI198" s="3822"/>
      <c r="BJ198" s="3822"/>
      <c r="BK198" s="5092"/>
      <c r="BL198" s="5095"/>
      <c r="BM198" s="5095"/>
      <c r="BN198" s="5079"/>
      <c r="BO198" s="5079"/>
      <c r="BP198" s="5079"/>
      <c r="BQ198" s="5079"/>
      <c r="BR198" s="5082"/>
    </row>
    <row r="199" spans="1:70" ht="58.5" customHeight="1" x14ac:dyDescent="0.2">
      <c r="A199" s="2136"/>
      <c r="B199" s="2137"/>
      <c r="C199" s="2138"/>
      <c r="D199" s="2137"/>
      <c r="E199" s="2137"/>
      <c r="F199" s="2138"/>
      <c r="G199" s="2145"/>
      <c r="H199" s="2137"/>
      <c r="I199" s="2138"/>
      <c r="J199" s="5111"/>
      <c r="K199" s="5088"/>
      <c r="L199" s="5085"/>
      <c r="M199" s="5085"/>
      <c r="N199" s="5085"/>
      <c r="O199" s="5085"/>
      <c r="P199" s="5085"/>
      <c r="Q199" s="5088"/>
      <c r="R199" s="5119"/>
      <c r="S199" s="5102"/>
      <c r="T199" s="5088"/>
      <c r="U199" s="5088"/>
      <c r="V199" s="2194" t="s">
        <v>1814</v>
      </c>
      <c r="W199" s="2202">
        <v>5000000</v>
      </c>
      <c r="X199" s="2203">
        <v>4800000</v>
      </c>
      <c r="Y199" s="2203">
        <v>3357600</v>
      </c>
      <c r="Z199" s="2143">
        <v>61</v>
      </c>
      <c r="AA199" s="5085"/>
      <c r="AB199" s="5085"/>
      <c r="AC199" s="5085"/>
      <c r="AD199" s="5085"/>
      <c r="AE199" s="5085"/>
      <c r="AF199" s="5085"/>
      <c r="AG199" s="5085"/>
      <c r="AH199" s="5085"/>
      <c r="AI199" s="5085"/>
      <c r="AJ199" s="5085"/>
      <c r="AK199" s="5085"/>
      <c r="AL199" s="5085"/>
      <c r="AM199" s="5085"/>
      <c r="AN199" s="5085"/>
      <c r="AO199" s="5085"/>
      <c r="AP199" s="5085"/>
      <c r="AQ199" s="5085"/>
      <c r="AR199" s="5085"/>
      <c r="AS199" s="5085"/>
      <c r="AT199" s="5085"/>
      <c r="AU199" s="5085"/>
      <c r="AV199" s="5085"/>
      <c r="AW199" s="5085"/>
      <c r="AX199" s="5085"/>
      <c r="AY199" s="5085"/>
      <c r="AZ199" s="5085"/>
      <c r="BA199" s="5085"/>
      <c r="BB199" s="5085"/>
      <c r="BC199" s="5085"/>
      <c r="BD199" s="5085"/>
      <c r="BE199" s="5085"/>
      <c r="BF199" s="5085"/>
      <c r="BG199" s="5085"/>
      <c r="BH199" s="5095"/>
      <c r="BI199" s="3822"/>
      <c r="BJ199" s="3822"/>
      <c r="BK199" s="5092"/>
      <c r="BL199" s="5095"/>
      <c r="BM199" s="5095"/>
      <c r="BN199" s="5079"/>
      <c r="BO199" s="5079"/>
      <c r="BP199" s="5079"/>
      <c r="BQ199" s="5079"/>
      <c r="BR199" s="5082"/>
    </row>
    <row r="200" spans="1:70" ht="59.25" customHeight="1" x14ac:dyDescent="0.2">
      <c r="A200" s="2136"/>
      <c r="B200" s="2137"/>
      <c r="C200" s="2138"/>
      <c r="D200" s="2137"/>
      <c r="E200" s="2137"/>
      <c r="F200" s="2138"/>
      <c r="G200" s="2149"/>
      <c r="H200" s="2147"/>
      <c r="I200" s="2148"/>
      <c r="J200" s="5112"/>
      <c r="K200" s="5089"/>
      <c r="L200" s="5086"/>
      <c r="M200" s="5086"/>
      <c r="N200" s="5086"/>
      <c r="O200" s="5086"/>
      <c r="P200" s="5086"/>
      <c r="Q200" s="5089"/>
      <c r="R200" s="5120"/>
      <c r="S200" s="5121"/>
      <c r="T200" s="5089"/>
      <c r="U200" s="5089"/>
      <c r="V200" s="2194" t="s">
        <v>1815</v>
      </c>
      <c r="W200" s="2202">
        <v>8000000</v>
      </c>
      <c r="X200" s="2203">
        <v>8000000</v>
      </c>
      <c r="Y200" s="2203">
        <v>3357600</v>
      </c>
      <c r="Z200" s="2143">
        <v>61</v>
      </c>
      <c r="AA200" s="5086"/>
      <c r="AB200" s="5086"/>
      <c r="AC200" s="5086"/>
      <c r="AD200" s="5086"/>
      <c r="AE200" s="5086"/>
      <c r="AF200" s="5086"/>
      <c r="AG200" s="5086"/>
      <c r="AH200" s="5086"/>
      <c r="AI200" s="5086"/>
      <c r="AJ200" s="5086"/>
      <c r="AK200" s="5086"/>
      <c r="AL200" s="5086"/>
      <c r="AM200" s="5086"/>
      <c r="AN200" s="5086"/>
      <c r="AO200" s="5086"/>
      <c r="AP200" s="5086"/>
      <c r="AQ200" s="5086"/>
      <c r="AR200" s="5086"/>
      <c r="AS200" s="5086"/>
      <c r="AT200" s="5086"/>
      <c r="AU200" s="5086"/>
      <c r="AV200" s="5086"/>
      <c r="AW200" s="5086"/>
      <c r="AX200" s="5086"/>
      <c r="AY200" s="5086"/>
      <c r="AZ200" s="5086"/>
      <c r="BA200" s="5086"/>
      <c r="BB200" s="5086"/>
      <c r="BC200" s="5086"/>
      <c r="BD200" s="5086"/>
      <c r="BE200" s="5086"/>
      <c r="BF200" s="5086"/>
      <c r="BG200" s="5086"/>
      <c r="BH200" s="5103"/>
      <c r="BI200" s="3823"/>
      <c r="BJ200" s="3823"/>
      <c r="BK200" s="5109"/>
      <c r="BL200" s="5103"/>
      <c r="BM200" s="5103"/>
      <c r="BN200" s="5117"/>
      <c r="BO200" s="5117"/>
      <c r="BP200" s="5117"/>
      <c r="BQ200" s="5117"/>
      <c r="BR200" s="5098"/>
    </row>
    <row r="201" spans="1:70" ht="36" customHeight="1" x14ac:dyDescent="0.2">
      <c r="A201" s="2122"/>
      <c r="B201" s="2123"/>
      <c r="C201" s="2124"/>
      <c r="D201" s="2123"/>
      <c r="E201" s="2123"/>
      <c r="F201" s="2124"/>
      <c r="G201" s="2158">
        <v>43</v>
      </c>
      <c r="H201" s="2128" t="s">
        <v>1816</v>
      </c>
      <c r="I201" s="2128"/>
      <c r="J201" s="2128"/>
      <c r="K201" s="2129"/>
      <c r="L201" s="2128"/>
      <c r="M201" s="2128"/>
      <c r="N201" s="2128"/>
      <c r="O201" s="2130"/>
      <c r="P201" s="2128"/>
      <c r="Q201" s="2129"/>
      <c r="R201" s="2128"/>
      <c r="S201" s="2159"/>
      <c r="T201" s="2129"/>
      <c r="U201" s="2129"/>
      <c r="V201" s="2129"/>
      <c r="W201" s="2204"/>
      <c r="X201" s="2204"/>
      <c r="Y201" s="2204"/>
      <c r="Z201" s="2200"/>
      <c r="AA201" s="2201"/>
      <c r="AB201" s="2130"/>
      <c r="AC201" s="2130"/>
      <c r="AD201" s="2130"/>
      <c r="AE201" s="2130"/>
      <c r="AF201" s="2130"/>
      <c r="AG201" s="2130"/>
      <c r="AH201" s="2130"/>
      <c r="AI201" s="2130"/>
      <c r="AJ201" s="2130"/>
      <c r="AK201" s="2130"/>
      <c r="AL201" s="2130"/>
      <c r="AM201" s="2130"/>
      <c r="AN201" s="2130"/>
      <c r="AO201" s="2130"/>
      <c r="AP201" s="2130"/>
      <c r="AQ201" s="2130"/>
      <c r="AR201" s="2130"/>
      <c r="AS201" s="2130"/>
      <c r="AT201" s="2130"/>
      <c r="AU201" s="2130"/>
      <c r="AV201" s="2130"/>
      <c r="AW201" s="2130"/>
      <c r="AX201" s="2130"/>
      <c r="AY201" s="2130"/>
      <c r="AZ201" s="2130"/>
      <c r="BA201" s="2130"/>
      <c r="BB201" s="2130"/>
      <c r="BC201" s="2130"/>
      <c r="BD201" s="2130"/>
      <c r="BE201" s="2130"/>
      <c r="BF201" s="2130"/>
      <c r="BG201" s="2130"/>
      <c r="BH201" s="2130"/>
      <c r="BI201" s="2162"/>
      <c r="BJ201" s="2162"/>
      <c r="BK201" s="2130"/>
      <c r="BL201" s="2130"/>
      <c r="BM201" s="2130"/>
      <c r="BN201" s="2128"/>
      <c r="BO201" s="2128"/>
      <c r="BP201" s="2128"/>
      <c r="BQ201" s="2128"/>
      <c r="BR201" s="2135"/>
    </row>
    <row r="202" spans="1:70" ht="81.75" customHeight="1" x14ac:dyDescent="0.2">
      <c r="A202" s="2164"/>
      <c r="B202" s="2165"/>
      <c r="C202" s="2166"/>
      <c r="D202" s="2165"/>
      <c r="E202" s="2165"/>
      <c r="F202" s="2166"/>
      <c r="G202" s="2167"/>
      <c r="H202" s="2168"/>
      <c r="I202" s="2169"/>
      <c r="J202" s="5110">
        <v>151</v>
      </c>
      <c r="K202" s="5113" t="s">
        <v>1817</v>
      </c>
      <c r="L202" s="5151" t="s">
        <v>1581</v>
      </c>
      <c r="M202" s="5151">
        <v>12</v>
      </c>
      <c r="N202" s="5151">
        <v>12</v>
      </c>
      <c r="O202" s="2833"/>
      <c r="P202" s="5084" t="s">
        <v>1818</v>
      </c>
      <c r="Q202" s="5087" t="s">
        <v>1819</v>
      </c>
      <c r="R202" s="5118">
        <f>SUM(W202:W206)/S202</f>
        <v>7.1805462249808105E-2</v>
      </c>
      <c r="S202" s="5101">
        <f>SUM(W202:W216)</f>
        <v>1615475987</v>
      </c>
      <c r="T202" s="5087" t="s">
        <v>1820</v>
      </c>
      <c r="U202" s="5087" t="s">
        <v>1821</v>
      </c>
      <c r="V202" s="2194" t="s">
        <v>1822</v>
      </c>
      <c r="W202" s="2203">
        <v>15000000</v>
      </c>
      <c r="X202" s="2203">
        <v>15000000</v>
      </c>
      <c r="Y202" s="2203">
        <v>14922500</v>
      </c>
      <c r="Z202" s="2143">
        <v>61</v>
      </c>
      <c r="AA202" s="5084" t="s">
        <v>1823</v>
      </c>
      <c r="AB202" s="5084">
        <v>292684</v>
      </c>
      <c r="AC202" s="5084">
        <f>SUM(AB202*0.3)</f>
        <v>87805.2</v>
      </c>
      <c r="AD202" s="5084">
        <v>282326</v>
      </c>
      <c r="AE202" s="5084">
        <f t="shared" ref="AE202" si="35">SUM(AD202*0.3)</f>
        <v>84697.8</v>
      </c>
      <c r="AF202" s="5084">
        <v>135912</v>
      </c>
      <c r="AG202" s="5084">
        <f t="shared" ref="AG202" si="36">SUM(AF202*0.3)</f>
        <v>40773.599999999999</v>
      </c>
      <c r="AH202" s="5084">
        <v>45122</v>
      </c>
      <c r="AI202" s="5084">
        <f t="shared" ref="AI202" si="37">SUM(AH202*0.3)</f>
        <v>13536.6</v>
      </c>
      <c r="AJ202" s="5084">
        <v>307101</v>
      </c>
      <c r="AK202" s="5084">
        <v>92130.3</v>
      </c>
      <c r="AL202" s="5084">
        <v>86875</v>
      </c>
      <c r="AM202" s="5084">
        <v>26062.5</v>
      </c>
      <c r="AN202" s="5084">
        <v>2145</v>
      </c>
      <c r="AO202" s="5084">
        <f t="shared" ref="AO202" si="38">SUM(AN202*0.3)</f>
        <v>643.5</v>
      </c>
      <c r="AP202" s="5084">
        <v>12718</v>
      </c>
      <c r="AQ202" s="5084">
        <f t="shared" ref="AQ202" si="39">SUM(AP202*0.3)</f>
        <v>3815.3999999999996</v>
      </c>
      <c r="AR202" s="5084">
        <v>26</v>
      </c>
      <c r="AS202" s="5084">
        <f t="shared" ref="AS202" si="40">SUM(AR202*0.3)</f>
        <v>7.8</v>
      </c>
      <c r="AT202" s="5084">
        <v>37</v>
      </c>
      <c r="AU202" s="5084">
        <f t="shared" ref="AU202" si="41">SUM(AT202*0.3)</f>
        <v>11.1</v>
      </c>
      <c r="AV202" s="5084" t="s">
        <v>1588</v>
      </c>
      <c r="AW202" s="5084" t="s">
        <v>1588</v>
      </c>
      <c r="AX202" s="5084" t="s">
        <v>1588</v>
      </c>
      <c r="AY202" s="5084" t="s">
        <v>1588</v>
      </c>
      <c r="AZ202" s="5084">
        <v>53164</v>
      </c>
      <c r="BA202" s="5084">
        <f t="shared" ref="BA202" si="42">SUM(AZ202*0.3)</f>
        <v>15949.199999999999</v>
      </c>
      <c r="BB202" s="5084">
        <v>16982</v>
      </c>
      <c r="BC202" s="5084">
        <f t="shared" ref="BC202" si="43">SUM(BB202*0.3)</f>
        <v>5094.5999999999995</v>
      </c>
      <c r="BD202" s="5084">
        <v>60013</v>
      </c>
      <c r="BE202" s="5084">
        <f t="shared" ref="BE202" si="44">SUM(BD202*0.3)</f>
        <v>18003.899999999998</v>
      </c>
      <c r="BF202" s="5084">
        <v>575010</v>
      </c>
      <c r="BG202" s="5084">
        <f t="shared" ref="BG202" si="45">SUM(BF202*0.3)</f>
        <v>172503</v>
      </c>
      <c r="BH202" s="5094">
        <v>36</v>
      </c>
      <c r="BI202" s="3821">
        <f>SUM(X202:X216)</f>
        <v>749776366</v>
      </c>
      <c r="BJ202" s="3821">
        <f>SUM(Y202:Y216)</f>
        <v>623987750</v>
      </c>
      <c r="BK202" s="5091">
        <f>+BJ202/BI202</f>
        <v>0.83223182044124344</v>
      </c>
      <c r="BL202" s="5094" t="s">
        <v>1824</v>
      </c>
      <c r="BM202" s="5094" t="s">
        <v>1590</v>
      </c>
      <c r="BN202" s="5194">
        <f>+BN190</f>
        <v>43467</v>
      </c>
      <c r="BO202" s="5194">
        <v>43830</v>
      </c>
      <c r="BP202" s="5194">
        <v>43830</v>
      </c>
      <c r="BQ202" s="5194">
        <v>43830</v>
      </c>
      <c r="BR202" s="5081" t="s">
        <v>1591</v>
      </c>
    </row>
    <row r="203" spans="1:70" ht="29.25" customHeight="1" x14ac:dyDescent="0.2">
      <c r="A203" s="2164"/>
      <c r="B203" s="2165"/>
      <c r="C203" s="2166"/>
      <c r="D203" s="2165"/>
      <c r="E203" s="2165"/>
      <c r="F203" s="2166"/>
      <c r="G203" s="2171"/>
      <c r="H203" s="2165"/>
      <c r="I203" s="2166"/>
      <c r="J203" s="5111"/>
      <c r="K203" s="5114"/>
      <c r="L203" s="5151"/>
      <c r="M203" s="5151"/>
      <c r="N203" s="5151"/>
      <c r="O203" s="2834"/>
      <c r="P203" s="5085"/>
      <c r="Q203" s="5088"/>
      <c r="R203" s="5119"/>
      <c r="S203" s="5102"/>
      <c r="T203" s="5088"/>
      <c r="U203" s="5088"/>
      <c r="V203" s="5170" t="s">
        <v>1825</v>
      </c>
      <c r="W203" s="2203">
        <v>9000000</v>
      </c>
      <c r="X203" s="2203">
        <v>9000000</v>
      </c>
      <c r="Y203" s="2203">
        <v>9000000</v>
      </c>
      <c r="Z203" s="2143">
        <v>61</v>
      </c>
      <c r="AA203" s="5085"/>
      <c r="AB203" s="5085"/>
      <c r="AC203" s="5085"/>
      <c r="AD203" s="5085"/>
      <c r="AE203" s="5085"/>
      <c r="AF203" s="5085"/>
      <c r="AG203" s="5085"/>
      <c r="AH203" s="5085"/>
      <c r="AI203" s="5085"/>
      <c r="AJ203" s="5085"/>
      <c r="AK203" s="5085"/>
      <c r="AL203" s="5085"/>
      <c r="AM203" s="5085"/>
      <c r="AN203" s="5085"/>
      <c r="AO203" s="5085"/>
      <c r="AP203" s="5085"/>
      <c r="AQ203" s="5085"/>
      <c r="AR203" s="5085"/>
      <c r="AS203" s="5085"/>
      <c r="AT203" s="5085"/>
      <c r="AU203" s="5085"/>
      <c r="AV203" s="5085"/>
      <c r="AW203" s="5085"/>
      <c r="AX203" s="5085"/>
      <c r="AY203" s="5085"/>
      <c r="AZ203" s="5085"/>
      <c r="BA203" s="5085"/>
      <c r="BB203" s="5085"/>
      <c r="BC203" s="5085"/>
      <c r="BD203" s="5085"/>
      <c r="BE203" s="5085"/>
      <c r="BF203" s="5085"/>
      <c r="BG203" s="5085"/>
      <c r="BH203" s="5095"/>
      <c r="BI203" s="3822"/>
      <c r="BJ203" s="3822"/>
      <c r="BK203" s="5092"/>
      <c r="BL203" s="5095"/>
      <c r="BM203" s="5095"/>
      <c r="BN203" s="5195"/>
      <c r="BO203" s="5195"/>
      <c r="BP203" s="5195"/>
      <c r="BQ203" s="5195"/>
      <c r="BR203" s="5082"/>
    </row>
    <row r="204" spans="1:70" ht="30" customHeight="1" x14ac:dyDescent="0.2">
      <c r="A204" s="2164"/>
      <c r="B204" s="2165"/>
      <c r="C204" s="2166"/>
      <c r="D204" s="2165"/>
      <c r="E204" s="2165"/>
      <c r="F204" s="2166"/>
      <c r="G204" s="2171"/>
      <c r="H204" s="2165"/>
      <c r="I204" s="2166"/>
      <c r="J204" s="5111"/>
      <c r="K204" s="5114"/>
      <c r="L204" s="5151"/>
      <c r="M204" s="5151"/>
      <c r="N204" s="5151"/>
      <c r="O204" s="2834"/>
      <c r="P204" s="5085"/>
      <c r="Q204" s="5088"/>
      <c r="R204" s="5119"/>
      <c r="S204" s="5102"/>
      <c r="T204" s="5088"/>
      <c r="U204" s="5088"/>
      <c r="V204" s="5171"/>
      <c r="W204" s="2203">
        <v>36000000</v>
      </c>
      <c r="X204" s="2203">
        <v>35160600</v>
      </c>
      <c r="Y204" s="2203">
        <v>27980000</v>
      </c>
      <c r="Z204" s="2143">
        <v>20</v>
      </c>
      <c r="AA204" s="5085"/>
      <c r="AB204" s="5085"/>
      <c r="AC204" s="5085"/>
      <c r="AD204" s="5085"/>
      <c r="AE204" s="5085"/>
      <c r="AF204" s="5085"/>
      <c r="AG204" s="5085"/>
      <c r="AH204" s="5085"/>
      <c r="AI204" s="5085"/>
      <c r="AJ204" s="5085"/>
      <c r="AK204" s="5085"/>
      <c r="AL204" s="5085"/>
      <c r="AM204" s="5085"/>
      <c r="AN204" s="5085"/>
      <c r="AO204" s="5085"/>
      <c r="AP204" s="5085"/>
      <c r="AQ204" s="5085"/>
      <c r="AR204" s="5085"/>
      <c r="AS204" s="5085"/>
      <c r="AT204" s="5085"/>
      <c r="AU204" s="5085"/>
      <c r="AV204" s="5085"/>
      <c r="AW204" s="5085"/>
      <c r="AX204" s="5085"/>
      <c r="AY204" s="5085"/>
      <c r="AZ204" s="5085"/>
      <c r="BA204" s="5085"/>
      <c r="BB204" s="5085"/>
      <c r="BC204" s="5085"/>
      <c r="BD204" s="5085"/>
      <c r="BE204" s="5085"/>
      <c r="BF204" s="5085"/>
      <c r="BG204" s="5085"/>
      <c r="BH204" s="5095"/>
      <c r="BI204" s="3822"/>
      <c r="BJ204" s="3822"/>
      <c r="BK204" s="5092"/>
      <c r="BL204" s="5095"/>
      <c r="BM204" s="5095"/>
      <c r="BN204" s="5195"/>
      <c r="BO204" s="5195"/>
      <c r="BP204" s="5195"/>
      <c r="BQ204" s="5195"/>
      <c r="BR204" s="5082"/>
    </row>
    <row r="205" spans="1:70" ht="48.75" customHeight="1" x14ac:dyDescent="0.2">
      <c r="A205" s="2164"/>
      <c r="B205" s="2165"/>
      <c r="C205" s="2166"/>
      <c r="D205" s="2165"/>
      <c r="E205" s="2165"/>
      <c r="F205" s="2166"/>
      <c r="G205" s="2171"/>
      <c r="H205" s="2165"/>
      <c r="I205" s="2166"/>
      <c r="J205" s="5111"/>
      <c r="K205" s="5114"/>
      <c r="L205" s="5151"/>
      <c r="M205" s="5151"/>
      <c r="N205" s="5151"/>
      <c r="O205" s="2834"/>
      <c r="P205" s="5085"/>
      <c r="Q205" s="5088"/>
      <c r="R205" s="5119"/>
      <c r="S205" s="5102"/>
      <c r="T205" s="5088"/>
      <c r="U205" s="5088"/>
      <c r="V205" s="5182"/>
      <c r="W205" s="2203">
        <v>32000000</v>
      </c>
      <c r="X205" s="2203">
        <v>31701500</v>
      </c>
      <c r="Y205" s="2203">
        <v>7769000</v>
      </c>
      <c r="Z205" s="2143">
        <v>98</v>
      </c>
      <c r="AA205" s="5085"/>
      <c r="AB205" s="5085"/>
      <c r="AC205" s="5085"/>
      <c r="AD205" s="5085"/>
      <c r="AE205" s="5085"/>
      <c r="AF205" s="5085"/>
      <c r="AG205" s="5085"/>
      <c r="AH205" s="5085"/>
      <c r="AI205" s="5085"/>
      <c r="AJ205" s="5085"/>
      <c r="AK205" s="5085"/>
      <c r="AL205" s="5085"/>
      <c r="AM205" s="5085"/>
      <c r="AN205" s="5085"/>
      <c r="AO205" s="5085"/>
      <c r="AP205" s="5085"/>
      <c r="AQ205" s="5085"/>
      <c r="AR205" s="5085"/>
      <c r="AS205" s="5085"/>
      <c r="AT205" s="5085"/>
      <c r="AU205" s="5085"/>
      <c r="AV205" s="5085"/>
      <c r="AW205" s="5085"/>
      <c r="AX205" s="5085"/>
      <c r="AY205" s="5085"/>
      <c r="AZ205" s="5085"/>
      <c r="BA205" s="5085"/>
      <c r="BB205" s="5085"/>
      <c r="BC205" s="5085"/>
      <c r="BD205" s="5085"/>
      <c r="BE205" s="5085"/>
      <c r="BF205" s="5085"/>
      <c r="BG205" s="5085"/>
      <c r="BH205" s="5095"/>
      <c r="BI205" s="3822"/>
      <c r="BJ205" s="3822"/>
      <c r="BK205" s="5092"/>
      <c r="BL205" s="5095"/>
      <c r="BM205" s="5095"/>
      <c r="BN205" s="5195"/>
      <c r="BO205" s="5195"/>
      <c r="BP205" s="5195"/>
      <c r="BQ205" s="5195"/>
      <c r="BR205" s="5082"/>
    </row>
    <row r="206" spans="1:70" ht="99" customHeight="1" x14ac:dyDescent="0.2">
      <c r="A206" s="2164"/>
      <c r="B206" s="2165"/>
      <c r="C206" s="2166"/>
      <c r="D206" s="2165"/>
      <c r="E206" s="2165"/>
      <c r="F206" s="2166"/>
      <c r="G206" s="2171"/>
      <c r="H206" s="2165"/>
      <c r="I206" s="2166"/>
      <c r="J206" s="5111"/>
      <c r="K206" s="5114"/>
      <c r="L206" s="5084"/>
      <c r="M206" s="5084"/>
      <c r="N206" s="5084"/>
      <c r="O206" s="2834"/>
      <c r="P206" s="5085"/>
      <c r="Q206" s="5088"/>
      <c r="R206" s="5120"/>
      <c r="S206" s="5102"/>
      <c r="T206" s="5088"/>
      <c r="U206" s="5089"/>
      <c r="V206" s="2194" t="s">
        <v>1826</v>
      </c>
      <c r="W206" s="2203">
        <v>24000000</v>
      </c>
      <c r="X206" s="2203">
        <v>23995000</v>
      </c>
      <c r="Y206" s="2203">
        <v>14922500</v>
      </c>
      <c r="Z206" s="2143">
        <v>61</v>
      </c>
      <c r="AA206" s="5085"/>
      <c r="AB206" s="5085"/>
      <c r="AC206" s="5085"/>
      <c r="AD206" s="5085"/>
      <c r="AE206" s="5085"/>
      <c r="AF206" s="5085"/>
      <c r="AG206" s="5085"/>
      <c r="AH206" s="5085"/>
      <c r="AI206" s="5085"/>
      <c r="AJ206" s="5085"/>
      <c r="AK206" s="5085"/>
      <c r="AL206" s="5085"/>
      <c r="AM206" s="5085"/>
      <c r="AN206" s="5085"/>
      <c r="AO206" s="5085"/>
      <c r="AP206" s="5085"/>
      <c r="AQ206" s="5085"/>
      <c r="AR206" s="5085"/>
      <c r="AS206" s="5085"/>
      <c r="AT206" s="5085"/>
      <c r="AU206" s="5085"/>
      <c r="AV206" s="5085"/>
      <c r="AW206" s="5085"/>
      <c r="AX206" s="5085"/>
      <c r="AY206" s="5085"/>
      <c r="AZ206" s="5085"/>
      <c r="BA206" s="5085"/>
      <c r="BB206" s="5085"/>
      <c r="BC206" s="5085"/>
      <c r="BD206" s="5085"/>
      <c r="BE206" s="5085"/>
      <c r="BF206" s="5085"/>
      <c r="BG206" s="5085"/>
      <c r="BH206" s="5095"/>
      <c r="BI206" s="3822"/>
      <c r="BJ206" s="3822"/>
      <c r="BK206" s="5092"/>
      <c r="BL206" s="5095"/>
      <c r="BM206" s="5095"/>
      <c r="BN206" s="5195"/>
      <c r="BO206" s="5195"/>
      <c r="BP206" s="5195"/>
      <c r="BQ206" s="5195"/>
      <c r="BR206" s="5082"/>
    </row>
    <row r="207" spans="1:70" ht="43.5" customHeight="1" x14ac:dyDescent="0.2">
      <c r="A207" s="2164"/>
      <c r="B207" s="2165"/>
      <c r="C207" s="2166"/>
      <c r="D207" s="2165"/>
      <c r="E207" s="2165"/>
      <c r="F207" s="2166"/>
      <c r="G207" s="2171"/>
      <c r="H207" s="2165"/>
      <c r="I207" s="2165"/>
      <c r="J207" s="5128">
        <v>152</v>
      </c>
      <c r="K207" s="5190" t="s">
        <v>1827</v>
      </c>
      <c r="L207" s="5200" t="s">
        <v>1581</v>
      </c>
      <c r="M207" s="5200">
        <v>1</v>
      </c>
      <c r="N207" s="5200">
        <v>1</v>
      </c>
      <c r="O207" s="2851" t="s">
        <v>1828</v>
      </c>
      <c r="P207" s="5085"/>
      <c r="Q207" s="5088"/>
      <c r="R207" s="5118">
        <f>SUM(W207:W208)/S202</f>
        <v>4.0854831969718411E-2</v>
      </c>
      <c r="S207" s="5102"/>
      <c r="T207" s="5088"/>
      <c r="U207" s="5087" t="s">
        <v>1829</v>
      </c>
      <c r="V207" s="5170" t="s">
        <v>1830</v>
      </c>
      <c r="W207" s="2202">
        <v>48000000</v>
      </c>
      <c r="X207" s="2203">
        <v>47072333</v>
      </c>
      <c r="Y207" s="2203">
        <v>39590000</v>
      </c>
      <c r="Z207" s="2143">
        <v>61</v>
      </c>
      <c r="AA207" s="5085"/>
      <c r="AB207" s="5085"/>
      <c r="AC207" s="5085"/>
      <c r="AD207" s="5085"/>
      <c r="AE207" s="5085"/>
      <c r="AF207" s="5085"/>
      <c r="AG207" s="5085"/>
      <c r="AH207" s="5085"/>
      <c r="AI207" s="5085"/>
      <c r="AJ207" s="5085"/>
      <c r="AK207" s="5085"/>
      <c r="AL207" s="5085"/>
      <c r="AM207" s="5085"/>
      <c r="AN207" s="5085"/>
      <c r="AO207" s="5085"/>
      <c r="AP207" s="5085"/>
      <c r="AQ207" s="5085"/>
      <c r="AR207" s="5085"/>
      <c r="AS207" s="5085"/>
      <c r="AT207" s="5085"/>
      <c r="AU207" s="5085"/>
      <c r="AV207" s="5085"/>
      <c r="AW207" s="5085"/>
      <c r="AX207" s="5085"/>
      <c r="AY207" s="5085"/>
      <c r="AZ207" s="5085"/>
      <c r="BA207" s="5085"/>
      <c r="BB207" s="5085"/>
      <c r="BC207" s="5085"/>
      <c r="BD207" s="5085"/>
      <c r="BE207" s="5085"/>
      <c r="BF207" s="5085"/>
      <c r="BG207" s="5085"/>
      <c r="BH207" s="5095"/>
      <c r="BI207" s="3822"/>
      <c r="BJ207" s="3822"/>
      <c r="BK207" s="5092"/>
      <c r="BL207" s="5095"/>
      <c r="BM207" s="5095"/>
      <c r="BN207" s="5195"/>
      <c r="BO207" s="5195"/>
      <c r="BP207" s="5195"/>
      <c r="BQ207" s="5195"/>
      <c r="BR207" s="5082"/>
    </row>
    <row r="208" spans="1:70" ht="69.75" customHeight="1" x14ac:dyDescent="0.2">
      <c r="A208" s="2164"/>
      <c r="B208" s="2165"/>
      <c r="C208" s="2166"/>
      <c r="D208" s="2165"/>
      <c r="E208" s="2165"/>
      <c r="F208" s="2166"/>
      <c r="G208" s="2171"/>
      <c r="H208" s="2165"/>
      <c r="I208" s="2165"/>
      <c r="J208" s="5128"/>
      <c r="K208" s="5190"/>
      <c r="L208" s="5200"/>
      <c r="M208" s="5200"/>
      <c r="N208" s="5200"/>
      <c r="O208" s="2851"/>
      <c r="P208" s="5085"/>
      <c r="Q208" s="5088"/>
      <c r="R208" s="5120"/>
      <c r="S208" s="5102"/>
      <c r="T208" s="5088"/>
      <c r="U208" s="5088"/>
      <c r="V208" s="5182"/>
      <c r="W208" s="2202">
        <v>18000000</v>
      </c>
      <c r="X208" s="2203">
        <v>18000000</v>
      </c>
      <c r="Y208" s="2203">
        <v>4918000</v>
      </c>
      <c r="Z208" s="2143">
        <v>98</v>
      </c>
      <c r="AA208" s="5085"/>
      <c r="AB208" s="5085"/>
      <c r="AC208" s="5085"/>
      <c r="AD208" s="5085"/>
      <c r="AE208" s="5085"/>
      <c r="AF208" s="5085"/>
      <c r="AG208" s="5085"/>
      <c r="AH208" s="5085"/>
      <c r="AI208" s="5085"/>
      <c r="AJ208" s="5085"/>
      <c r="AK208" s="5085"/>
      <c r="AL208" s="5085"/>
      <c r="AM208" s="5085"/>
      <c r="AN208" s="5085"/>
      <c r="AO208" s="5085"/>
      <c r="AP208" s="5085"/>
      <c r="AQ208" s="5085"/>
      <c r="AR208" s="5085"/>
      <c r="AS208" s="5085"/>
      <c r="AT208" s="5085"/>
      <c r="AU208" s="5085"/>
      <c r="AV208" s="5085"/>
      <c r="AW208" s="5085"/>
      <c r="AX208" s="5085"/>
      <c r="AY208" s="5085"/>
      <c r="AZ208" s="5085"/>
      <c r="BA208" s="5085"/>
      <c r="BB208" s="5085"/>
      <c r="BC208" s="5085"/>
      <c r="BD208" s="5085"/>
      <c r="BE208" s="5085"/>
      <c r="BF208" s="5085"/>
      <c r="BG208" s="5085"/>
      <c r="BH208" s="5095"/>
      <c r="BI208" s="3822"/>
      <c r="BJ208" s="3822"/>
      <c r="BK208" s="5092"/>
      <c r="BL208" s="5095"/>
      <c r="BM208" s="5095"/>
      <c r="BN208" s="5195"/>
      <c r="BO208" s="5195"/>
      <c r="BP208" s="5195"/>
      <c r="BQ208" s="5195"/>
      <c r="BR208" s="5082"/>
    </row>
    <row r="209" spans="1:70" ht="87.75" customHeight="1" x14ac:dyDescent="0.2">
      <c r="A209" s="2164"/>
      <c r="B209" s="2165"/>
      <c r="C209" s="2166"/>
      <c r="D209" s="2165"/>
      <c r="E209" s="2165"/>
      <c r="F209" s="2166"/>
      <c r="G209" s="2171"/>
      <c r="H209" s="2165"/>
      <c r="I209" s="2166"/>
      <c r="J209" s="5201">
        <v>153</v>
      </c>
      <c r="K209" s="5114" t="s">
        <v>1831</v>
      </c>
      <c r="L209" s="5085" t="s">
        <v>1581</v>
      </c>
      <c r="M209" s="5085">
        <v>150</v>
      </c>
      <c r="N209" s="5085">
        <v>295</v>
      </c>
      <c r="O209" s="2834" t="s">
        <v>1832</v>
      </c>
      <c r="P209" s="5085"/>
      <c r="Q209" s="5088"/>
      <c r="R209" s="5118">
        <f>SUM(W209:W216)/S202</f>
        <v>0.8873397057804735</v>
      </c>
      <c r="S209" s="5102"/>
      <c r="T209" s="5088"/>
      <c r="U209" s="5088"/>
      <c r="V209" s="2205" t="s">
        <v>1833</v>
      </c>
      <c r="W209" s="2202">
        <v>24000000</v>
      </c>
      <c r="X209" s="2203">
        <v>24000000</v>
      </c>
      <c r="Y209" s="2203">
        <v>24000000</v>
      </c>
      <c r="Z209" s="2143">
        <v>63</v>
      </c>
      <c r="AA209" s="5085"/>
      <c r="AB209" s="5085"/>
      <c r="AC209" s="5085"/>
      <c r="AD209" s="5085"/>
      <c r="AE209" s="5085"/>
      <c r="AF209" s="5085"/>
      <c r="AG209" s="5085"/>
      <c r="AH209" s="5085"/>
      <c r="AI209" s="5085"/>
      <c r="AJ209" s="5085"/>
      <c r="AK209" s="5085"/>
      <c r="AL209" s="5085"/>
      <c r="AM209" s="5085"/>
      <c r="AN209" s="5085"/>
      <c r="AO209" s="5085"/>
      <c r="AP209" s="5085"/>
      <c r="AQ209" s="5085"/>
      <c r="AR209" s="5085"/>
      <c r="AS209" s="5085"/>
      <c r="AT209" s="5085"/>
      <c r="AU209" s="5085"/>
      <c r="AV209" s="5085"/>
      <c r="AW209" s="5085"/>
      <c r="AX209" s="5085"/>
      <c r="AY209" s="5085"/>
      <c r="AZ209" s="5085"/>
      <c r="BA209" s="5085"/>
      <c r="BB209" s="5085"/>
      <c r="BC209" s="5085"/>
      <c r="BD209" s="5085"/>
      <c r="BE209" s="5085"/>
      <c r="BF209" s="5085"/>
      <c r="BG209" s="5085"/>
      <c r="BH209" s="5095"/>
      <c r="BI209" s="3822"/>
      <c r="BJ209" s="3822"/>
      <c r="BK209" s="5092"/>
      <c r="BL209" s="5095"/>
      <c r="BM209" s="5095"/>
      <c r="BN209" s="5195"/>
      <c r="BO209" s="5195"/>
      <c r="BP209" s="5195"/>
      <c r="BQ209" s="5195"/>
      <c r="BR209" s="5082"/>
    </row>
    <row r="210" spans="1:70" ht="33.75" customHeight="1" x14ac:dyDescent="0.2">
      <c r="A210" s="2164"/>
      <c r="B210" s="2165"/>
      <c r="C210" s="2166"/>
      <c r="D210" s="2165"/>
      <c r="E210" s="2165"/>
      <c r="F210" s="2166"/>
      <c r="G210" s="2171"/>
      <c r="H210" s="2165"/>
      <c r="I210" s="2166"/>
      <c r="J210" s="5111"/>
      <c r="K210" s="5114"/>
      <c r="L210" s="5085"/>
      <c r="M210" s="5085"/>
      <c r="N210" s="5085"/>
      <c r="O210" s="2834"/>
      <c r="P210" s="5085"/>
      <c r="Q210" s="5088"/>
      <c r="R210" s="5119"/>
      <c r="S210" s="5102"/>
      <c r="T210" s="5088"/>
      <c r="U210" s="5088"/>
      <c r="V210" s="5170" t="s">
        <v>1834</v>
      </c>
      <c r="W210" s="2202">
        <v>718800528</v>
      </c>
      <c r="X210" s="2203">
        <f>122690000+20000000+2780001+6439998</f>
        <v>151909999</v>
      </c>
      <c r="Y210" s="2203">
        <f>101111616+10818000</f>
        <v>111929616</v>
      </c>
      <c r="Z210" s="2143">
        <v>63</v>
      </c>
      <c r="AA210" s="5085"/>
      <c r="AB210" s="5085"/>
      <c r="AC210" s="5085"/>
      <c r="AD210" s="5085"/>
      <c r="AE210" s="5085"/>
      <c r="AF210" s="5085"/>
      <c r="AG210" s="5085"/>
      <c r="AH210" s="5085"/>
      <c r="AI210" s="5085"/>
      <c r="AJ210" s="5085"/>
      <c r="AK210" s="5085"/>
      <c r="AL210" s="5085"/>
      <c r="AM210" s="5085"/>
      <c r="AN210" s="5085"/>
      <c r="AO210" s="5085"/>
      <c r="AP210" s="5085"/>
      <c r="AQ210" s="5085"/>
      <c r="AR210" s="5085"/>
      <c r="AS210" s="5085"/>
      <c r="AT210" s="5085"/>
      <c r="AU210" s="5085"/>
      <c r="AV210" s="5085"/>
      <c r="AW210" s="5085"/>
      <c r="AX210" s="5085"/>
      <c r="AY210" s="5085"/>
      <c r="AZ210" s="5085"/>
      <c r="BA210" s="5085"/>
      <c r="BB210" s="5085"/>
      <c r="BC210" s="5085"/>
      <c r="BD210" s="5085"/>
      <c r="BE210" s="5085"/>
      <c r="BF210" s="5085"/>
      <c r="BG210" s="5085"/>
      <c r="BH210" s="5095"/>
      <c r="BI210" s="3822"/>
      <c r="BJ210" s="3822"/>
      <c r="BK210" s="5092"/>
      <c r="BL210" s="5095"/>
      <c r="BM210" s="5095"/>
      <c r="BN210" s="5195"/>
      <c r="BO210" s="5195"/>
      <c r="BP210" s="5195"/>
      <c r="BQ210" s="5195"/>
      <c r="BR210" s="5082"/>
    </row>
    <row r="211" spans="1:70" ht="45" customHeight="1" x14ac:dyDescent="0.2">
      <c r="A211" s="2164"/>
      <c r="B211" s="2165"/>
      <c r="C211" s="2166"/>
      <c r="D211" s="2165"/>
      <c r="E211" s="2165"/>
      <c r="F211" s="2166"/>
      <c r="G211" s="2171"/>
      <c r="H211" s="2165"/>
      <c r="I211" s="2166"/>
      <c r="J211" s="5111"/>
      <c r="K211" s="5114"/>
      <c r="L211" s="5085"/>
      <c r="M211" s="5085"/>
      <c r="N211" s="5085"/>
      <c r="O211" s="2834" t="s">
        <v>1835</v>
      </c>
      <c r="P211" s="5085"/>
      <c r="Q211" s="5088"/>
      <c r="R211" s="5119"/>
      <c r="S211" s="5102"/>
      <c r="T211" s="5088"/>
      <c r="U211" s="5088"/>
      <c r="V211" s="5171"/>
      <c r="W211" s="2203">
        <v>590675459</v>
      </c>
      <c r="X211" s="2203">
        <v>298009134</v>
      </c>
      <c r="Y211" s="2203">
        <v>274966134</v>
      </c>
      <c r="Z211" s="2143">
        <v>99</v>
      </c>
      <c r="AA211" s="5085"/>
      <c r="AB211" s="5085"/>
      <c r="AC211" s="5085"/>
      <c r="AD211" s="5085"/>
      <c r="AE211" s="5085"/>
      <c r="AF211" s="5085"/>
      <c r="AG211" s="5085"/>
      <c r="AH211" s="5085"/>
      <c r="AI211" s="5085"/>
      <c r="AJ211" s="5085"/>
      <c r="AK211" s="5085"/>
      <c r="AL211" s="5085"/>
      <c r="AM211" s="5085"/>
      <c r="AN211" s="5085"/>
      <c r="AO211" s="5085"/>
      <c r="AP211" s="5085"/>
      <c r="AQ211" s="5085"/>
      <c r="AR211" s="5085"/>
      <c r="AS211" s="5085"/>
      <c r="AT211" s="5085"/>
      <c r="AU211" s="5085"/>
      <c r="AV211" s="5085"/>
      <c r="AW211" s="5085"/>
      <c r="AX211" s="5085"/>
      <c r="AY211" s="5085"/>
      <c r="AZ211" s="5085"/>
      <c r="BA211" s="5085"/>
      <c r="BB211" s="5085"/>
      <c r="BC211" s="5085"/>
      <c r="BD211" s="5085"/>
      <c r="BE211" s="5085"/>
      <c r="BF211" s="5085"/>
      <c r="BG211" s="5085"/>
      <c r="BH211" s="5095"/>
      <c r="BI211" s="3822"/>
      <c r="BJ211" s="3822"/>
      <c r="BK211" s="5092"/>
      <c r="BL211" s="5095"/>
      <c r="BM211" s="5095"/>
      <c r="BN211" s="5195"/>
      <c r="BO211" s="5195"/>
      <c r="BP211" s="5195"/>
      <c r="BQ211" s="5195"/>
      <c r="BR211" s="5082"/>
    </row>
    <row r="212" spans="1:70" ht="69" customHeight="1" x14ac:dyDescent="0.2">
      <c r="A212" s="2164"/>
      <c r="B212" s="2165"/>
      <c r="C212" s="2166"/>
      <c r="D212" s="2165"/>
      <c r="E212" s="2165"/>
      <c r="F212" s="2166"/>
      <c r="G212" s="2171"/>
      <c r="H212" s="2165"/>
      <c r="I212" s="2166"/>
      <c r="J212" s="5111"/>
      <c r="K212" s="5114"/>
      <c r="L212" s="5085"/>
      <c r="M212" s="5085"/>
      <c r="N212" s="5085"/>
      <c r="O212" s="2834" t="s">
        <v>1836</v>
      </c>
      <c r="P212" s="5085"/>
      <c r="Q212" s="5088"/>
      <c r="R212" s="5119"/>
      <c r="S212" s="5102"/>
      <c r="T212" s="5088"/>
      <c r="U212" s="5088"/>
      <c r="V212" s="2194" t="s">
        <v>1837</v>
      </c>
      <c r="W212" s="2202">
        <v>20000000</v>
      </c>
      <c r="X212" s="2203">
        <v>20000000</v>
      </c>
      <c r="Y212" s="2203">
        <v>20000000</v>
      </c>
      <c r="Z212" s="2143">
        <v>63</v>
      </c>
      <c r="AA212" s="5085"/>
      <c r="AB212" s="5085"/>
      <c r="AC212" s="5085"/>
      <c r="AD212" s="5085"/>
      <c r="AE212" s="5085"/>
      <c r="AF212" s="5085"/>
      <c r="AG212" s="5085"/>
      <c r="AH212" s="5085"/>
      <c r="AI212" s="5085"/>
      <c r="AJ212" s="5085"/>
      <c r="AK212" s="5085"/>
      <c r="AL212" s="5085"/>
      <c r="AM212" s="5085"/>
      <c r="AN212" s="5085"/>
      <c r="AO212" s="5085"/>
      <c r="AP212" s="5085"/>
      <c r="AQ212" s="5085"/>
      <c r="AR212" s="5085"/>
      <c r="AS212" s="5085"/>
      <c r="AT212" s="5085"/>
      <c r="AU212" s="5085"/>
      <c r="AV212" s="5085"/>
      <c r="AW212" s="5085"/>
      <c r="AX212" s="5085"/>
      <c r="AY212" s="5085"/>
      <c r="AZ212" s="5085"/>
      <c r="BA212" s="5085"/>
      <c r="BB212" s="5085"/>
      <c r="BC212" s="5085"/>
      <c r="BD212" s="5085"/>
      <c r="BE212" s="5085"/>
      <c r="BF212" s="5085"/>
      <c r="BG212" s="5085"/>
      <c r="BH212" s="5095"/>
      <c r="BI212" s="3822"/>
      <c r="BJ212" s="3822"/>
      <c r="BK212" s="5092"/>
      <c r="BL212" s="5095"/>
      <c r="BM212" s="5095"/>
      <c r="BN212" s="5195"/>
      <c r="BO212" s="5195"/>
      <c r="BP212" s="5195"/>
      <c r="BQ212" s="5195"/>
      <c r="BR212" s="5082"/>
    </row>
    <row r="213" spans="1:70" ht="92.25" customHeight="1" x14ac:dyDescent="0.2">
      <c r="A213" s="2164"/>
      <c r="B213" s="2165"/>
      <c r="C213" s="2166"/>
      <c r="D213" s="2165"/>
      <c r="E213" s="2165"/>
      <c r="F213" s="2166"/>
      <c r="G213" s="2171"/>
      <c r="H213" s="2165"/>
      <c r="I213" s="2166"/>
      <c r="J213" s="5111"/>
      <c r="K213" s="5114"/>
      <c r="L213" s="5085"/>
      <c r="M213" s="5085"/>
      <c r="N213" s="5085"/>
      <c r="O213" s="2851" t="s">
        <v>1838</v>
      </c>
      <c r="P213" s="5085"/>
      <c r="Q213" s="5088"/>
      <c r="R213" s="5119"/>
      <c r="S213" s="5102"/>
      <c r="T213" s="5088"/>
      <c r="U213" s="5088"/>
      <c r="V213" s="2194" t="s">
        <v>1839</v>
      </c>
      <c r="W213" s="2202">
        <v>20000000</v>
      </c>
      <c r="X213" s="2203">
        <v>20000000</v>
      </c>
      <c r="Y213" s="2203">
        <v>20000000</v>
      </c>
      <c r="Z213" s="2143">
        <v>63</v>
      </c>
      <c r="AA213" s="5085"/>
      <c r="AB213" s="5085"/>
      <c r="AC213" s="5085"/>
      <c r="AD213" s="5085"/>
      <c r="AE213" s="5085"/>
      <c r="AF213" s="5085"/>
      <c r="AG213" s="5085"/>
      <c r="AH213" s="5085"/>
      <c r="AI213" s="5085"/>
      <c r="AJ213" s="5085"/>
      <c r="AK213" s="5085"/>
      <c r="AL213" s="5085"/>
      <c r="AM213" s="5085"/>
      <c r="AN213" s="5085"/>
      <c r="AO213" s="5085"/>
      <c r="AP213" s="5085"/>
      <c r="AQ213" s="5085"/>
      <c r="AR213" s="5085"/>
      <c r="AS213" s="5085"/>
      <c r="AT213" s="5085"/>
      <c r="AU213" s="5085"/>
      <c r="AV213" s="5085"/>
      <c r="AW213" s="5085"/>
      <c r="AX213" s="5085"/>
      <c r="AY213" s="5085"/>
      <c r="AZ213" s="5085"/>
      <c r="BA213" s="5085"/>
      <c r="BB213" s="5085"/>
      <c r="BC213" s="5085"/>
      <c r="BD213" s="5085"/>
      <c r="BE213" s="5085"/>
      <c r="BF213" s="5085"/>
      <c r="BG213" s="5085"/>
      <c r="BH213" s="5095"/>
      <c r="BI213" s="3822"/>
      <c r="BJ213" s="3822"/>
      <c r="BK213" s="5092"/>
      <c r="BL213" s="5095"/>
      <c r="BM213" s="5095"/>
      <c r="BN213" s="5195"/>
      <c r="BO213" s="5195"/>
      <c r="BP213" s="5195"/>
      <c r="BQ213" s="5195"/>
      <c r="BR213" s="5082"/>
    </row>
    <row r="214" spans="1:70" ht="87.75" customHeight="1" x14ac:dyDescent="0.2">
      <c r="A214" s="2164"/>
      <c r="B214" s="2165"/>
      <c r="C214" s="2166"/>
      <c r="D214" s="2165"/>
      <c r="E214" s="2165"/>
      <c r="F214" s="2166"/>
      <c r="G214" s="2171"/>
      <c r="H214" s="2165"/>
      <c r="I214" s="2166"/>
      <c r="J214" s="5111"/>
      <c r="K214" s="5114"/>
      <c r="L214" s="5085"/>
      <c r="M214" s="5085"/>
      <c r="N214" s="5085"/>
      <c r="O214" s="2206"/>
      <c r="P214" s="5085"/>
      <c r="Q214" s="5088"/>
      <c r="R214" s="5119"/>
      <c r="S214" s="5102"/>
      <c r="T214" s="5088"/>
      <c r="U214" s="5088"/>
      <c r="V214" s="2194" t="s">
        <v>1840</v>
      </c>
      <c r="W214" s="2202">
        <v>20000000</v>
      </c>
      <c r="X214" s="2203">
        <v>20000000</v>
      </c>
      <c r="Y214" s="2203">
        <v>20000000</v>
      </c>
      <c r="Z214" s="2143">
        <v>63</v>
      </c>
      <c r="AA214" s="5085"/>
      <c r="AB214" s="5085"/>
      <c r="AC214" s="5085"/>
      <c r="AD214" s="5085"/>
      <c r="AE214" s="5085"/>
      <c r="AF214" s="5085"/>
      <c r="AG214" s="5085"/>
      <c r="AH214" s="5085"/>
      <c r="AI214" s="5085"/>
      <c r="AJ214" s="5085"/>
      <c r="AK214" s="5085"/>
      <c r="AL214" s="5085"/>
      <c r="AM214" s="5085"/>
      <c r="AN214" s="5085"/>
      <c r="AO214" s="5085"/>
      <c r="AP214" s="5085"/>
      <c r="AQ214" s="5085"/>
      <c r="AR214" s="5085"/>
      <c r="AS214" s="5085"/>
      <c r="AT214" s="5085"/>
      <c r="AU214" s="5085"/>
      <c r="AV214" s="5085"/>
      <c r="AW214" s="5085"/>
      <c r="AX214" s="5085"/>
      <c r="AY214" s="5085"/>
      <c r="AZ214" s="5085"/>
      <c r="BA214" s="5085"/>
      <c r="BB214" s="5085"/>
      <c r="BC214" s="5085"/>
      <c r="BD214" s="5085"/>
      <c r="BE214" s="5085"/>
      <c r="BF214" s="5085"/>
      <c r="BG214" s="5085"/>
      <c r="BH214" s="5095"/>
      <c r="BI214" s="3822"/>
      <c r="BJ214" s="3822"/>
      <c r="BK214" s="5092"/>
      <c r="BL214" s="5095"/>
      <c r="BM214" s="5095"/>
      <c r="BN214" s="5195"/>
      <c r="BO214" s="5195"/>
      <c r="BP214" s="5195"/>
      <c r="BQ214" s="5195"/>
      <c r="BR214" s="5082"/>
    </row>
    <row r="215" spans="1:70" ht="62.25" customHeight="1" x14ac:dyDescent="0.2">
      <c r="A215" s="2164"/>
      <c r="B215" s="2165"/>
      <c r="C215" s="2166"/>
      <c r="D215" s="2165"/>
      <c r="E215" s="2165"/>
      <c r="F215" s="2166"/>
      <c r="G215" s="2171"/>
      <c r="H215" s="2165"/>
      <c r="I215" s="2166"/>
      <c r="J215" s="5111"/>
      <c r="K215" s="5114"/>
      <c r="L215" s="5085"/>
      <c r="M215" s="5085"/>
      <c r="N215" s="5085"/>
      <c r="P215" s="5085"/>
      <c r="Q215" s="5088"/>
      <c r="R215" s="5119"/>
      <c r="S215" s="5102"/>
      <c r="T215" s="5088"/>
      <c r="U215" s="5088"/>
      <c r="V215" s="2194" t="s">
        <v>1841</v>
      </c>
      <c r="W215" s="2202">
        <v>20000000</v>
      </c>
      <c r="X215" s="2203">
        <v>20000000</v>
      </c>
      <c r="Y215" s="2203">
        <v>20000000</v>
      </c>
      <c r="Z215" s="2143">
        <v>63</v>
      </c>
      <c r="AA215" s="5085"/>
      <c r="AB215" s="5085"/>
      <c r="AC215" s="5085"/>
      <c r="AD215" s="5085"/>
      <c r="AE215" s="5085"/>
      <c r="AF215" s="5085"/>
      <c r="AG215" s="5085"/>
      <c r="AH215" s="5085"/>
      <c r="AI215" s="5085"/>
      <c r="AJ215" s="5085"/>
      <c r="AK215" s="5085"/>
      <c r="AL215" s="5085"/>
      <c r="AM215" s="5085"/>
      <c r="AN215" s="5085"/>
      <c r="AO215" s="5085"/>
      <c r="AP215" s="5085"/>
      <c r="AQ215" s="5085"/>
      <c r="AR215" s="5085"/>
      <c r="AS215" s="5085"/>
      <c r="AT215" s="5085"/>
      <c r="AU215" s="5085"/>
      <c r="AV215" s="5085"/>
      <c r="AW215" s="5085"/>
      <c r="AX215" s="5085"/>
      <c r="AY215" s="5085"/>
      <c r="AZ215" s="5085"/>
      <c r="BA215" s="5085"/>
      <c r="BB215" s="5085"/>
      <c r="BC215" s="5085"/>
      <c r="BD215" s="5085"/>
      <c r="BE215" s="5085"/>
      <c r="BF215" s="5085"/>
      <c r="BG215" s="5085"/>
      <c r="BH215" s="5095"/>
      <c r="BI215" s="3822"/>
      <c r="BJ215" s="3822"/>
      <c r="BK215" s="5092"/>
      <c r="BL215" s="5095"/>
      <c r="BM215" s="5095"/>
      <c r="BN215" s="5195"/>
      <c r="BO215" s="5195"/>
      <c r="BP215" s="5195"/>
      <c r="BQ215" s="5195"/>
      <c r="BR215" s="5082"/>
    </row>
    <row r="216" spans="1:70" ht="81" customHeight="1" x14ac:dyDescent="0.2">
      <c r="A216" s="2136"/>
      <c r="B216" s="2137"/>
      <c r="C216" s="2138"/>
      <c r="D216" s="2137"/>
      <c r="E216" s="2137"/>
      <c r="F216" s="2138"/>
      <c r="G216" s="2149"/>
      <c r="H216" s="2147"/>
      <c r="I216" s="2148"/>
      <c r="J216" s="5112"/>
      <c r="K216" s="5115"/>
      <c r="L216" s="5086"/>
      <c r="M216" s="5086"/>
      <c r="N216" s="5086"/>
      <c r="O216" s="2835"/>
      <c r="P216" s="5086"/>
      <c r="Q216" s="5089"/>
      <c r="R216" s="5120"/>
      <c r="S216" s="5121"/>
      <c r="T216" s="5089"/>
      <c r="U216" s="5089"/>
      <c r="V216" s="2194" t="s">
        <v>1842</v>
      </c>
      <c r="W216" s="2202">
        <v>20000000</v>
      </c>
      <c r="X216" s="2203">
        <v>15927800</v>
      </c>
      <c r="Y216" s="2203">
        <v>13990000</v>
      </c>
      <c r="Z216" s="2143">
        <v>61</v>
      </c>
      <c r="AA216" s="5086"/>
      <c r="AB216" s="5086"/>
      <c r="AC216" s="5086"/>
      <c r="AD216" s="5086"/>
      <c r="AE216" s="5086"/>
      <c r="AF216" s="5086"/>
      <c r="AG216" s="5086"/>
      <c r="AH216" s="5086"/>
      <c r="AI216" s="5086"/>
      <c r="AJ216" s="5086"/>
      <c r="AK216" s="5086"/>
      <c r="AL216" s="5086"/>
      <c r="AM216" s="5086"/>
      <c r="AN216" s="5086"/>
      <c r="AO216" s="5086"/>
      <c r="AP216" s="5086"/>
      <c r="AQ216" s="5086"/>
      <c r="AR216" s="5086"/>
      <c r="AS216" s="5086"/>
      <c r="AT216" s="5086"/>
      <c r="AU216" s="5086"/>
      <c r="AV216" s="5086"/>
      <c r="AW216" s="5086"/>
      <c r="AX216" s="5086"/>
      <c r="AY216" s="5086"/>
      <c r="AZ216" s="5086"/>
      <c r="BA216" s="5086"/>
      <c r="BB216" s="5086"/>
      <c r="BC216" s="5086"/>
      <c r="BD216" s="5086"/>
      <c r="BE216" s="5086"/>
      <c r="BF216" s="5086"/>
      <c r="BG216" s="5086"/>
      <c r="BH216" s="5103"/>
      <c r="BI216" s="3823"/>
      <c r="BJ216" s="3823"/>
      <c r="BK216" s="5109"/>
      <c r="BL216" s="5103"/>
      <c r="BM216" s="5103"/>
      <c r="BN216" s="5196"/>
      <c r="BO216" s="5196"/>
      <c r="BP216" s="5196"/>
      <c r="BQ216" s="5196"/>
      <c r="BR216" s="5098"/>
    </row>
    <row r="217" spans="1:70" ht="36" customHeight="1" x14ac:dyDescent="0.2">
      <c r="A217" s="2122"/>
      <c r="B217" s="2123"/>
      <c r="C217" s="2124"/>
      <c r="D217" s="2123"/>
      <c r="E217" s="2123"/>
      <c r="F217" s="2124"/>
      <c r="G217" s="2158">
        <v>44</v>
      </c>
      <c r="H217" s="2128" t="s">
        <v>1843</v>
      </c>
      <c r="I217" s="2128"/>
      <c r="J217" s="2128"/>
      <c r="K217" s="2129"/>
      <c r="L217" s="2128"/>
      <c r="M217" s="2128"/>
      <c r="N217" s="2128"/>
      <c r="O217" s="2130"/>
      <c r="P217" s="2128"/>
      <c r="Q217" s="2129"/>
      <c r="R217" s="2128"/>
      <c r="S217" s="2159"/>
      <c r="T217" s="2129"/>
      <c r="U217" s="2129"/>
      <c r="V217" s="2129"/>
      <c r="W217" s="2207"/>
      <c r="X217" s="2207"/>
      <c r="Y217" s="2207"/>
      <c r="Z217" s="2200"/>
      <c r="AA217" s="2201"/>
      <c r="AB217" s="2130"/>
      <c r="AC217" s="2130"/>
      <c r="AD217" s="2130"/>
      <c r="AE217" s="2130"/>
      <c r="AF217" s="2130"/>
      <c r="AG217" s="2130"/>
      <c r="AH217" s="2130"/>
      <c r="AI217" s="2130"/>
      <c r="AJ217" s="2130"/>
      <c r="AK217" s="2130"/>
      <c r="AL217" s="2130"/>
      <c r="AM217" s="2130"/>
      <c r="AN217" s="2130"/>
      <c r="AO217" s="2130"/>
      <c r="AP217" s="2130"/>
      <c r="AQ217" s="2130"/>
      <c r="AR217" s="2130"/>
      <c r="AS217" s="2130"/>
      <c r="AT217" s="2130"/>
      <c r="AU217" s="2130"/>
      <c r="AV217" s="2130"/>
      <c r="AW217" s="2130"/>
      <c r="AX217" s="2130"/>
      <c r="AY217" s="2130"/>
      <c r="AZ217" s="2130"/>
      <c r="BA217" s="2130"/>
      <c r="BB217" s="2130"/>
      <c r="BC217" s="2130"/>
      <c r="BD217" s="2130"/>
      <c r="BE217" s="2130"/>
      <c r="BF217" s="2130"/>
      <c r="BG217" s="2130"/>
      <c r="BH217" s="2130"/>
      <c r="BI217" s="2162"/>
      <c r="BJ217" s="2162"/>
      <c r="BK217" s="2130"/>
      <c r="BL217" s="2130"/>
      <c r="BM217" s="2130"/>
      <c r="BN217" s="2130"/>
      <c r="BO217" s="2130"/>
      <c r="BP217" s="2128"/>
      <c r="BQ217" s="2128"/>
      <c r="BR217" s="2135"/>
    </row>
    <row r="218" spans="1:70" ht="100.5" customHeight="1" x14ac:dyDescent="0.2">
      <c r="A218" s="2136"/>
      <c r="B218" s="2137"/>
      <c r="C218" s="2138"/>
      <c r="D218" s="2137"/>
      <c r="E218" s="2137"/>
      <c r="F218" s="2138"/>
      <c r="G218" s="2139"/>
      <c r="H218" s="2140"/>
      <c r="I218" s="2141"/>
      <c r="J218" s="5110">
        <v>154</v>
      </c>
      <c r="K218" s="5087" t="s">
        <v>1844</v>
      </c>
      <c r="L218" s="5084" t="s">
        <v>1581</v>
      </c>
      <c r="M218" s="5084">
        <v>5</v>
      </c>
      <c r="N218" s="5084">
        <v>5</v>
      </c>
      <c r="O218" s="5084" t="s">
        <v>1845</v>
      </c>
      <c r="P218" s="5084" t="s">
        <v>1846</v>
      </c>
      <c r="Q218" s="5087" t="s">
        <v>1847</v>
      </c>
      <c r="R218" s="5118">
        <f>SUM(W218:W224)/S218</f>
        <v>0.18272536398900383</v>
      </c>
      <c r="S218" s="5101">
        <f>SUM(W218:W248)</f>
        <v>317416251</v>
      </c>
      <c r="T218" s="5087" t="s">
        <v>1848</v>
      </c>
      <c r="U218" s="5087" t="s">
        <v>1849</v>
      </c>
      <c r="V218" s="2194" t="s">
        <v>1850</v>
      </c>
      <c r="W218" s="2203">
        <v>4000000</v>
      </c>
      <c r="X218" s="2203">
        <v>4000000</v>
      </c>
      <c r="Y218" s="2203">
        <v>4000000</v>
      </c>
      <c r="Z218" s="2143">
        <v>61</v>
      </c>
      <c r="AA218" s="5084" t="s">
        <v>1851</v>
      </c>
      <c r="AB218" s="5197">
        <v>292684</v>
      </c>
      <c r="AC218" s="5197">
        <v>292685</v>
      </c>
      <c r="AD218" s="5197">
        <v>292686</v>
      </c>
      <c r="AE218" s="5197">
        <v>292687</v>
      </c>
      <c r="AF218" s="5197">
        <v>292688</v>
      </c>
      <c r="AG218" s="5197">
        <v>292689</v>
      </c>
      <c r="AH218" s="5197">
        <v>292690</v>
      </c>
      <c r="AI218" s="5197">
        <v>292691</v>
      </c>
      <c r="AJ218" s="5197">
        <v>292692</v>
      </c>
      <c r="AK218" s="5197">
        <v>292693</v>
      </c>
      <c r="AL218" s="5197">
        <v>292694</v>
      </c>
      <c r="AM218" s="5197">
        <v>292695</v>
      </c>
      <c r="AN218" s="5197">
        <v>292696</v>
      </c>
      <c r="AO218" s="5197">
        <v>292697</v>
      </c>
      <c r="AP218" s="5197">
        <v>292698</v>
      </c>
      <c r="AQ218" s="5197">
        <v>292699</v>
      </c>
      <c r="AR218" s="5197">
        <v>292700</v>
      </c>
      <c r="AS218" s="5197">
        <v>292701</v>
      </c>
      <c r="AT218" s="5197">
        <v>292702</v>
      </c>
      <c r="AU218" s="5197">
        <v>292703</v>
      </c>
      <c r="AV218" s="5197">
        <v>292704</v>
      </c>
      <c r="AW218" s="5197">
        <v>292705</v>
      </c>
      <c r="AX218" s="5197">
        <v>292706</v>
      </c>
      <c r="AY218" s="5197">
        <v>292707</v>
      </c>
      <c r="AZ218" s="5197">
        <v>292708</v>
      </c>
      <c r="BA218" s="5197">
        <v>292709</v>
      </c>
      <c r="BB218" s="5197">
        <v>292710</v>
      </c>
      <c r="BC218" s="5197">
        <v>292711</v>
      </c>
      <c r="BD218" s="5197">
        <v>292712</v>
      </c>
      <c r="BE218" s="5197">
        <v>292713</v>
      </c>
      <c r="BF218" s="5197">
        <v>292714</v>
      </c>
      <c r="BG218" s="5197">
        <v>292715</v>
      </c>
      <c r="BH218" s="5094">
        <v>28</v>
      </c>
      <c r="BI218" s="3821">
        <f>SUM(X218:X248)</f>
        <v>297602900</v>
      </c>
      <c r="BJ218" s="3821">
        <f>SUM(Y218:Y248)</f>
        <v>164499000</v>
      </c>
      <c r="BK218" s="5091">
        <f>+BJ218/BI218</f>
        <v>0.55274662982114753</v>
      </c>
      <c r="BL218" s="5094" t="s">
        <v>1589</v>
      </c>
      <c r="BM218" s="5094" t="s">
        <v>1590</v>
      </c>
      <c r="BN218" s="5194">
        <v>43467</v>
      </c>
      <c r="BO218" s="5194">
        <v>43830</v>
      </c>
      <c r="BP218" s="5194">
        <v>43830</v>
      </c>
      <c r="BQ218" s="5194">
        <v>43830</v>
      </c>
      <c r="BR218" s="5191" t="s">
        <v>1591</v>
      </c>
    </row>
    <row r="219" spans="1:70" ht="72" customHeight="1" x14ac:dyDescent="0.2">
      <c r="A219" s="2136"/>
      <c r="B219" s="2137"/>
      <c r="C219" s="2138"/>
      <c r="D219" s="2137"/>
      <c r="E219" s="2137"/>
      <c r="F219" s="2138"/>
      <c r="G219" s="2145"/>
      <c r="H219" s="2137"/>
      <c r="I219" s="2138"/>
      <c r="J219" s="5111"/>
      <c r="K219" s="5088"/>
      <c r="L219" s="5085"/>
      <c r="M219" s="5085"/>
      <c r="N219" s="5085"/>
      <c r="O219" s="5085"/>
      <c r="P219" s="5085"/>
      <c r="Q219" s="5088"/>
      <c r="R219" s="5119"/>
      <c r="S219" s="5102"/>
      <c r="T219" s="5088"/>
      <c r="U219" s="5088"/>
      <c r="V219" s="2194" t="s">
        <v>1852</v>
      </c>
      <c r="W219" s="2203">
        <v>3000000</v>
      </c>
      <c r="X219" s="2203">
        <v>3000000</v>
      </c>
      <c r="Y219" s="2203">
        <v>3000000</v>
      </c>
      <c r="Z219" s="2143">
        <v>61</v>
      </c>
      <c r="AA219" s="5085"/>
      <c r="AB219" s="5198"/>
      <c r="AC219" s="5198"/>
      <c r="AD219" s="5198"/>
      <c r="AE219" s="5198"/>
      <c r="AF219" s="5198"/>
      <c r="AG219" s="5198"/>
      <c r="AH219" s="5198"/>
      <c r="AI219" s="5198"/>
      <c r="AJ219" s="5198"/>
      <c r="AK219" s="5198"/>
      <c r="AL219" s="5198"/>
      <c r="AM219" s="5198"/>
      <c r="AN219" s="5198"/>
      <c r="AO219" s="5198"/>
      <c r="AP219" s="5198"/>
      <c r="AQ219" s="5198"/>
      <c r="AR219" s="5198"/>
      <c r="AS219" s="5198"/>
      <c r="AT219" s="5198"/>
      <c r="AU219" s="5198"/>
      <c r="AV219" s="5198"/>
      <c r="AW219" s="5198"/>
      <c r="AX219" s="5198"/>
      <c r="AY219" s="5198"/>
      <c r="AZ219" s="5198"/>
      <c r="BA219" s="5198"/>
      <c r="BB219" s="5198"/>
      <c r="BC219" s="5198"/>
      <c r="BD219" s="5198"/>
      <c r="BE219" s="5198"/>
      <c r="BF219" s="5198"/>
      <c r="BG219" s="5198"/>
      <c r="BH219" s="5095"/>
      <c r="BI219" s="3822"/>
      <c r="BJ219" s="3822"/>
      <c r="BK219" s="5092"/>
      <c r="BL219" s="5095"/>
      <c r="BM219" s="5095"/>
      <c r="BN219" s="5195"/>
      <c r="BO219" s="5195"/>
      <c r="BP219" s="5195"/>
      <c r="BQ219" s="5195"/>
      <c r="BR219" s="5192"/>
    </row>
    <row r="220" spans="1:70" ht="85.5" customHeight="1" x14ac:dyDescent="0.2">
      <c r="A220" s="2136"/>
      <c r="B220" s="2137"/>
      <c r="C220" s="2138"/>
      <c r="D220" s="2137"/>
      <c r="E220" s="2137"/>
      <c r="F220" s="2138"/>
      <c r="G220" s="2145"/>
      <c r="H220" s="2137"/>
      <c r="I220" s="2138"/>
      <c r="J220" s="5111"/>
      <c r="K220" s="5088"/>
      <c r="L220" s="5085"/>
      <c r="M220" s="5085"/>
      <c r="N220" s="5085"/>
      <c r="O220" s="5085"/>
      <c r="P220" s="5085"/>
      <c r="Q220" s="5088"/>
      <c r="R220" s="5119"/>
      <c r="S220" s="5102"/>
      <c r="T220" s="5088"/>
      <c r="U220" s="5088"/>
      <c r="V220" s="2194" t="s">
        <v>1853</v>
      </c>
      <c r="W220" s="2203">
        <v>16000000</v>
      </c>
      <c r="X220" s="2203">
        <f>7392500+4896500+289000</f>
        <v>12578000</v>
      </c>
      <c r="Y220" s="2203">
        <v>7392500</v>
      </c>
      <c r="Z220" s="2143">
        <v>61</v>
      </c>
      <c r="AA220" s="5085"/>
      <c r="AB220" s="5198"/>
      <c r="AC220" s="5198"/>
      <c r="AD220" s="5198"/>
      <c r="AE220" s="5198"/>
      <c r="AF220" s="5198"/>
      <c r="AG220" s="5198"/>
      <c r="AH220" s="5198"/>
      <c r="AI220" s="5198"/>
      <c r="AJ220" s="5198"/>
      <c r="AK220" s="5198"/>
      <c r="AL220" s="5198"/>
      <c r="AM220" s="5198"/>
      <c r="AN220" s="5198"/>
      <c r="AO220" s="5198"/>
      <c r="AP220" s="5198"/>
      <c r="AQ220" s="5198"/>
      <c r="AR220" s="5198"/>
      <c r="AS220" s="5198"/>
      <c r="AT220" s="5198"/>
      <c r="AU220" s="5198"/>
      <c r="AV220" s="5198"/>
      <c r="AW220" s="5198"/>
      <c r="AX220" s="5198"/>
      <c r="AY220" s="5198"/>
      <c r="AZ220" s="5198"/>
      <c r="BA220" s="5198"/>
      <c r="BB220" s="5198"/>
      <c r="BC220" s="5198"/>
      <c r="BD220" s="5198"/>
      <c r="BE220" s="5198"/>
      <c r="BF220" s="5198"/>
      <c r="BG220" s="5198"/>
      <c r="BH220" s="5095"/>
      <c r="BI220" s="3822"/>
      <c r="BJ220" s="3822"/>
      <c r="BK220" s="5092"/>
      <c r="BL220" s="5095"/>
      <c r="BM220" s="5095"/>
      <c r="BN220" s="5195"/>
      <c r="BO220" s="5195"/>
      <c r="BP220" s="5195"/>
      <c r="BQ220" s="5195"/>
      <c r="BR220" s="5192"/>
    </row>
    <row r="221" spans="1:70" ht="67.5" customHeight="1" x14ac:dyDescent="0.2">
      <c r="A221" s="2136"/>
      <c r="B221" s="2137"/>
      <c r="C221" s="2138"/>
      <c r="D221" s="2137"/>
      <c r="E221" s="2137"/>
      <c r="F221" s="2138"/>
      <c r="G221" s="2145"/>
      <c r="H221" s="2137"/>
      <c r="I221" s="2138"/>
      <c r="J221" s="5111"/>
      <c r="K221" s="5088"/>
      <c r="L221" s="5085"/>
      <c r="M221" s="5085"/>
      <c r="N221" s="5085"/>
      <c r="O221" s="5085"/>
      <c r="P221" s="5085"/>
      <c r="Q221" s="5088"/>
      <c r="R221" s="5119"/>
      <c r="S221" s="5102"/>
      <c r="T221" s="5088"/>
      <c r="U221" s="5088"/>
      <c r="V221" s="2194" t="s">
        <v>1854</v>
      </c>
      <c r="W221" s="2203">
        <v>6000000</v>
      </c>
      <c r="X221" s="2203">
        <v>6000000</v>
      </c>
      <c r="Y221" s="2203">
        <v>6000000</v>
      </c>
      <c r="Z221" s="2143">
        <v>61</v>
      </c>
      <c r="AA221" s="5085"/>
      <c r="AB221" s="5198"/>
      <c r="AC221" s="5198"/>
      <c r="AD221" s="5198"/>
      <c r="AE221" s="5198"/>
      <c r="AF221" s="5198"/>
      <c r="AG221" s="5198"/>
      <c r="AH221" s="5198"/>
      <c r="AI221" s="5198"/>
      <c r="AJ221" s="5198"/>
      <c r="AK221" s="5198"/>
      <c r="AL221" s="5198"/>
      <c r="AM221" s="5198"/>
      <c r="AN221" s="5198"/>
      <c r="AO221" s="5198"/>
      <c r="AP221" s="5198"/>
      <c r="AQ221" s="5198"/>
      <c r="AR221" s="5198"/>
      <c r="AS221" s="5198"/>
      <c r="AT221" s="5198"/>
      <c r="AU221" s="5198"/>
      <c r="AV221" s="5198"/>
      <c r="AW221" s="5198"/>
      <c r="AX221" s="5198"/>
      <c r="AY221" s="5198"/>
      <c r="AZ221" s="5198"/>
      <c r="BA221" s="5198"/>
      <c r="BB221" s="5198"/>
      <c r="BC221" s="5198"/>
      <c r="BD221" s="5198"/>
      <c r="BE221" s="5198"/>
      <c r="BF221" s="5198"/>
      <c r="BG221" s="5198"/>
      <c r="BH221" s="5095"/>
      <c r="BI221" s="3822"/>
      <c r="BJ221" s="3822"/>
      <c r="BK221" s="5092"/>
      <c r="BL221" s="5095"/>
      <c r="BM221" s="5095"/>
      <c r="BN221" s="5195"/>
      <c r="BO221" s="5195"/>
      <c r="BP221" s="5195"/>
      <c r="BQ221" s="5195"/>
      <c r="BR221" s="5192"/>
    </row>
    <row r="222" spans="1:70" ht="135.75" customHeight="1" x14ac:dyDescent="0.2">
      <c r="A222" s="2136"/>
      <c r="B222" s="2137"/>
      <c r="C222" s="2138"/>
      <c r="D222" s="2137"/>
      <c r="E222" s="2137"/>
      <c r="F222" s="2138"/>
      <c r="G222" s="2145"/>
      <c r="H222" s="2137"/>
      <c r="I222" s="2138"/>
      <c r="J222" s="5111"/>
      <c r="K222" s="5088"/>
      <c r="L222" s="5085"/>
      <c r="M222" s="5085"/>
      <c r="N222" s="5085"/>
      <c r="O222" s="5085"/>
      <c r="P222" s="5085"/>
      <c r="Q222" s="5088"/>
      <c r="R222" s="5119"/>
      <c r="S222" s="5102"/>
      <c r="T222" s="5088"/>
      <c r="U222" s="5088"/>
      <c r="V222" s="2194" t="s">
        <v>1855</v>
      </c>
      <c r="W222" s="2203">
        <v>3000000</v>
      </c>
      <c r="X222" s="2203">
        <v>3000000</v>
      </c>
      <c r="Y222" s="2203">
        <v>3000000</v>
      </c>
      <c r="Z222" s="2143">
        <v>61</v>
      </c>
      <c r="AA222" s="5085"/>
      <c r="AB222" s="5198"/>
      <c r="AC222" s="5198"/>
      <c r="AD222" s="5198"/>
      <c r="AE222" s="5198"/>
      <c r="AF222" s="5198"/>
      <c r="AG222" s="5198"/>
      <c r="AH222" s="5198"/>
      <c r="AI222" s="5198"/>
      <c r="AJ222" s="5198"/>
      <c r="AK222" s="5198"/>
      <c r="AL222" s="5198"/>
      <c r="AM222" s="5198"/>
      <c r="AN222" s="5198"/>
      <c r="AO222" s="5198"/>
      <c r="AP222" s="5198"/>
      <c r="AQ222" s="5198"/>
      <c r="AR222" s="5198"/>
      <c r="AS222" s="5198"/>
      <c r="AT222" s="5198"/>
      <c r="AU222" s="5198"/>
      <c r="AV222" s="5198"/>
      <c r="AW222" s="5198"/>
      <c r="AX222" s="5198"/>
      <c r="AY222" s="5198"/>
      <c r="AZ222" s="5198"/>
      <c r="BA222" s="5198"/>
      <c r="BB222" s="5198"/>
      <c r="BC222" s="5198"/>
      <c r="BD222" s="5198"/>
      <c r="BE222" s="5198"/>
      <c r="BF222" s="5198"/>
      <c r="BG222" s="5198"/>
      <c r="BH222" s="5095"/>
      <c r="BI222" s="3822"/>
      <c r="BJ222" s="3822"/>
      <c r="BK222" s="5092"/>
      <c r="BL222" s="5095"/>
      <c r="BM222" s="5095"/>
      <c r="BN222" s="5195"/>
      <c r="BO222" s="5195"/>
      <c r="BP222" s="5195"/>
      <c r="BQ222" s="5195"/>
      <c r="BR222" s="5192"/>
    </row>
    <row r="223" spans="1:70" ht="32.25" customHeight="1" x14ac:dyDescent="0.2">
      <c r="A223" s="2136"/>
      <c r="B223" s="2137"/>
      <c r="C223" s="2138"/>
      <c r="D223" s="2137"/>
      <c r="E223" s="2137"/>
      <c r="F223" s="2138"/>
      <c r="G223" s="2145"/>
      <c r="H223" s="2137"/>
      <c r="I223" s="2138"/>
      <c r="J223" s="5111"/>
      <c r="K223" s="5088"/>
      <c r="L223" s="5085"/>
      <c r="M223" s="5085"/>
      <c r="N223" s="5085"/>
      <c r="O223" s="5085"/>
      <c r="P223" s="5085"/>
      <c r="Q223" s="5088"/>
      <c r="R223" s="5119"/>
      <c r="S223" s="5102"/>
      <c r="T223" s="5088"/>
      <c r="U223" s="5088"/>
      <c r="V223" s="5170" t="s">
        <v>1856</v>
      </c>
      <c r="W223" s="2203">
        <v>12000000</v>
      </c>
      <c r="X223" s="2203">
        <f>7392500+4896500-289000</f>
        <v>12000000</v>
      </c>
      <c r="Y223" s="2203">
        <v>7392500</v>
      </c>
      <c r="Z223" s="2143">
        <v>61</v>
      </c>
      <c r="AA223" s="5085"/>
      <c r="AB223" s="5198"/>
      <c r="AC223" s="5198"/>
      <c r="AD223" s="5198"/>
      <c r="AE223" s="5198"/>
      <c r="AF223" s="5198"/>
      <c r="AG223" s="5198"/>
      <c r="AH223" s="5198"/>
      <c r="AI223" s="5198"/>
      <c r="AJ223" s="5198"/>
      <c r="AK223" s="5198"/>
      <c r="AL223" s="5198"/>
      <c r="AM223" s="5198"/>
      <c r="AN223" s="5198"/>
      <c r="AO223" s="5198"/>
      <c r="AP223" s="5198"/>
      <c r="AQ223" s="5198"/>
      <c r="AR223" s="5198"/>
      <c r="AS223" s="5198"/>
      <c r="AT223" s="5198"/>
      <c r="AU223" s="5198"/>
      <c r="AV223" s="5198"/>
      <c r="AW223" s="5198"/>
      <c r="AX223" s="5198"/>
      <c r="AY223" s="5198"/>
      <c r="AZ223" s="5198"/>
      <c r="BA223" s="5198"/>
      <c r="BB223" s="5198"/>
      <c r="BC223" s="5198"/>
      <c r="BD223" s="5198"/>
      <c r="BE223" s="5198"/>
      <c r="BF223" s="5198"/>
      <c r="BG223" s="5198"/>
      <c r="BH223" s="5095"/>
      <c r="BI223" s="3822"/>
      <c r="BJ223" s="3822"/>
      <c r="BK223" s="5092"/>
      <c r="BL223" s="5095"/>
      <c r="BM223" s="5095"/>
      <c r="BN223" s="5195"/>
      <c r="BO223" s="5195"/>
      <c r="BP223" s="5195"/>
      <c r="BQ223" s="5195"/>
      <c r="BR223" s="5192"/>
    </row>
    <row r="224" spans="1:70" ht="105" customHeight="1" x14ac:dyDescent="0.2">
      <c r="A224" s="2136"/>
      <c r="B224" s="2137"/>
      <c r="C224" s="2138"/>
      <c r="D224" s="2137"/>
      <c r="E224" s="2137"/>
      <c r="F224" s="2138"/>
      <c r="G224" s="2145"/>
      <c r="H224" s="2137"/>
      <c r="I224" s="2138"/>
      <c r="J224" s="5112"/>
      <c r="K224" s="5089"/>
      <c r="L224" s="5086"/>
      <c r="M224" s="5086"/>
      <c r="N224" s="5086"/>
      <c r="O224" s="5085"/>
      <c r="P224" s="5085"/>
      <c r="Q224" s="5088"/>
      <c r="R224" s="5120"/>
      <c r="S224" s="5102"/>
      <c r="T224" s="5088"/>
      <c r="U224" s="5089"/>
      <c r="V224" s="5182"/>
      <c r="W224" s="2203">
        <v>14000000</v>
      </c>
      <c r="X224" s="2203">
        <v>14000000</v>
      </c>
      <c r="Y224" s="2203">
        <v>5596000</v>
      </c>
      <c r="Z224" s="2143">
        <v>98</v>
      </c>
      <c r="AA224" s="5085"/>
      <c r="AB224" s="5198"/>
      <c r="AC224" s="5198"/>
      <c r="AD224" s="5198"/>
      <c r="AE224" s="5198"/>
      <c r="AF224" s="5198"/>
      <c r="AG224" s="5198"/>
      <c r="AH224" s="5198"/>
      <c r="AI224" s="5198"/>
      <c r="AJ224" s="5198"/>
      <c r="AK224" s="5198"/>
      <c r="AL224" s="5198"/>
      <c r="AM224" s="5198"/>
      <c r="AN224" s="5198"/>
      <c r="AO224" s="5198"/>
      <c r="AP224" s="5198"/>
      <c r="AQ224" s="5198"/>
      <c r="AR224" s="5198"/>
      <c r="AS224" s="5198"/>
      <c r="AT224" s="5198"/>
      <c r="AU224" s="5198"/>
      <c r="AV224" s="5198"/>
      <c r="AW224" s="5198"/>
      <c r="AX224" s="5198"/>
      <c r="AY224" s="5198"/>
      <c r="AZ224" s="5198"/>
      <c r="BA224" s="5198"/>
      <c r="BB224" s="5198"/>
      <c r="BC224" s="5198"/>
      <c r="BD224" s="5198"/>
      <c r="BE224" s="5198"/>
      <c r="BF224" s="5198"/>
      <c r="BG224" s="5198"/>
      <c r="BH224" s="5095"/>
      <c r="BI224" s="3822"/>
      <c r="BJ224" s="3822"/>
      <c r="BK224" s="5092"/>
      <c r="BL224" s="5095"/>
      <c r="BM224" s="5095"/>
      <c r="BN224" s="5195"/>
      <c r="BO224" s="5195"/>
      <c r="BP224" s="5195"/>
      <c r="BQ224" s="5195"/>
      <c r="BR224" s="5192"/>
    </row>
    <row r="225" spans="1:70" ht="76.5" customHeight="1" x14ac:dyDescent="0.2">
      <c r="A225" s="2136"/>
      <c r="B225" s="2137"/>
      <c r="C225" s="2138"/>
      <c r="D225" s="2137"/>
      <c r="E225" s="2137"/>
      <c r="F225" s="2138"/>
      <c r="G225" s="2145"/>
      <c r="H225" s="2137"/>
      <c r="I225" s="2138"/>
      <c r="J225" s="5110">
        <v>155</v>
      </c>
      <c r="K225" s="5087" t="s">
        <v>1857</v>
      </c>
      <c r="L225" s="5084" t="s">
        <v>1581</v>
      </c>
      <c r="M225" s="5084">
        <v>1</v>
      </c>
      <c r="N225" s="5084">
        <v>1</v>
      </c>
      <c r="O225" s="5085"/>
      <c r="P225" s="5085"/>
      <c r="Q225" s="5088"/>
      <c r="R225" s="5118">
        <f>SUM(W225:W233)/S218</f>
        <v>0.31346851236044621</v>
      </c>
      <c r="S225" s="5102"/>
      <c r="T225" s="5088"/>
      <c r="U225" s="5087" t="s">
        <v>1858</v>
      </c>
      <c r="V225" s="2194" t="s">
        <v>1859</v>
      </c>
      <c r="W225" s="2203">
        <v>1000000</v>
      </c>
      <c r="X225" s="2203">
        <v>1000000</v>
      </c>
      <c r="Y225" s="2203">
        <v>1000000</v>
      </c>
      <c r="Z225" s="2143">
        <v>61</v>
      </c>
      <c r="AA225" s="5085"/>
      <c r="AB225" s="5198"/>
      <c r="AC225" s="5198"/>
      <c r="AD225" s="5198"/>
      <c r="AE225" s="5198"/>
      <c r="AF225" s="5198"/>
      <c r="AG225" s="5198"/>
      <c r="AH225" s="5198"/>
      <c r="AI225" s="5198"/>
      <c r="AJ225" s="5198"/>
      <c r="AK225" s="5198"/>
      <c r="AL225" s="5198"/>
      <c r="AM225" s="5198"/>
      <c r="AN225" s="5198"/>
      <c r="AO225" s="5198"/>
      <c r="AP225" s="5198"/>
      <c r="AQ225" s="5198"/>
      <c r="AR225" s="5198"/>
      <c r="AS225" s="5198"/>
      <c r="AT225" s="5198"/>
      <c r="AU225" s="5198"/>
      <c r="AV225" s="5198"/>
      <c r="AW225" s="5198"/>
      <c r="AX225" s="5198"/>
      <c r="AY225" s="5198"/>
      <c r="AZ225" s="5198"/>
      <c r="BA225" s="5198"/>
      <c r="BB225" s="5198"/>
      <c r="BC225" s="5198"/>
      <c r="BD225" s="5198"/>
      <c r="BE225" s="5198"/>
      <c r="BF225" s="5198"/>
      <c r="BG225" s="5198"/>
      <c r="BH225" s="5095"/>
      <c r="BI225" s="3822"/>
      <c r="BJ225" s="3822"/>
      <c r="BK225" s="5092"/>
      <c r="BL225" s="5095"/>
      <c r="BM225" s="5095"/>
      <c r="BN225" s="5195"/>
      <c r="BO225" s="5195"/>
      <c r="BP225" s="5195"/>
      <c r="BQ225" s="5195"/>
      <c r="BR225" s="5192"/>
    </row>
    <row r="226" spans="1:70" ht="85.5" x14ac:dyDescent="0.2">
      <c r="A226" s="2136"/>
      <c r="B226" s="2137"/>
      <c r="C226" s="2138"/>
      <c r="D226" s="2137"/>
      <c r="E226" s="2137"/>
      <c r="F226" s="2138"/>
      <c r="G226" s="2145"/>
      <c r="H226" s="2137"/>
      <c r="I226" s="2138"/>
      <c r="J226" s="5111"/>
      <c r="K226" s="5088"/>
      <c r="L226" s="5085"/>
      <c r="M226" s="5085"/>
      <c r="N226" s="5085"/>
      <c r="O226" s="5085"/>
      <c r="P226" s="5085"/>
      <c r="Q226" s="5088"/>
      <c r="R226" s="5119"/>
      <c r="S226" s="5102"/>
      <c r="T226" s="5088"/>
      <c r="U226" s="5088"/>
      <c r="V226" s="2194" t="s">
        <v>1860</v>
      </c>
      <c r="W226" s="2203">
        <v>18000000</v>
      </c>
      <c r="X226" s="2203">
        <v>18000000</v>
      </c>
      <c r="Y226" s="2203">
        <v>18000000</v>
      </c>
      <c r="Z226" s="2143">
        <v>61</v>
      </c>
      <c r="AA226" s="5085"/>
      <c r="AB226" s="5198"/>
      <c r="AC226" s="5198"/>
      <c r="AD226" s="5198"/>
      <c r="AE226" s="5198"/>
      <c r="AF226" s="5198"/>
      <c r="AG226" s="5198"/>
      <c r="AH226" s="5198"/>
      <c r="AI226" s="5198"/>
      <c r="AJ226" s="5198"/>
      <c r="AK226" s="5198"/>
      <c r="AL226" s="5198"/>
      <c r="AM226" s="5198"/>
      <c r="AN226" s="5198"/>
      <c r="AO226" s="5198"/>
      <c r="AP226" s="5198"/>
      <c r="AQ226" s="5198"/>
      <c r="AR226" s="5198"/>
      <c r="AS226" s="5198"/>
      <c r="AT226" s="5198"/>
      <c r="AU226" s="5198"/>
      <c r="AV226" s="5198"/>
      <c r="AW226" s="5198"/>
      <c r="AX226" s="5198"/>
      <c r="AY226" s="5198"/>
      <c r="AZ226" s="5198"/>
      <c r="BA226" s="5198"/>
      <c r="BB226" s="5198"/>
      <c r="BC226" s="5198"/>
      <c r="BD226" s="5198"/>
      <c r="BE226" s="5198"/>
      <c r="BF226" s="5198"/>
      <c r="BG226" s="5198"/>
      <c r="BH226" s="5095"/>
      <c r="BI226" s="3822"/>
      <c r="BJ226" s="3822"/>
      <c r="BK226" s="5092"/>
      <c r="BL226" s="5095"/>
      <c r="BM226" s="5095"/>
      <c r="BN226" s="5195"/>
      <c r="BO226" s="5195"/>
      <c r="BP226" s="5195"/>
      <c r="BQ226" s="5195"/>
      <c r="BR226" s="5192"/>
    </row>
    <row r="227" spans="1:70" ht="26.25" customHeight="1" x14ac:dyDescent="0.2">
      <c r="A227" s="2136"/>
      <c r="B227" s="2137"/>
      <c r="C227" s="2138"/>
      <c r="D227" s="2137"/>
      <c r="E227" s="2137"/>
      <c r="F227" s="2138"/>
      <c r="G227" s="2145"/>
      <c r="H227" s="2137"/>
      <c r="I227" s="2138"/>
      <c r="J227" s="5111"/>
      <c r="K227" s="5088"/>
      <c r="L227" s="5085"/>
      <c r="M227" s="5085"/>
      <c r="N227" s="5085"/>
      <c r="O227" s="5085"/>
      <c r="P227" s="5085"/>
      <c r="Q227" s="5088"/>
      <c r="R227" s="5119"/>
      <c r="S227" s="5102"/>
      <c r="T227" s="5088"/>
      <c r="U227" s="5088"/>
      <c r="V227" s="5170" t="s">
        <v>1861</v>
      </c>
      <c r="W227" s="2203">
        <v>45000000</v>
      </c>
      <c r="X227" s="2203">
        <f>17480000+26391500</f>
        <v>43871500</v>
      </c>
      <c r="Y227" s="2203">
        <f>12422800+5544200</f>
        <v>17967000</v>
      </c>
      <c r="Z227" s="2143">
        <v>61</v>
      </c>
      <c r="AA227" s="5085"/>
      <c r="AB227" s="5198"/>
      <c r="AC227" s="5198"/>
      <c r="AD227" s="5198"/>
      <c r="AE227" s="5198"/>
      <c r="AF227" s="5198"/>
      <c r="AG227" s="5198"/>
      <c r="AH227" s="5198"/>
      <c r="AI227" s="5198"/>
      <c r="AJ227" s="5198"/>
      <c r="AK227" s="5198"/>
      <c r="AL227" s="5198"/>
      <c r="AM227" s="5198"/>
      <c r="AN227" s="5198"/>
      <c r="AO227" s="5198"/>
      <c r="AP227" s="5198"/>
      <c r="AQ227" s="5198"/>
      <c r="AR227" s="5198"/>
      <c r="AS227" s="5198"/>
      <c r="AT227" s="5198"/>
      <c r="AU227" s="5198"/>
      <c r="AV227" s="5198"/>
      <c r="AW227" s="5198"/>
      <c r="AX227" s="5198"/>
      <c r="AY227" s="5198"/>
      <c r="AZ227" s="5198"/>
      <c r="BA227" s="5198"/>
      <c r="BB227" s="5198"/>
      <c r="BC227" s="5198"/>
      <c r="BD227" s="5198"/>
      <c r="BE227" s="5198"/>
      <c r="BF227" s="5198"/>
      <c r="BG227" s="5198"/>
      <c r="BH227" s="5095"/>
      <c r="BI227" s="3822"/>
      <c r="BJ227" s="3822"/>
      <c r="BK227" s="5092"/>
      <c r="BL227" s="5095"/>
      <c r="BM227" s="5095"/>
      <c r="BN227" s="5195"/>
      <c r="BO227" s="5195"/>
      <c r="BP227" s="5195"/>
      <c r="BQ227" s="5195"/>
      <c r="BR227" s="5192"/>
    </row>
    <row r="228" spans="1:70" ht="27.75" customHeight="1" x14ac:dyDescent="0.2">
      <c r="A228" s="2136"/>
      <c r="B228" s="2137"/>
      <c r="C228" s="2138"/>
      <c r="D228" s="2137"/>
      <c r="E228" s="2137"/>
      <c r="F228" s="2138"/>
      <c r="G228" s="2145"/>
      <c r="H228" s="2137"/>
      <c r="I228" s="2138"/>
      <c r="J228" s="5111"/>
      <c r="K228" s="5088"/>
      <c r="L228" s="5085"/>
      <c r="M228" s="5085"/>
      <c r="N228" s="5085"/>
      <c r="O228" s="5085"/>
      <c r="P228" s="5085"/>
      <c r="Q228" s="5088"/>
      <c r="R228" s="5119"/>
      <c r="S228" s="5102"/>
      <c r="T228" s="5088"/>
      <c r="U228" s="5088"/>
      <c r="V228" s="5182"/>
      <c r="W228" s="2203">
        <v>15500000</v>
      </c>
      <c r="X228" s="2203">
        <v>15329000</v>
      </c>
      <c r="Y228" s="2203">
        <v>0</v>
      </c>
      <c r="Z228" s="2178">
        <v>98</v>
      </c>
      <c r="AA228" s="5085"/>
      <c r="AB228" s="5198"/>
      <c r="AC228" s="5198"/>
      <c r="AD228" s="5198"/>
      <c r="AE228" s="5198"/>
      <c r="AF228" s="5198"/>
      <c r="AG228" s="5198"/>
      <c r="AH228" s="5198"/>
      <c r="AI228" s="5198"/>
      <c r="AJ228" s="5198"/>
      <c r="AK228" s="5198"/>
      <c r="AL228" s="5198"/>
      <c r="AM228" s="5198"/>
      <c r="AN228" s="5198"/>
      <c r="AO228" s="5198"/>
      <c r="AP228" s="5198"/>
      <c r="AQ228" s="5198"/>
      <c r="AR228" s="5198"/>
      <c r="AS228" s="5198"/>
      <c r="AT228" s="5198"/>
      <c r="AU228" s="5198"/>
      <c r="AV228" s="5198"/>
      <c r="AW228" s="5198"/>
      <c r="AX228" s="5198"/>
      <c r="AY228" s="5198"/>
      <c r="AZ228" s="5198"/>
      <c r="BA228" s="5198"/>
      <c r="BB228" s="5198"/>
      <c r="BC228" s="5198"/>
      <c r="BD228" s="5198"/>
      <c r="BE228" s="5198"/>
      <c r="BF228" s="5198"/>
      <c r="BG228" s="5198"/>
      <c r="BH228" s="5095"/>
      <c r="BI228" s="3822"/>
      <c r="BJ228" s="3822"/>
      <c r="BK228" s="5092"/>
      <c r="BL228" s="5095"/>
      <c r="BM228" s="5095"/>
      <c r="BN228" s="5195"/>
      <c r="BO228" s="5195"/>
      <c r="BP228" s="5195"/>
      <c r="BQ228" s="5195"/>
      <c r="BR228" s="5192"/>
    </row>
    <row r="229" spans="1:70" ht="57" customHeight="1" x14ac:dyDescent="0.2">
      <c r="A229" s="2136"/>
      <c r="B229" s="2137"/>
      <c r="C229" s="2138"/>
      <c r="D229" s="2137"/>
      <c r="E229" s="2137"/>
      <c r="F229" s="2138"/>
      <c r="G229" s="2145"/>
      <c r="H229" s="2137"/>
      <c r="I229" s="2138"/>
      <c r="J229" s="5111"/>
      <c r="K229" s="5088"/>
      <c r="L229" s="5085"/>
      <c r="M229" s="5085"/>
      <c r="N229" s="5085"/>
      <c r="O229" s="5085"/>
      <c r="P229" s="5085"/>
      <c r="Q229" s="5088"/>
      <c r="R229" s="5119"/>
      <c r="S229" s="5102"/>
      <c r="T229" s="5088"/>
      <c r="U229" s="5088"/>
      <c r="V229" s="2194" t="s">
        <v>1862</v>
      </c>
      <c r="W229" s="2203">
        <v>1000000</v>
      </c>
      <c r="X229" s="2203">
        <v>1000000</v>
      </c>
      <c r="Y229" s="2203">
        <v>1000000</v>
      </c>
      <c r="Z229" s="2143">
        <v>61</v>
      </c>
      <c r="AA229" s="5085"/>
      <c r="AB229" s="5198"/>
      <c r="AC229" s="5198"/>
      <c r="AD229" s="5198"/>
      <c r="AE229" s="5198"/>
      <c r="AF229" s="5198"/>
      <c r="AG229" s="5198"/>
      <c r="AH229" s="5198"/>
      <c r="AI229" s="5198"/>
      <c r="AJ229" s="5198"/>
      <c r="AK229" s="5198"/>
      <c r="AL229" s="5198"/>
      <c r="AM229" s="5198"/>
      <c r="AN229" s="5198"/>
      <c r="AO229" s="5198"/>
      <c r="AP229" s="5198"/>
      <c r="AQ229" s="5198"/>
      <c r="AR229" s="5198"/>
      <c r="AS229" s="5198"/>
      <c r="AT229" s="5198"/>
      <c r="AU229" s="5198"/>
      <c r="AV229" s="5198"/>
      <c r="AW229" s="5198"/>
      <c r="AX229" s="5198"/>
      <c r="AY229" s="5198"/>
      <c r="AZ229" s="5198"/>
      <c r="BA229" s="5198"/>
      <c r="BB229" s="5198"/>
      <c r="BC229" s="5198"/>
      <c r="BD229" s="5198"/>
      <c r="BE229" s="5198"/>
      <c r="BF229" s="5198"/>
      <c r="BG229" s="5198"/>
      <c r="BH229" s="5095"/>
      <c r="BI229" s="3822"/>
      <c r="BJ229" s="3822"/>
      <c r="BK229" s="5092"/>
      <c r="BL229" s="5095"/>
      <c r="BM229" s="5095"/>
      <c r="BN229" s="5195"/>
      <c r="BO229" s="5195"/>
      <c r="BP229" s="5195"/>
      <c r="BQ229" s="5195"/>
      <c r="BR229" s="5192"/>
    </row>
    <row r="230" spans="1:70" ht="57" x14ac:dyDescent="0.2">
      <c r="A230" s="2136"/>
      <c r="B230" s="2137"/>
      <c r="C230" s="2138"/>
      <c r="D230" s="2137"/>
      <c r="E230" s="2137"/>
      <c r="F230" s="2138"/>
      <c r="G230" s="2145"/>
      <c r="H230" s="2137"/>
      <c r="I230" s="2138"/>
      <c r="J230" s="5111"/>
      <c r="K230" s="5088"/>
      <c r="L230" s="5085"/>
      <c r="M230" s="5085"/>
      <c r="N230" s="5085"/>
      <c r="O230" s="5085"/>
      <c r="P230" s="5085"/>
      <c r="Q230" s="5088"/>
      <c r="R230" s="5119"/>
      <c r="S230" s="5102"/>
      <c r="T230" s="5088"/>
      <c r="U230" s="5088"/>
      <c r="V230" s="2194" t="s">
        <v>1863</v>
      </c>
      <c r="W230" s="2203">
        <v>1000000</v>
      </c>
      <c r="X230" s="2203">
        <v>1000000</v>
      </c>
      <c r="Y230" s="2203">
        <v>1000000</v>
      </c>
      <c r="Z230" s="2143">
        <v>61</v>
      </c>
      <c r="AA230" s="5085"/>
      <c r="AB230" s="5198"/>
      <c r="AC230" s="5198"/>
      <c r="AD230" s="5198"/>
      <c r="AE230" s="5198"/>
      <c r="AF230" s="5198"/>
      <c r="AG230" s="5198"/>
      <c r="AH230" s="5198"/>
      <c r="AI230" s="5198"/>
      <c r="AJ230" s="5198"/>
      <c r="AK230" s="5198"/>
      <c r="AL230" s="5198"/>
      <c r="AM230" s="5198"/>
      <c r="AN230" s="5198"/>
      <c r="AO230" s="5198"/>
      <c r="AP230" s="5198"/>
      <c r="AQ230" s="5198"/>
      <c r="AR230" s="5198"/>
      <c r="AS230" s="5198"/>
      <c r="AT230" s="5198"/>
      <c r="AU230" s="5198"/>
      <c r="AV230" s="5198"/>
      <c r="AW230" s="5198"/>
      <c r="AX230" s="5198"/>
      <c r="AY230" s="5198"/>
      <c r="AZ230" s="5198"/>
      <c r="BA230" s="5198"/>
      <c r="BB230" s="5198"/>
      <c r="BC230" s="5198"/>
      <c r="BD230" s="5198"/>
      <c r="BE230" s="5198"/>
      <c r="BF230" s="5198"/>
      <c r="BG230" s="5198"/>
      <c r="BH230" s="5095"/>
      <c r="BI230" s="3822"/>
      <c r="BJ230" s="3822"/>
      <c r="BK230" s="5092"/>
      <c r="BL230" s="5095"/>
      <c r="BM230" s="5095"/>
      <c r="BN230" s="5195"/>
      <c r="BO230" s="5195"/>
      <c r="BP230" s="5195"/>
      <c r="BQ230" s="5195"/>
      <c r="BR230" s="5192"/>
    </row>
    <row r="231" spans="1:70" ht="54" customHeight="1" x14ac:dyDescent="0.2">
      <c r="A231" s="2136"/>
      <c r="B231" s="2137"/>
      <c r="C231" s="2138"/>
      <c r="D231" s="2137"/>
      <c r="E231" s="2137"/>
      <c r="F231" s="2138"/>
      <c r="G231" s="2145"/>
      <c r="H231" s="2137"/>
      <c r="I231" s="2138"/>
      <c r="J231" s="5111"/>
      <c r="K231" s="5088"/>
      <c r="L231" s="5085"/>
      <c r="M231" s="5085"/>
      <c r="N231" s="5085"/>
      <c r="O231" s="5085"/>
      <c r="P231" s="5085"/>
      <c r="Q231" s="5088"/>
      <c r="R231" s="5119"/>
      <c r="S231" s="5102"/>
      <c r="T231" s="5088"/>
      <c r="U231" s="5088"/>
      <c r="V231" s="2194" t="s">
        <v>1864</v>
      </c>
      <c r="W231" s="2203">
        <v>13500000</v>
      </c>
      <c r="X231" s="2203">
        <v>13500000</v>
      </c>
      <c r="Y231" s="2203">
        <v>13500000</v>
      </c>
      <c r="Z231" s="2143">
        <v>61</v>
      </c>
      <c r="AA231" s="5085"/>
      <c r="AB231" s="5198"/>
      <c r="AC231" s="5198"/>
      <c r="AD231" s="5198"/>
      <c r="AE231" s="5198"/>
      <c r="AF231" s="5198"/>
      <c r="AG231" s="5198"/>
      <c r="AH231" s="5198"/>
      <c r="AI231" s="5198"/>
      <c r="AJ231" s="5198"/>
      <c r="AK231" s="5198"/>
      <c r="AL231" s="5198"/>
      <c r="AM231" s="5198"/>
      <c r="AN231" s="5198"/>
      <c r="AO231" s="5198"/>
      <c r="AP231" s="5198"/>
      <c r="AQ231" s="5198"/>
      <c r="AR231" s="5198"/>
      <c r="AS231" s="5198"/>
      <c r="AT231" s="5198"/>
      <c r="AU231" s="5198"/>
      <c r="AV231" s="5198"/>
      <c r="AW231" s="5198"/>
      <c r="AX231" s="5198"/>
      <c r="AY231" s="5198"/>
      <c r="AZ231" s="5198"/>
      <c r="BA231" s="5198"/>
      <c r="BB231" s="5198"/>
      <c r="BC231" s="5198"/>
      <c r="BD231" s="5198"/>
      <c r="BE231" s="5198"/>
      <c r="BF231" s="5198"/>
      <c r="BG231" s="5198"/>
      <c r="BH231" s="5095"/>
      <c r="BI231" s="3822"/>
      <c r="BJ231" s="3822"/>
      <c r="BK231" s="5092"/>
      <c r="BL231" s="5095"/>
      <c r="BM231" s="5095"/>
      <c r="BN231" s="5195"/>
      <c r="BO231" s="5195"/>
      <c r="BP231" s="5195"/>
      <c r="BQ231" s="5195"/>
      <c r="BR231" s="5192"/>
    </row>
    <row r="232" spans="1:70" ht="51" customHeight="1" x14ac:dyDescent="0.2">
      <c r="A232" s="2136"/>
      <c r="B232" s="2137"/>
      <c r="C232" s="2138"/>
      <c r="D232" s="2137"/>
      <c r="E232" s="2137"/>
      <c r="F232" s="2138"/>
      <c r="G232" s="2145"/>
      <c r="H232" s="2137"/>
      <c r="I232" s="2138"/>
      <c r="J232" s="5111"/>
      <c r="K232" s="5088"/>
      <c r="L232" s="5085"/>
      <c r="M232" s="5085"/>
      <c r="N232" s="5085"/>
      <c r="O232" s="5085"/>
      <c r="P232" s="5085"/>
      <c r="Q232" s="5088"/>
      <c r="R232" s="5119"/>
      <c r="S232" s="5102"/>
      <c r="T232" s="5088"/>
      <c r="U232" s="5088"/>
      <c r="V232" s="2194" t="s">
        <v>1865</v>
      </c>
      <c r="W232" s="2203">
        <v>3500000</v>
      </c>
      <c r="X232" s="2203">
        <v>3500000</v>
      </c>
      <c r="Y232" s="2203">
        <v>3500000</v>
      </c>
      <c r="Z232" s="2143">
        <v>61</v>
      </c>
      <c r="AA232" s="5085"/>
      <c r="AB232" s="5198"/>
      <c r="AC232" s="5198"/>
      <c r="AD232" s="5198"/>
      <c r="AE232" s="5198"/>
      <c r="AF232" s="5198"/>
      <c r="AG232" s="5198"/>
      <c r="AH232" s="5198"/>
      <c r="AI232" s="5198"/>
      <c r="AJ232" s="5198"/>
      <c r="AK232" s="5198"/>
      <c r="AL232" s="5198"/>
      <c r="AM232" s="5198"/>
      <c r="AN232" s="5198"/>
      <c r="AO232" s="5198"/>
      <c r="AP232" s="5198"/>
      <c r="AQ232" s="5198"/>
      <c r="AR232" s="5198"/>
      <c r="AS232" s="5198"/>
      <c r="AT232" s="5198"/>
      <c r="AU232" s="5198"/>
      <c r="AV232" s="5198"/>
      <c r="AW232" s="5198"/>
      <c r="AX232" s="5198"/>
      <c r="AY232" s="5198"/>
      <c r="AZ232" s="5198"/>
      <c r="BA232" s="5198"/>
      <c r="BB232" s="5198"/>
      <c r="BC232" s="5198"/>
      <c r="BD232" s="5198"/>
      <c r="BE232" s="5198"/>
      <c r="BF232" s="5198"/>
      <c r="BG232" s="5198"/>
      <c r="BH232" s="5095"/>
      <c r="BI232" s="3822"/>
      <c r="BJ232" s="3822"/>
      <c r="BK232" s="5092"/>
      <c r="BL232" s="5095"/>
      <c r="BM232" s="5095"/>
      <c r="BN232" s="5195"/>
      <c r="BO232" s="5195"/>
      <c r="BP232" s="5195"/>
      <c r="BQ232" s="5195"/>
      <c r="BR232" s="5192"/>
    </row>
    <row r="233" spans="1:70" ht="51.75" customHeight="1" x14ac:dyDescent="0.2">
      <c r="A233" s="2136"/>
      <c r="B233" s="2137"/>
      <c r="C233" s="2138"/>
      <c r="D233" s="2137"/>
      <c r="E233" s="2137"/>
      <c r="F233" s="2138"/>
      <c r="G233" s="2145"/>
      <c r="H233" s="2137"/>
      <c r="I233" s="2138"/>
      <c r="J233" s="5112"/>
      <c r="K233" s="5089"/>
      <c r="L233" s="5086"/>
      <c r="M233" s="5086"/>
      <c r="N233" s="5086"/>
      <c r="O233" s="5085"/>
      <c r="P233" s="5085"/>
      <c r="Q233" s="5088"/>
      <c r="R233" s="5120"/>
      <c r="S233" s="5102"/>
      <c r="T233" s="5088"/>
      <c r="U233" s="5089"/>
      <c r="V233" s="2194" t="s">
        <v>1866</v>
      </c>
      <c r="W233" s="2203">
        <v>1000000</v>
      </c>
      <c r="X233" s="2203">
        <v>1000000</v>
      </c>
      <c r="Y233" s="2203">
        <v>1000000</v>
      </c>
      <c r="Z233" s="2143">
        <v>61</v>
      </c>
      <c r="AA233" s="5085"/>
      <c r="AB233" s="5198"/>
      <c r="AC233" s="5198"/>
      <c r="AD233" s="5198"/>
      <c r="AE233" s="5198"/>
      <c r="AF233" s="5198"/>
      <c r="AG233" s="5198"/>
      <c r="AH233" s="5198"/>
      <c r="AI233" s="5198"/>
      <c r="AJ233" s="5198"/>
      <c r="AK233" s="5198"/>
      <c r="AL233" s="5198"/>
      <c r="AM233" s="5198"/>
      <c r="AN233" s="5198"/>
      <c r="AO233" s="5198"/>
      <c r="AP233" s="5198"/>
      <c r="AQ233" s="5198"/>
      <c r="AR233" s="5198"/>
      <c r="AS233" s="5198"/>
      <c r="AT233" s="5198"/>
      <c r="AU233" s="5198"/>
      <c r="AV233" s="5198"/>
      <c r="AW233" s="5198"/>
      <c r="AX233" s="5198"/>
      <c r="AY233" s="5198"/>
      <c r="AZ233" s="5198"/>
      <c r="BA233" s="5198"/>
      <c r="BB233" s="5198"/>
      <c r="BC233" s="5198"/>
      <c r="BD233" s="5198"/>
      <c r="BE233" s="5198"/>
      <c r="BF233" s="5198"/>
      <c r="BG233" s="5198"/>
      <c r="BH233" s="5095"/>
      <c r="BI233" s="3822"/>
      <c r="BJ233" s="3822"/>
      <c r="BK233" s="5092"/>
      <c r="BL233" s="5095"/>
      <c r="BM233" s="5095"/>
      <c r="BN233" s="5195"/>
      <c r="BO233" s="5195"/>
      <c r="BP233" s="5195"/>
      <c r="BQ233" s="5195"/>
      <c r="BR233" s="5192"/>
    </row>
    <row r="234" spans="1:70" ht="68.25" customHeight="1" x14ac:dyDescent="0.2">
      <c r="A234" s="2136"/>
      <c r="B234" s="2137"/>
      <c r="C234" s="2138"/>
      <c r="D234" s="2137"/>
      <c r="E234" s="2137"/>
      <c r="F234" s="2138"/>
      <c r="G234" s="2145"/>
      <c r="H234" s="2137"/>
      <c r="I234" s="2138"/>
      <c r="J234" s="5110">
        <v>156</v>
      </c>
      <c r="K234" s="5087" t="s">
        <v>1867</v>
      </c>
      <c r="L234" s="5084" t="s">
        <v>1581</v>
      </c>
      <c r="M234" s="5084">
        <v>12</v>
      </c>
      <c r="N234" s="5084">
        <v>12</v>
      </c>
      <c r="O234" s="5085"/>
      <c r="P234" s="5085"/>
      <c r="Q234" s="5088"/>
      <c r="R234" s="5118">
        <f>SUM(W234:W240)/S218</f>
        <v>0.32738163428185663</v>
      </c>
      <c r="S234" s="5102"/>
      <c r="T234" s="5088"/>
      <c r="U234" s="5087" t="s">
        <v>1868</v>
      </c>
      <c r="V234" s="2194" t="s">
        <v>1869</v>
      </c>
      <c r="W234" s="2203">
        <v>20000000</v>
      </c>
      <c r="X234" s="2203">
        <f>10000000+6390574</f>
        <v>16390574</v>
      </c>
      <c r="Y234" s="2203">
        <f>5890400+1831600</f>
        <v>7722000</v>
      </c>
      <c r="Z234" s="2143">
        <v>61</v>
      </c>
      <c r="AA234" s="5085"/>
      <c r="AB234" s="5198"/>
      <c r="AC234" s="5198"/>
      <c r="AD234" s="5198"/>
      <c r="AE234" s="5198"/>
      <c r="AF234" s="5198"/>
      <c r="AG234" s="5198"/>
      <c r="AH234" s="5198"/>
      <c r="AI234" s="5198"/>
      <c r="AJ234" s="5198"/>
      <c r="AK234" s="5198"/>
      <c r="AL234" s="5198"/>
      <c r="AM234" s="5198"/>
      <c r="AN234" s="5198"/>
      <c r="AO234" s="5198"/>
      <c r="AP234" s="5198"/>
      <c r="AQ234" s="5198"/>
      <c r="AR234" s="5198"/>
      <c r="AS234" s="5198"/>
      <c r="AT234" s="5198"/>
      <c r="AU234" s="5198"/>
      <c r="AV234" s="5198"/>
      <c r="AW234" s="5198"/>
      <c r="AX234" s="5198"/>
      <c r="AY234" s="5198"/>
      <c r="AZ234" s="5198"/>
      <c r="BA234" s="5198"/>
      <c r="BB234" s="5198"/>
      <c r="BC234" s="5198"/>
      <c r="BD234" s="5198"/>
      <c r="BE234" s="5198"/>
      <c r="BF234" s="5198"/>
      <c r="BG234" s="5198"/>
      <c r="BH234" s="5095"/>
      <c r="BI234" s="3822"/>
      <c r="BJ234" s="3822"/>
      <c r="BK234" s="5092"/>
      <c r="BL234" s="5095"/>
      <c r="BM234" s="5095"/>
      <c r="BN234" s="5195"/>
      <c r="BO234" s="5195"/>
      <c r="BP234" s="5195"/>
      <c r="BQ234" s="5195"/>
      <c r="BR234" s="5192"/>
    </row>
    <row r="235" spans="1:70" ht="69.75" customHeight="1" x14ac:dyDescent="0.2">
      <c r="A235" s="2136"/>
      <c r="B235" s="2137"/>
      <c r="C235" s="2138"/>
      <c r="D235" s="2137"/>
      <c r="E235" s="2137"/>
      <c r="F235" s="2138"/>
      <c r="G235" s="2145"/>
      <c r="H235" s="2137"/>
      <c r="I235" s="2138"/>
      <c r="J235" s="5111"/>
      <c r="K235" s="5088"/>
      <c r="L235" s="5085"/>
      <c r="M235" s="5085"/>
      <c r="N235" s="5085"/>
      <c r="O235" s="5085"/>
      <c r="P235" s="5085"/>
      <c r="Q235" s="5088"/>
      <c r="R235" s="5119"/>
      <c r="S235" s="5102"/>
      <c r="T235" s="5088"/>
      <c r="U235" s="5088"/>
      <c r="V235" s="2194" t="s">
        <v>1870</v>
      </c>
      <c r="W235" s="2203">
        <v>20000000</v>
      </c>
      <c r="X235" s="2203">
        <f>10000000+6390575</f>
        <v>16390575</v>
      </c>
      <c r="Y235" s="2203">
        <f>5890400+1831600</f>
        <v>7722000</v>
      </c>
      <c r="Z235" s="2143">
        <v>61</v>
      </c>
      <c r="AA235" s="5085"/>
      <c r="AB235" s="5198"/>
      <c r="AC235" s="5198"/>
      <c r="AD235" s="5198"/>
      <c r="AE235" s="5198"/>
      <c r="AF235" s="5198"/>
      <c r="AG235" s="5198"/>
      <c r="AH235" s="5198"/>
      <c r="AI235" s="5198"/>
      <c r="AJ235" s="5198"/>
      <c r="AK235" s="5198"/>
      <c r="AL235" s="5198"/>
      <c r="AM235" s="5198"/>
      <c r="AN235" s="5198"/>
      <c r="AO235" s="5198"/>
      <c r="AP235" s="5198"/>
      <c r="AQ235" s="5198"/>
      <c r="AR235" s="5198"/>
      <c r="AS235" s="5198"/>
      <c r="AT235" s="5198"/>
      <c r="AU235" s="5198"/>
      <c r="AV235" s="5198"/>
      <c r="AW235" s="5198"/>
      <c r="AX235" s="5198"/>
      <c r="AY235" s="5198"/>
      <c r="AZ235" s="5198"/>
      <c r="BA235" s="5198"/>
      <c r="BB235" s="5198"/>
      <c r="BC235" s="5198"/>
      <c r="BD235" s="5198"/>
      <c r="BE235" s="5198"/>
      <c r="BF235" s="5198"/>
      <c r="BG235" s="5198"/>
      <c r="BH235" s="5095"/>
      <c r="BI235" s="3822"/>
      <c r="BJ235" s="3822"/>
      <c r="BK235" s="5092"/>
      <c r="BL235" s="5095"/>
      <c r="BM235" s="5095"/>
      <c r="BN235" s="5195"/>
      <c r="BO235" s="5195"/>
      <c r="BP235" s="5195"/>
      <c r="BQ235" s="5195"/>
      <c r="BR235" s="5192"/>
    </row>
    <row r="236" spans="1:70" ht="57" x14ac:dyDescent="0.2">
      <c r="A236" s="2136"/>
      <c r="B236" s="2137"/>
      <c r="C236" s="2138"/>
      <c r="D236" s="2137"/>
      <c r="E236" s="2137"/>
      <c r="F236" s="2138"/>
      <c r="G236" s="2145"/>
      <c r="H236" s="2137"/>
      <c r="I236" s="2138"/>
      <c r="J236" s="5111"/>
      <c r="K236" s="5088"/>
      <c r="L236" s="5085"/>
      <c r="M236" s="5085"/>
      <c r="N236" s="5085"/>
      <c r="O236" s="5085"/>
      <c r="P236" s="5085"/>
      <c r="Q236" s="5088"/>
      <c r="R236" s="5119"/>
      <c r="S236" s="5102"/>
      <c r="T236" s="5088"/>
      <c r="U236" s="5088"/>
      <c r="V236" s="2194" t="s">
        <v>1871</v>
      </c>
      <c r="W236" s="2203">
        <v>4000000</v>
      </c>
      <c r="X236" s="2203">
        <v>4000000</v>
      </c>
      <c r="Y236" s="2203">
        <v>4000000</v>
      </c>
      <c r="Z236" s="2143">
        <v>61</v>
      </c>
      <c r="AA236" s="5085"/>
      <c r="AB236" s="5198"/>
      <c r="AC236" s="5198"/>
      <c r="AD236" s="5198"/>
      <c r="AE236" s="5198"/>
      <c r="AF236" s="5198"/>
      <c r="AG236" s="5198"/>
      <c r="AH236" s="5198"/>
      <c r="AI236" s="5198"/>
      <c r="AJ236" s="5198"/>
      <c r="AK236" s="5198"/>
      <c r="AL236" s="5198"/>
      <c r="AM236" s="5198"/>
      <c r="AN236" s="5198"/>
      <c r="AO236" s="5198"/>
      <c r="AP236" s="5198"/>
      <c r="AQ236" s="5198"/>
      <c r="AR236" s="5198"/>
      <c r="AS236" s="5198"/>
      <c r="AT236" s="5198"/>
      <c r="AU236" s="5198"/>
      <c r="AV236" s="5198"/>
      <c r="AW236" s="5198"/>
      <c r="AX236" s="5198"/>
      <c r="AY236" s="5198"/>
      <c r="AZ236" s="5198"/>
      <c r="BA236" s="5198"/>
      <c r="BB236" s="5198"/>
      <c r="BC236" s="5198"/>
      <c r="BD236" s="5198"/>
      <c r="BE236" s="5198"/>
      <c r="BF236" s="5198"/>
      <c r="BG236" s="5198"/>
      <c r="BH236" s="5095"/>
      <c r="BI236" s="3822"/>
      <c r="BJ236" s="3822"/>
      <c r="BK236" s="5092"/>
      <c r="BL236" s="5095"/>
      <c r="BM236" s="5095"/>
      <c r="BN236" s="5195"/>
      <c r="BO236" s="5195"/>
      <c r="BP236" s="5195"/>
      <c r="BQ236" s="5195"/>
      <c r="BR236" s="5192"/>
    </row>
    <row r="237" spans="1:70" ht="57" customHeight="1" x14ac:dyDescent="0.2">
      <c r="A237" s="2136"/>
      <c r="B237" s="2137"/>
      <c r="C237" s="2138"/>
      <c r="D237" s="2137"/>
      <c r="E237" s="2137"/>
      <c r="F237" s="2138"/>
      <c r="G237" s="2145"/>
      <c r="H237" s="2137"/>
      <c r="I237" s="2138"/>
      <c r="J237" s="5111"/>
      <c r="K237" s="5088"/>
      <c r="L237" s="5085"/>
      <c r="M237" s="5085"/>
      <c r="N237" s="5085"/>
      <c r="O237" s="5085"/>
      <c r="P237" s="5085"/>
      <c r="Q237" s="5088"/>
      <c r="R237" s="5119"/>
      <c r="S237" s="5102"/>
      <c r="T237" s="5088"/>
      <c r="U237" s="5088"/>
      <c r="V237" s="5170" t="s">
        <v>1872</v>
      </c>
      <c r="W237" s="2203">
        <v>16000000</v>
      </c>
      <c r="X237" s="2203">
        <v>16000000</v>
      </c>
      <c r="Y237" s="2203">
        <f>5890400+1831600</f>
        <v>7722000</v>
      </c>
      <c r="Z237" s="2143">
        <v>61</v>
      </c>
      <c r="AA237" s="5085"/>
      <c r="AB237" s="5198"/>
      <c r="AC237" s="5198"/>
      <c r="AD237" s="5198"/>
      <c r="AE237" s="5198"/>
      <c r="AF237" s="5198"/>
      <c r="AG237" s="5198"/>
      <c r="AH237" s="5198"/>
      <c r="AI237" s="5198"/>
      <c r="AJ237" s="5198"/>
      <c r="AK237" s="5198"/>
      <c r="AL237" s="5198"/>
      <c r="AM237" s="5198"/>
      <c r="AN237" s="5198"/>
      <c r="AO237" s="5198"/>
      <c r="AP237" s="5198"/>
      <c r="AQ237" s="5198"/>
      <c r="AR237" s="5198"/>
      <c r="AS237" s="5198"/>
      <c r="AT237" s="5198"/>
      <c r="AU237" s="5198"/>
      <c r="AV237" s="5198"/>
      <c r="AW237" s="5198"/>
      <c r="AX237" s="5198"/>
      <c r="AY237" s="5198"/>
      <c r="AZ237" s="5198"/>
      <c r="BA237" s="5198"/>
      <c r="BB237" s="5198"/>
      <c r="BC237" s="5198"/>
      <c r="BD237" s="5198"/>
      <c r="BE237" s="5198"/>
      <c r="BF237" s="5198"/>
      <c r="BG237" s="5198"/>
      <c r="BH237" s="5095"/>
      <c r="BI237" s="3822"/>
      <c r="BJ237" s="3822"/>
      <c r="BK237" s="5092"/>
      <c r="BL237" s="5095"/>
      <c r="BM237" s="5095"/>
      <c r="BN237" s="5195"/>
      <c r="BO237" s="5195"/>
      <c r="BP237" s="5195"/>
      <c r="BQ237" s="5195"/>
      <c r="BR237" s="5192"/>
    </row>
    <row r="238" spans="1:70" ht="27.75" customHeight="1" x14ac:dyDescent="0.2">
      <c r="A238" s="2136"/>
      <c r="B238" s="2137"/>
      <c r="C238" s="2138"/>
      <c r="D238" s="2137"/>
      <c r="E238" s="2137"/>
      <c r="F238" s="2138"/>
      <c r="G238" s="2145"/>
      <c r="H238" s="2137"/>
      <c r="I238" s="2138"/>
      <c r="J238" s="5111"/>
      <c r="K238" s="5088"/>
      <c r="L238" s="5085"/>
      <c r="M238" s="5085"/>
      <c r="N238" s="5085"/>
      <c r="O238" s="5085"/>
      <c r="P238" s="5085"/>
      <c r="Q238" s="5088"/>
      <c r="R238" s="5119"/>
      <c r="S238" s="5102"/>
      <c r="T238" s="5088"/>
      <c r="U238" s="5088"/>
      <c r="V238" s="5182"/>
      <c r="W238" s="2203">
        <v>11916251</v>
      </c>
      <c r="X238" s="2203">
        <v>9118251</v>
      </c>
      <c r="Y238" s="2203">
        <v>0</v>
      </c>
      <c r="Z238" s="2178">
        <v>98</v>
      </c>
      <c r="AA238" s="5085"/>
      <c r="AB238" s="5198"/>
      <c r="AC238" s="5198"/>
      <c r="AD238" s="5198"/>
      <c r="AE238" s="5198"/>
      <c r="AF238" s="5198"/>
      <c r="AG238" s="5198"/>
      <c r="AH238" s="5198"/>
      <c r="AI238" s="5198"/>
      <c r="AJ238" s="5198"/>
      <c r="AK238" s="5198"/>
      <c r="AL238" s="5198"/>
      <c r="AM238" s="5198"/>
      <c r="AN238" s="5198"/>
      <c r="AO238" s="5198"/>
      <c r="AP238" s="5198"/>
      <c r="AQ238" s="5198"/>
      <c r="AR238" s="5198"/>
      <c r="AS238" s="5198"/>
      <c r="AT238" s="5198"/>
      <c r="AU238" s="5198"/>
      <c r="AV238" s="5198"/>
      <c r="AW238" s="5198"/>
      <c r="AX238" s="5198"/>
      <c r="AY238" s="5198"/>
      <c r="AZ238" s="5198"/>
      <c r="BA238" s="5198"/>
      <c r="BB238" s="5198"/>
      <c r="BC238" s="5198"/>
      <c r="BD238" s="5198"/>
      <c r="BE238" s="5198"/>
      <c r="BF238" s="5198"/>
      <c r="BG238" s="5198"/>
      <c r="BH238" s="5095"/>
      <c r="BI238" s="3822"/>
      <c r="BJ238" s="3822"/>
      <c r="BK238" s="5092"/>
      <c r="BL238" s="5095"/>
      <c r="BM238" s="5095"/>
      <c r="BN238" s="5195"/>
      <c r="BO238" s="5195"/>
      <c r="BP238" s="5195"/>
      <c r="BQ238" s="5195"/>
      <c r="BR238" s="5192"/>
    </row>
    <row r="239" spans="1:70" ht="57.75" customHeight="1" x14ac:dyDescent="0.2">
      <c r="A239" s="2136"/>
      <c r="B239" s="2137"/>
      <c r="C239" s="2138"/>
      <c r="D239" s="2137"/>
      <c r="E239" s="2137"/>
      <c r="F239" s="2138"/>
      <c r="G239" s="2145"/>
      <c r="H239" s="2137"/>
      <c r="I239" s="2138"/>
      <c r="J239" s="5111"/>
      <c r="K239" s="5088"/>
      <c r="L239" s="5085"/>
      <c r="M239" s="5085"/>
      <c r="N239" s="5085"/>
      <c r="O239" s="5085"/>
      <c r="P239" s="5085"/>
      <c r="Q239" s="5088"/>
      <c r="R239" s="5119"/>
      <c r="S239" s="5102"/>
      <c r="T239" s="5088"/>
      <c r="U239" s="5088"/>
      <c r="V239" s="2194" t="s">
        <v>1873</v>
      </c>
      <c r="W239" s="2203">
        <v>16000000</v>
      </c>
      <c r="X239" s="2203">
        <v>16000000</v>
      </c>
      <c r="Y239" s="2203">
        <f>5890400+1831600</f>
        <v>7722000</v>
      </c>
      <c r="Z239" s="2143">
        <v>61</v>
      </c>
      <c r="AA239" s="5085"/>
      <c r="AB239" s="5198"/>
      <c r="AC239" s="5198"/>
      <c r="AD239" s="5198"/>
      <c r="AE239" s="5198"/>
      <c r="AF239" s="5198"/>
      <c r="AG239" s="5198"/>
      <c r="AH239" s="5198"/>
      <c r="AI239" s="5198"/>
      <c r="AJ239" s="5198"/>
      <c r="AK239" s="5198"/>
      <c r="AL239" s="5198"/>
      <c r="AM239" s="5198"/>
      <c r="AN239" s="5198"/>
      <c r="AO239" s="5198"/>
      <c r="AP239" s="5198"/>
      <c r="AQ239" s="5198"/>
      <c r="AR239" s="5198"/>
      <c r="AS239" s="5198"/>
      <c r="AT239" s="5198"/>
      <c r="AU239" s="5198"/>
      <c r="AV239" s="5198"/>
      <c r="AW239" s="5198"/>
      <c r="AX239" s="5198"/>
      <c r="AY239" s="5198"/>
      <c r="AZ239" s="5198"/>
      <c r="BA239" s="5198"/>
      <c r="BB239" s="5198"/>
      <c r="BC239" s="5198"/>
      <c r="BD239" s="5198"/>
      <c r="BE239" s="5198"/>
      <c r="BF239" s="5198"/>
      <c r="BG239" s="5198"/>
      <c r="BH239" s="5095"/>
      <c r="BI239" s="3822"/>
      <c r="BJ239" s="3822"/>
      <c r="BK239" s="5092"/>
      <c r="BL239" s="5095"/>
      <c r="BM239" s="5095"/>
      <c r="BN239" s="5195"/>
      <c r="BO239" s="5195"/>
      <c r="BP239" s="5195"/>
      <c r="BQ239" s="5195"/>
      <c r="BR239" s="5192"/>
    </row>
    <row r="240" spans="1:70" ht="80.25" customHeight="1" x14ac:dyDescent="0.2">
      <c r="A240" s="2136"/>
      <c r="B240" s="2137"/>
      <c r="C240" s="2138"/>
      <c r="D240" s="2137"/>
      <c r="E240" s="2137"/>
      <c r="F240" s="2138"/>
      <c r="G240" s="2145"/>
      <c r="H240" s="2137"/>
      <c r="I240" s="2138"/>
      <c r="J240" s="5112"/>
      <c r="K240" s="5089"/>
      <c r="L240" s="5086"/>
      <c r="M240" s="5086"/>
      <c r="N240" s="5086"/>
      <c r="O240" s="5085"/>
      <c r="P240" s="5085"/>
      <c r="Q240" s="5088"/>
      <c r="R240" s="5120"/>
      <c r="S240" s="5102"/>
      <c r="T240" s="5088"/>
      <c r="U240" s="5089"/>
      <c r="V240" s="2194" t="s">
        <v>1874</v>
      </c>
      <c r="W240" s="2203">
        <v>16000000</v>
      </c>
      <c r="X240" s="2203">
        <v>16000000</v>
      </c>
      <c r="Y240" s="2203">
        <f>5890400+1831600</f>
        <v>7722000</v>
      </c>
      <c r="Z240" s="2143">
        <v>61</v>
      </c>
      <c r="AA240" s="5085"/>
      <c r="AB240" s="5198"/>
      <c r="AC240" s="5198"/>
      <c r="AD240" s="5198"/>
      <c r="AE240" s="5198"/>
      <c r="AF240" s="5198"/>
      <c r="AG240" s="5198"/>
      <c r="AH240" s="5198"/>
      <c r="AI240" s="5198"/>
      <c r="AJ240" s="5198"/>
      <c r="AK240" s="5198"/>
      <c r="AL240" s="5198"/>
      <c r="AM240" s="5198"/>
      <c r="AN240" s="5198"/>
      <c r="AO240" s="5198"/>
      <c r="AP240" s="5198"/>
      <c r="AQ240" s="5198"/>
      <c r="AR240" s="5198"/>
      <c r="AS240" s="5198"/>
      <c r="AT240" s="5198"/>
      <c r="AU240" s="5198"/>
      <c r="AV240" s="5198"/>
      <c r="AW240" s="5198"/>
      <c r="AX240" s="5198"/>
      <c r="AY240" s="5198"/>
      <c r="AZ240" s="5198"/>
      <c r="BA240" s="5198"/>
      <c r="BB240" s="5198"/>
      <c r="BC240" s="5198"/>
      <c r="BD240" s="5198"/>
      <c r="BE240" s="5198"/>
      <c r="BF240" s="5198"/>
      <c r="BG240" s="5198"/>
      <c r="BH240" s="5095"/>
      <c r="BI240" s="3822"/>
      <c r="BJ240" s="3822"/>
      <c r="BK240" s="5092"/>
      <c r="BL240" s="5095"/>
      <c r="BM240" s="5095"/>
      <c r="BN240" s="5195"/>
      <c r="BO240" s="5195"/>
      <c r="BP240" s="5195"/>
      <c r="BQ240" s="5195"/>
      <c r="BR240" s="5192"/>
    </row>
    <row r="241" spans="1:70" ht="65.25" customHeight="1" x14ac:dyDescent="0.2">
      <c r="A241" s="2136"/>
      <c r="B241" s="2137"/>
      <c r="C241" s="2138"/>
      <c r="D241" s="2137"/>
      <c r="E241" s="2137"/>
      <c r="F241" s="2138"/>
      <c r="G241" s="2145"/>
      <c r="H241" s="2137"/>
      <c r="I241" s="2138"/>
      <c r="J241" s="5110">
        <v>157</v>
      </c>
      <c r="K241" s="5087" t="s">
        <v>1875</v>
      </c>
      <c r="L241" s="5084" t="s">
        <v>1581</v>
      </c>
      <c r="M241" s="5084">
        <v>12</v>
      </c>
      <c r="N241" s="5084">
        <v>9</v>
      </c>
      <c r="O241" s="5085"/>
      <c r="P241" s="5085"/>
      <c r="Q241" s="5088"/>
      <c r="R241" s="5118">
        <f>SUM(W241:W248)/S218</f>
        <v>0.17642448936869334</v>
      </c>
      <c r="S241" s="5102"/>
      <c r="T241" s="5088"/>
      <c r="U241" s="5087" t="s">
        <v>1876</v>
      </c>
      <c r="V241" s="2194" t="s">
        <v>1877</v>
      </c>
      <c r="W241" s="2203">
        <v>4800000</v>
      </c>
      <c r="X241" s="2203">
        <v>4800000</v>
      </c>
      <c r="Y241" s="2203">
        <v>3567625</v>
      </c>
      <c r="Z241" s="2143">
        <v>61</v>
      </c>
      <c r="AA241" s="5085"/>
      <c r="AB241" s="5198"/>
      <c r="AC241" s="5198"/>
      <c r="AD241" s="5198"/>
      <c r="AE241" s="5198"/>
      <c r="AF241" s="5198"/>
      <c r="AG241" s="5198"/>
      <c r="AH241" s="5198"/>
      <c r="AI241" s="5198"/>
      <c r="AJ241" s="5198"/>
      <c r="AK241" s="5198"/>
      <c r="AL241" s="5198"/>
      <c r="AM241" s="5198"/>
      <c r="AN241" s="5198"/>
      <c r="AO241" s="5198"/>
      <c r="AP241" s="5198"/>
      <c r="AQ241" s="5198"/>
      <c r="AR241" s="5198"/>
      <c r="AS241" s="5198"/>
      <c r="AT241" s="5198"/>
      <c r="AU241" s="5198"/>
      <c r="AV241" s="5198"/>
      <c r="AW241" s="5198"/>
      <c r="AX241" s="5198"/>
      <c r="AY241" s="5198"/>
      <c r="AZ241" s="5198"/>
      <c r="BA241" s="5198"/>
      <c r="BB241" s="5198"/>
      <c r="BC241" s="5198"/>
      <c r="BD241" s="5198"/>
      <c r="BE241" s="5198"/>
      <c r="BF241" s="5198"/>
      <c r="BG241" s="5198"/>
      <c r="BH241" s="5095"/>
      <c r="BI241" s="3822"/>
      <c r="BJ241" s="3822"/>
      <c r="BK241" s="5092"/>
      <c r="BL241" s="5095"/>
      <c r="BM241" s="5095"/>
      <c r="BN241" s="5195"/>
      <c r="BO241" s="5195"/>
      <c r="BP241" s="5195"/>
      <c r="BQ241" s="5195"/>
      <c r="BR241" s="5192"/>
    </row>
    <row r="242" spans="1:70" ht="67.5" customHeight="1" x14ac:dyDescent="0.2">
      <c r="A242" s="2136"/>
      <c r="B242" s="2137"/>
      <c r="C242" s="2138"/>
      <c r="D242" s="2137"/>
      <c r="E242" s="2137"/>
      <c r="F242" s="2138"/>
      <c r="G242" s="2145"/>
      <c r="H242" s="2137"/>
      <c r="I242" s="2138"/>
      <c r="J242" s="5111"/>
      <c r="K242" s="5088"/>
      <c r="L242" s="5085"/>
      <c r="M242" s="5085"/>
      <c r="N242" s="5085"/>
      <c r="O242" s="5085"/>
      <c r="P242" s="5085"/>
      <c r="Q242" s="5088"/>
      <c r="R242" s="5119"/>
      <c r="S242" s="5102"/>
      <c r="T242" s="5088"/>
      <c r="U242" s="5088"/>
      <c r="V242" s="2194" t="s">
        <v>1878</v>
      </c>
      <c r="W242" s="2203">
        <v>10800000</v>
      </c>
      <c r="X242" s="2203">
        <f>6365625+3314062</f>
        <v>9679687</v>
      </c>
      <c r="Y242" s="2203">
        <v>3567625</v>
      </c>
      <c r="Z242" s="2143">
        <v>61</v>
      </c>
      <c r="AA242" s="5085"/>
      <c r="AB242" s="5198"/>
      <c r="AC242" s="5198"/>
      <c r="AD242" s="5198"/>
      <c r="AE242" s="5198"/>
      <c r="AF242" s="5198"/>
      <c r="AG242" s="5198"/>
      <c r="AH242" s="5198"/>
      <c r="AI242" s="5198"/>
      <c r="AJ242" s="5198"/>
      <c r="AK242" s="5198"/>
      <c r="AL242" s="5198"/>
      <c r="AM242" s="5198"/>
      <c r="AN242" s="5198"/>
      <c r="AO242" s="5198"/>
      <c r="AP242" s="5198"/>
      <c r="AQ242" s="5198"/>
      <c r="AR242" s="5198"/>
      <c r="AS242" s="5198"/>
      <c r="AT242" s="5198"/>
      <c r="AU242" s="5198"/>
      <c r="AV242" s="5198"/>
      <c r="AW242" s="5198"/>
      <c r="AX242" s="5198"/>
      <c r="AY242" s="5198"/>
      <c r="AZ242" s="5198"/>
      <c r="BA242" s="5198"/>
      <c r="BB242" s="5198"/>
      <c r="BC242" s="5198"/>
      <c r="BD242" s="5198"/>
      <c r="BE242" s="5198"/>
      <c r="BF242" s="5198"/>
      <c r="BG242" s="5198"/>
      <c r="BH242" s="5095"/>
      <c r="BI242" s="3822"/>
      <c r="BJ242" s="3822"/>
      <c r="BK242" s="5092"/>
      <c r="BL242" s="5095"/>
      <c r="BM242" s="5095"/>
      <c r="BN242" s="5195"/>
      <c r="BO242" s="5195"/>
      <c r="BP242" s="5195"/>
      <c r="BQ242" s="5195"/>
      <c r="BR242" s="5192"/>
    </row>
    <row r="243" spans="1:70" ht="87.75" customHeight="1" x14ac:dyDescent="0.2">
      <c r="A243" s="2136"/>
      <c r="B243" s="2137"/>
      <c r="C243" s="2138"/>
      <c r="D243" s="2137"/>
      <c r="E243" s="2137"/>
      <c r="F243" s="2138"/>
      <c r="G243" s="2145"/>
      <c r="H243" s="2137"/>
      <c r="I243" s="2138"/>
      <c r="J243" s="5111"/>
      <c r="K243" s="5088"/>
      <c r="L243" s="5085"/>
      <c r="M243" s="5085"/>
      <c r="N243" s="5085"/>
      <c r="O243" s="5085"/>
      <c r="P243" s="5085"/>
      <c r="Q243" s="5088"/>
      <c r="R243" s="5119"/>
      <c r="S243" s="5102"/>
      <c r="T243" s="5088"/>
      <c r="U243" s="5088"/>
      <c r="V243" s="2194" t="s">
        <v>1879</v>
      </c>
      <c r="W243" s="2203">
        <v>4800000</v>
      </c>
      <c r="X243" s="2203">
        <v>4800000</v>
      </c>
      <c r="Y243" s="2203">
        <v>3567625</v>
      </c>
      <c r="Z243" s="2143">
        <v>61</v>
      </c>
      <c r="AA243" s="5085"/>
      <c r="AB243" s="5198"/>
      <c r="AC243" s="5198"/>
      <c r="AD243" s="5198"/>
      <c r="AE243" s="5198"/>
      <c r="AF243" s="5198"/>
      <c r="AG243" s="5198"/>
      <c r="AH243" s="5198"/>
      <c r="AI243" s="5198"/>
      <c r="AJ243" s="5198"/>
      <c r="AK243" s="5198"/>
      <c r="AL243" s="5198"/>
      <c r="AM243" s="5198"/>
      <c r="AN243" s="5198"/>
      <c r="AO243" s="5198"/>
      <c r="AP243" s="5198"/>
      <c r="AQ243" s="5198"/>
      <c r="AR243" s="5198"/>
      <c r="AS243" s="5198"/>
      <c r="AT243" s="5198"/>
      <c r="AU243" s="5198"/>
      <c r="AV243" s="5198"/>
      <c r="AW243" s="5198"/>
      <c r="AX243" s="5198"/>
      <c r="AY243" s="5198"/>
      <c r="AZ243" s="5198"/>
      <c r="BA243" s="5198"/>
      <c r="BB243" s="5198"/>
      <c r="BC243" s="5198"/>
      <c r="BD243" s="5198"/>
      <c r="BE243" s="5198"/>
      <c r="BF243" s="5198"/>
      <c r="BG243" s="5198"/>
      <c r="BH243" s="5095"/>
      <c r="BI243" s="3822"/>
      <c r="BJ243" s="3822"/>
      <c r="BK243" s="5092"/>
      <c r="BL243" s="5095"/>
      <c r="BM243" s="5095"/>
      <c r="BN243" s="5195"/>
      <c r="BO243" s="5195"/>
      <c r="BP243" s="5195"/>
      <c r="BQ243" s="5195"/>
      <c r="BR243" s="5192"/>
    </row>
    <row r="244" spans="1:70" ht="60" customHeight="1" x14ac:dyDescent="0.2">
      <c r="A244" s="2136"/>
      <c r="B244" s="2137"/>
      <c r="C244" s="2138"/>
      <c r="D244" s="2137"/>
      <c r="E244" s="2137"/>
      <c r="F244" s="2138"/>
      <c r="G244" s="2145"/>
      <c r="H244" s="2137"/>
      <c r="I244" s="2138"/>
      <c r="J244" s="5111"/>
      <c r="K244" s="5088"/>
      <c r="L244" s="5085"/>
      <c r="M244" s="5085"/>
      <c r="N244" s="5085"/>
      <c r="O244" s="5085"/>
      <c r="P244" s="5085"/>
      <c r="Q244" s="5088"/>
      <c r="R244" s="5119"/>
      <c r="S244" s="5102"/>
      <c r="T244" s="5088"/>
      <c r="U244" s="5088"/>
      <c r="V244" s="2194" t="s">
        <v>1880</v>
      </c>
      <c r="W244" s="2203">
        <v>3600000</v>
      </c>
      <c r="X244" s="2203">
        <v>3600000</v>
      </c>
      <c r="Y244" s="2203">
        <v>3567625</v>
      </c>
      <c r="Z244" s="2143">
        <v>61</v>
      </c>
      <c r="AA244" s="5085"/>
      <c r="AB244" s="5198"/>
      <c r="AC244" s="5198"/>
      <c r="AD244" s="5198"/>
      <c r="AE244" s="5198"/>
      <c r="AF244" s="5198"/>
      <c r="AG244" s="5198"/>
      <c r="AH244" s="5198"/>
      <c r="AI244" s="5198"/>
      <c r="AJ244" s="5198"/>
      <c r="AK244" s="5198"/>
      <c r="AL244" s="5198"/>
      <c r="AM244" s="5198"/>
      <c r="AN244" s="5198"/>
      <c r="AO244" s="5198"/>
      <c r="AP244" s="5198"/>
      <c r="AQ244" s="5198"/>
      <c r="AR244" s="5198"/>
      <c r="AS244" s="5198"/>
      <c r="AT244" s="5198"/>
      <c r="AU244" s="5198"/>
      <c r="AV244" s="5198"/>
      <c r="AW244" s="5198"/>
      <c r="AX244" s="5198"/>
      <c r="AY244" s="5198"/>
      <c r="AZ244" s="5198"/>
      <c r="BA244" s="5198"/>
      <c r="BB244" s="5198"/>
      <c r="BC244" s="5198"/>
      <c r="BD244" s="5198"/>
      <c r="BE244" s="5198"/>
      <c r="BF244" s="5198"/>
      <c r="BG244" s="5198"/>
      <c r="BH244" s="5095"/>
      <c r="BI244" s="3822"/>
      <c r="BJ244" s="3822"/>
      <c r="BK244" s="5092"/>
      <c r="BL244" s="5095"/>
      <c r="BM244" s="5095"/>
      <c r="BN244" s="5195"/>
      <c r="BO244" s="5195"/>
      <c r="BP244" s="5195"/>
      <c r="BQ244" s="5195"/>
      <c r="BR244" s="5192"/>
    </row>
    <row r="245" spans="1:70" ht="65.25" customHeight="1" x14ac:dyDescent="0.2">
      <c r="A245" s="2136"/>
      <c r="B245" s="2137"/>
      <c r="C245" s="2138"/>
      <c r="D245" s="2137"/>
      <c r="E245" s="2137"/>
      <c r="F245" s="2138"/>
      <c r="G245" s="2145"/>
      <c r="H245" s="2137"/>
      <c r="I245" s="2138"/>
      <c r="J245" s="5111"/>
      <c r="K245" s="5088"/>
      <c r="L245" s="5085"/>
      <c r="M245" s="5085"/>
      <c r="N245" s="5085"/>
      <c r="O245" s="5085"/>
      <c r="P245" s="5085"/>
      <c r="Q245" s="5088"/>
      <c r="R245" s="5119"/>
      <c r="S245" s="5102"/>
      <c r="T245" s="5088"/>
      <c r="U245" s="5088"/>
      <c r="V245" s="2194" t="s">
        <v>1881</v>
      </c>
      <c r="W245" s="2203">
        <v>6000000</v>
      </c>
      <c r="X245" s="2203">
        <v>6000000</v>
      </c>
      <c r="Y245" s="2203">
        <v>3567625</v>
      </c>
      <c r="Z245" s="2143">
        <v>61</v>
      </c>
      <c r="AA245" s="5085"/>
      <c r="AB245" s="5198"/>
      <c r="AC245" s="5198"/>
      <c r="AD245" s="5198"/>
      <c r="AE245" s="5198"/>
      <c r="AF245" s="5198"/>
      <c r="AG245" s="5198"/>
      <c r="AH245" s="5198"/>
      <c r="AI245" s="5198"/>
      <c r="AJ245" s="5198"/>
      <c r="AK245" s="5198"/>
      <c r="AL245" s="5198"/>
      <c r="AM245" s="5198"/>
      <c r="AN245" s="5198"/>
      <c r="AO245" s="5198"/>
      <c r="AP245" s="5198"/>
      <c r="AQ245" s="5198"/>
      <c r="AR245" s="5198"/>
      <c r="AS245" s="5198"/>
      <c r="AT245" s="5198"/>
      <c r="AU245" s="5198"/>
      <c r="AV245" s="5198"/>
      <c r="AW245" s="5198"/>
      <c r="AX245" s="5198"/>
      <c r="AY245" s="5198"/>
      <c r="AZ245" s="5198"/>
      <c r="BA245" s="5198"/>
      <c r="BB245" s="5198"/>
      <c r="BC245" s="5198"/>
      <c r="BD245" s="5198"/>
      <c r="BE245" s="5198"/>
      <c r="BF245" s="5198"/>
      <c r="BG245" s="5198"/>
      <c r="BH245" s="5095"/>
      <c r="BI245" s="3822"/>
      <c r="BJ245" s="3822"/>
      <c r="BK245" s="5092"/>
      <c r="BL245" s="5095"/>
      <c r="BM245" s="5095"/>
      <c r="BN245" s="5195"/>
      <c r="BO245" s="5195"/>
      <c r="BP245" s="5195"/>
      <c r="BQ245" s="5195"/>
      <c r="BR245" s="5192"/>
    </row>
    <row r="246" spans="1:70" ht="63" customHeight="1" x14ac:dyDescent="0.2">
      <c r="A246" s="2136"/>
      <c r="B246" s="2137"/>
      <c r="C246" s="2138"/>
      <c r="D246" s="2137"/>
      <c r="E246" s="2137"/>
      <c r="F246" s="2138"/>
      <c r="G246" s="2145"/>
      <c r="H246" s="2137"/>
      <c r="I246" s="2138"/>
      <c r="J246" s="5111"/>
      <c r="K246" s="5088"/>
      <c r="L246" s="5085"/>
      <c r="M246" s="5085"/>
      <c r="N246" s="5085"/>
      <c r="O246" s="5085"/>
      <c r="P246" s="5085"/>
      <c r="Q246" s="5088"/>
      <c r="R246" s="5119"/>
      <c r="S246" s="5102"/>
      <c r="T246" s="5088"/>
      <c r="U246" s="5088"/>
      <c r="V246" s="2194" t="s">
        <v>1882</v>
      </c>
      <c r="W246" s="2203">
        <v>8000000</v>
      </c>
      <c r="X246" s="2203">
        <v>6365626</v>
      </c>
      <c r="Y246" s="2203">
        <v>3567625</v>
      </c>
      <c r="Z246" s="2143">
        <v>61</v>
      </c>
      <c r="AA246" s="5085"/>
      <c r="AB246" s="5198"/>
      <c r="AC246" s="5198"/>
      <c r="AD246" s="5198"/>
      <c r="AE246" s="5198"/>
      <c r="AF246" s="5198"/>
      <c r="AG246" s="5198"/>
      <c r="AH246" s="5198"/>
      <c r="AI246" s="5198"/>
      <c r="AJ246" s="5198"/>
      <c r="AK246" s="5198"/>
      <c r="AL246" s="5198"/>
      <c r="AM246" s="5198"/>
      <c r="AN246" s="5198"/>
      <c r="AO246" s="5198"/>
      <c r="AP246" s="5198"/>
      <c r="AQ246" s="5198"/>
      <c r="AR246" s="5198"/>
      <c r="AS246" s="5198"/>
      <c r="AT246" s="5198"/>
      <c r="AU246" s="5198"/>
      <c r="AV246" s="5198"/>
      <c r="AW246" s="5198"/>
      <c r="AX246" s="5198"/>
      <c r="AY246" s="5198"/>
      <c r="AZ246" s="5198"/>
      <c r="BA246" s="5198"/>
      <c r="BB246" s="5198"/>
      <c r="BC246" s="5198"/>
      <c r="BD246" s="5198"/>
      <c r="BE246" s="5198"/>
      <c r="BF246" s="5198"/>
      <c r="BG246" s="5198"/>
      <c r="BH246" s="5095"/>
      <c r="BI246" s="3822"/>
      <c r="BJ246" s="3822"/>
      <c r="BK246" s="5092"/>
      <c r="BL246" s="5095"/>
      <c r="BM246" s="5095"/>
      <c r="BN246" s="5195"/>
      <c r="BO246" s="5195"/>
      <c r="BP246" s="5195"/>
      <c r="BQ246" s="5195"/>
      <c r="BR246" s="5192"/>
    </row>
    <row r="247" spans="1:70" ht="42.75" x14ac:dyDescent="0.2">
      <c r="A247" s="2136"/>
      <c r="B247" s="2137"/>
      <c r="C247" s="2138"/>
      <c r="D247" s="2137"/>
      <c r="E247" s="2137"/>
      <c r="F247" s="2138"/>
      <c r="G247" s="2145"/>
      <c r="H247" s="2137"/>
      <c r="I247" s="2138"/>
      <c r="J247" s="5111"/>
      <c r="K247" s="5088"/>
      <c r="L247" s="5085"/>
      <c r="M247" s="5085"/>
      <c r="N247" s="5085"/>
      <c r="O247" s="5085"/>
      <c r="P247" s="5085"/>
      <c r="Q247" s="5088"/>
      <c r="R247" s="5119"/>
      <c r="S247" s="5102"/>
      <c r="T247" s="5088"/>
      <c r="U247" s="5088"/>
      <c r="V247" s="2194" t="s">
        <v>1883</v>
      </c>
      <c r="W247" s="2203">
        <v>12000000</v>
      </c>
      <c r="X247" s="2203">
        <f>6365625+3314062</f>
        <v>9679687</v>
      </c>
      <c r="Y247" s="2203">
        <v>3567625</v>
      </c>
      <c r="Z247" s="2143">
        <v>61</v>
      </c>
      <c r="AA247" s="5085"/>
      <c r="AB247" s="5198"/>
      <c r="AC247" s="5198"/>
      <c r="AD247" s="5198"/>
      <c r="AE247" s="5198"/>
      <c r="AF247" s="5198"/>
      <c r="AG247" s="5198"/>
      <c r="AH247" s="5198"/>
      <c r="AI247" s="5198"/>
      <c r="AJ247" s="5198"/>
      <c r="AK247" s="5198"/>
      <c r="AL247" s="5198"/>
      <c r="AM247" s="5198"/>
      <c r="AN247" s="5198"/>
      <c r="AO247" s="5198"/>
      <c r="AP247" s="5198"/>
      <c r="AQ247" s="5198"/>
      <c r="AR247" s="5198"/>
      <c r="AS247" s="5198"/>
      <c r="AT247" s="5198"/>
      <c r="AU247" s="5198"/>
      <c r="AV247" s="5198"/>
      <c r="AW247" s="5198"/>
      <c r="AX247" s="5198"/>
      <c r="AY247" s="5198"/>
      <c r="AZ247" s="5198"/>
      <c r="BA247" s="5198"/>
      <c r="BB247" s="5198"/>
      <c r="BC247" s="5198"/>
      <c r="BD247" s="5198"/>
      <c r="BE247" s="5198"/>
      <c r="BF247" s="5198"/>
      <c r="BG247" s="5198"/>
      <c r="BH247" s="5095"/>
      <c r="BI247" s="3822"/>
      <c r="BJ247" s="3822"/>
      <c r="BK247" s="5092"/>
      <c r="BL247" s="5095"/>
      <c r="BM247" s="5095"/>
      <c r="BN247" s="5195"/>
      <c r="BO247" s="5195"/>
      <c r="BP247" s="5195"/>
      <c r="BQ247" s="5195"/>
      <c r="BR247" s="5192"/>
    </row>
    <row r="248" spans="1:70" ht="57" x14ac:dyDescent="0.2">
      <c r="A248" s="2136"/>
      <c r="B248" s="2137"/>
      <c r="C248" s="2138"/>
      <c r="D248" s="2137"/>
      <c r="E248" s="2137"/>
      <c r="F248" s="2138"/>
      <c r="G248" s="2149"/>
      <c r="H248" s="2147"/>
      <c r="I248" s="2148"/>
      <c r="J248" s="5112"/>
      <c r="K248" s="5089"/>
      <c r="L248" s="5086"/>
      <c r="M248" s="5086"/>
      <c r="N248" s="5086"/>
      <c r="O248" s="5086"/>
      <c r="P248" s="5086"/>
      <c r="Q248" s="5089"/>
      <c r="R248" s="5120"/>
      <c r="S248" s="5121"/>
      <c r="T248" s="5089"/>
      <c r="U248" s="5089"/>
      <c r="V248" s="2194" t="s">
        <v>1884</v>
      </c>
      <c r="W248" s="2203">
        <v>6000000</v>
      </c>
      <c r="X248" s="2203">
        <v>6000000</v>
      </c>
      <c r="Y248" s="2203">
        <v>3567625</v>
      </c>
      <c r="Z248" s="2143">
        <v>61</v>
      </c>
      <c r="AA248" s="5086"/>
      <c r="AB248" s="5199"/>
      <c r="AC248" s="5199"/>
      <c r="AD248" s="5199"/>
      <c r="AE248" s="5199"/>
      <c r="AF248" s="5199"/>
      <c r="AG248" s="5199"/>
      <c r="AH248" s="5199"/>
      <c r="AI248" s="5199"/>
      <c r="AJ248" s="5199"/>
      <c r="AK248" s="5199"/>
      <c r="AL248" s="5199"/>
      <c r="AM248" s="5199"/>
      <c r="AN248" s="5199"/>
      <c r="AO248" s="5199"/>
      <c r="AP248" s="5199"/>
      <c r="AQ248" s="5199"/>
      <c r="AR248" s="5199"/>
      <c r="AS248" s="5199"/>
      <c r="AT248" s="5199"/>
      <c r="AU248" s="5199"/>
      <c r="AV248" s="5199"/>
      <c r="AW248" s="5199"/>
      <c r="AX248" s="5199"/>
      <c r="AY248" s="5199"/>
      <c r="AZ248" s="5199"/>
      <c r="BA248" s="5199"/>
      <c r="BB248" s="5199"/>
      <c r="BC248" s="5199"/>
      <c r="BD248" s="5199"/>
      <c r="BE248" s="5199"/>
      <c r="BF248" s="5199"/>
      <c r="BG248" s="5199"/>
      <c r="BH248" s="5103"/>
      <c r="BI248" s="3823"/>
      <c r="BJ248" s="3823"/>
      <c r="BK248" s="5109"/>
      <c r="BL248" s="5103"/>
      <c r="BM248" s="5103"/>
      <c r="BN248" s="5196"/>
      <c r="BO248" s="5196"/>
      <c r="BP248" s="5196"/>
      <c r="BQ248" s="5196"/>
      <c r="BR248" s="5193"/>
    </row>
    <row r="249" spans="1:70" ht="36" customHeight="1" x14ac:dyDescent="0.2">
      <c r="A249" s="2122"/>
      <c r="B249" s="2123"/>
      <c r="C249" s="2124"/>
      <c r="D249" s="2123"/>
      <c r="E249" s="2123"/>
      <c r="F249" s="2124"/>
      <c r="G249" s="2158">
        <v>45</v>
      </c>
      <c r="H249" s="2128" t="s">
        <v>1885</v>
      </c>
      <c r="I249" s="2128"/>
      <c r="J249" s="2128"/>
      <c r="K249" s="2129"/>
      <c r="L249" s="2128"/>
      <c r="M249" s="2128"/>
      <c r="N249" s="2128"/>
      <c r="O249" s="2130"/>
      <c r="P249" s="2128"/>
      <c r="Q249" s="2129"/>
      <c r="R249" s="2128"/>
      <c r="S249" s="2159"/>
      <c r="T249" s="2129"/>
      <c r="U249" s="2129"/>
      <c r="V249" s="2129"/>
      <c r="W249" s="2207"/>
      <c r="X249" s="2207"/>
      <c r="Y249" s="2207"/>
      <c r="Z249" s="2200"/>
      <c r="AA249" s="2201"/>
      <c r="AB249" s="2130"/>
      <c r="AC249" s="2130"/>
      <c r="AD249" s="2130"/>
      <c r="AE249" s="2130"/>
      <c r="AF249" s="2130"/>
      <c r="AG249" s="2130"/>
      <c r="AH249" s="2130"/>
      <c r="AI249" s="2130"/>
      <c r="AJ249" s="2130"/>
      <c r="AK249" s="2130"/>
      <c r="AL249" s="2130"/>
      <c r="AM249" s="2130"/>
      <c r="AN249" s="2130"/>
      <c r="AO249" s="2130"/>
      <c r="AP249" s="2130"/>
      <c r="AQ249" s="2130"/>
      <c r="AR249" s="2130"/>
      <c r="AS249" s="2130"/>
      <c r="AT249" s="2130"/>
      <c r="AU249" s="2130"/>
      <c r="AV249" s="2130"/>
      <c r="AW249" s="2130"/>
      <c r="AX249" s="2130"/>
      <c r="AY249" s="2130"/>
      <c r="AZ249" s="2130"/>
      <c r="BA249" s="2130"/>
      <c r="BB249" s="2130"/>
      <c r="BC249" s="2130"/>
      <c r="BD249" s="2130"/>
      <c r="BE249" s="2130"/>
      <c r="BF249" s="2130"/>
      <c r="BG249" s="2130"/>
      <c r="BH249" s="2130"/>
      <c r="BI249" s="2162"/>
      <c r="BJ249" s="2162"/>
      <c r="BK249" s="2130"/>
      <c r="BL249" s="2130"/>
      <c r="BM249" s="2130"/>
      <c r="BN249" s="2130"/>
      <c r="BO249" s="2130"/>
      <c r="BP249" s="2128"/>
      <c r="BQ249" s="2128"/>
      <c r="BR249" s="2135"/>
    </row>
    <row r="250" spans="1:70" s="2144" customFormat="1" ht="24" customHeight="1" x14ac:dyDescent="0.2">
      <c r="A250" s="2136"/>
      <c r="B250" s="2137"/>
      <c r="C250" s="2138"/>
      <c r="D250" s="2137"/>
      <c r="E250" s="2137"/>
      <c r="F250" s="2138"/>
      <c r="G250" s="2139"/>
      <c r="H250" s="2140"/>
      <c r="I250" s="2141"/>
      <c r="J250" s="5110">
        <v>158</v>
      </c>
      <c r="K250" s="5087" t="s">
        <v>1886</v>
      </c>
      <c r="L250" s="5084" t="s">
        <v>1581</v>
      </c>
      <c r="M250" s="5084">
        <v>11</v>
      </c>
      <c r="N250" s="5084">
        <v>11</v>
      </c>
      <c r="O250" s="5084" t="s">
        <v>1887</v>
      </c>
      <c r="P250" s="5084" t="s">
        <v>1888</v>
      </c>
      <c r="Q250" s="5087" t="s">
        <v>1889</v>
      </c>
      <c r="R250" s="5118">
        <f>+SUM(W250:W256)/S250</f>
        <v>0.98622219924217924</v>
      </c>
      <c r="S250" s="5101">
        <f>SUM(W250:W257)</f>
        <v>1538707111</v>
      </c>
      <c r="T250" s="5087" t="s">
        <v>1890</v>
      </c>
      <c r="U250" s="5087" t="s">
        <v>1891</v>
      </c>
      <c r="V250" s="5170" t="s">
        <v>1892</v>
      </c>
      <c r="W250" s="2203">
        <v>180000000</v>
      </c>
      <c r="X250" s="2203">
        <v>180000000</v>
      </c>
      <c r="Y250" s="2203">
        <f>57600500+43302000</f>
        <v>100902500</v>
      </c>
      <c r="Z250" s="2143">
        <v>61</v>
      </c>
      <c r="AA250" s="5084" t="s">
        <v>1851</v>
      </c>
      <c r="AB250" s="5084">
        <v>292684</v>
      </c>
      <c r="AC250" s="5084">
        <f>SUM(AB250*0.41)</f>
        <v>120000.43999999999</v>
      </c>
      <c r="AD250" s="5084">
        <v>282326</v>
      </c>
      <c r="AE250" s="5084">
        <f t="shared" ref="AE250" si="46">SUM(AD250*0.41)</f>
        <v>115753.65999999999</v>
      </c>
      <c r="AF250" s="5084">
        <v>135912</v>
      </c>
      <c r="AG250" s="5084">
        <f t="shared" ref="AG250" si="47">SUM(AF250*0.41)</f>
        <v>55723.92</v>
      </c>
      <c r="AH250" s="5084">
        <v>45122</v>
      </c>
      <c r="AI250" s="5084">
        <f t="shared" ref="AI250" si="48">SUM(AH250*0.41)</f>
        <v>18500.02</v>
      </c>
      <c r="AJ250" s="5084">
        <v>307101</v>
      </c>
      <c r="AK250" s="5084">
        <f t="shared" ref="AK250" si="49">SUM(AJ250*0.41)</f>
        <v>125911.40999999999</v>
      </c>
      <c r="AL250" s="5084">
        <v>86875</v>
      </c>
      <c r="AM250" s="5084">
        <f t="shared" ref="AM250" si="50">SUM(AL250*0.41)</f>
        <v>35618.75</v>
      </c>
      <c r="AN250" s="5084">
        <v>2145</v>
      </c>
      <c r="AO250" s="5084">
        <f t="shared" ref="AO250" si="51">SUM(AN250*0.41)</f>
        <v>879.44999999999993</v>
      </c>
      <c r="AP250" s="5084">
        <v>12718</v>
      </c>
      <c r="AQ250" s="5084">
        <f t="shared" ref="AQ250" si="52">SUM(AP250*0.41)</f>
        <v>5214.38</v>
      </c>
      <c r="AR250" s="5084">
        <v>26</v>
      </c>
      <c r="AS250" s="5084">
        <f t="shared" ref="AS250" si="53">SUM(AR250*0.41)</f>
        <v>10.66</v>
      </c>
      <c r="AT250" s="5084">
        <v>37</v>
      </c>
      <c r="AU250" s="5084">
        <f t="shared" ref="AU250" si="54">SUM(AT250*0.41)</f>
        <v>15.17</v>
      </c>
      <c r="AV250" s="5084" t="s">
        <v>1588</v>
      </c>
      <c r="AW250" s="5084" t="s">
        <v>1588</v>
      </c>
      <c r="AX250" s="5084" t="s">
        <v>1588</v>
      </c>
      <c r="AY250" s="5084" t="s">
        <v>1588</v>
      </c>
      <c r="AZ250" s="5084">
        <v>53164</v>
      </c>
      <c r="BA250" s="5084">
        <f t="shared" ref="BA250" si="55">SUM(AZ250*0.41)</f>
        <v>21797.239999999998</v>
      </c>
      <c r="BB250" s="5084">
        <v>16982</v>
      </c>
      <c r="BC250" s="5084">
        <f t="shared" ref="BC250" si="56">SUM(BB250*0.41)</f>
        <v>6962.62</v>
      </c>
      <c r="BD250" s="5084">
        <v>60013</v>
      </c>
      <c r="BE250" s="5084">
        <f t="shared" ref="BE250" si="57">SUM(BD250*0.41)</f>
        <v>24605.329999999998</v>
      </c>
      <c r="BF250" s="5084">
        <v>575010</v>
      </c>
      <c r="BG250" s="5084">
        <f t="shared" ref="BG250" si="58">SUM(BF250*0.41)</f>
        <v>235754.09999999998</v>
      </c>
      <c r="BH250" s="5094">
        <v>56</v>
      </c>
      <c r="BI250" s="3821">
        <f>SUM(X250:X257)</f>
        <v>1358821000</v>
      </c>
      <c r="BJ250" s="3821">
        <f>SUM(Y250:Y257)</f>
        <v>432948334</v>
      </c>
      <c r="BK250" s="5091">
        <f>+BJ250/BI250</f>
        <v>0.31862057916384867</v>
      </c>
      <c r="BL250" s="5094" t="s">
        <v>1589</v>
      </c>
      <c r="BM250" s="5094" t="s">
        <v>1590</v>
      </c>
      <c r="BN250" s="5078">
        <v>43467</v>
      </c>
      <c r="BO250" s="5078">
        <v>43830</v>
      </c>
      <c r="BP250" s="5078">
        <v>43830</v>
      </c>
      <c r="BQ250" s="5078">
        <v>43830</v>
      </c>
      <c r="BR250" s="5081" t="s">
        <v>1591</v>
      </c>
    </row>
    <row r="251" spans="1:70" s="2144" customFormat="1" ht="24" customHeight="1" x14ac:dyDescent="0.2">
      <c r="A251" s="2136"/>
      <c r="B251" s="2137"/>
      <c r="C251" s="2138"/>
      <c r="D251" s="2137"/>
      <c r="E251" s="2137"/>
      <c r="F251" s="2138"/>
      <c r="G251" s="2145"/>
      <c r="H251" s="2137"/>
      <c r="I251" s="2138"/>
      <c r="J251" s="5111"/>
      <c r="K251" s="5088"/>
      <c r="L251" s="5085"/>
      <c r="M251" s="5085"/>
      <c r="N251" s="5085"/>
      <c r="O251" s="5085"/>
      <c r="P251" s="5085"/>
      <c r="Q251" s="5088"/>
      <c r="R251" s="5119"/>
      <c r="S251" s="5102"/>
      <c r="T251" s="5088"/>
      <c r="U251" s="5088"/>
      <c r="V251" s="5182"/>
      <c r="W251" s="2203">
        <v>33000000</v>
      </c>
      <c r="X251" s="2203">
        <v>33000000</v>
      </c>
      <c r="Y251" s="2203">
        <v>9779400</v>
      </c>
      <c r="Z251" s="2143">
        <v>98</v>
      </c>
      <c r="AA251" s="5085"/>
      <c r="AB251" s="5085"/>
      <c r="AC251" s="5085"/>
      <c r="AD251" s="5085"/>
      <c r="AE251" s="5085"/>
      <c r="AF251" s="5085"/>
      <c r="AG251" s="5085"/>
      <c r="AH251" s="5085"/>
      <c r="AI251" s="5085"/>
      <c r="AJ251" s="5085"/>
      <c r="AK251" s="5085"/>
      <c r="AL251" s="5085"/>
      <c r="AM251" s="5085"/>
      <c r="AN251" s="5085"/>
      <c r="AO251" s="5085"/>
      <c r="AP251" s="5085"/>
      <c r="AQ251" s="5085"/>
      <c r="AR251" s="5085"/>
      <c r="AS251" s="5085"/>
      <c r="AT251" s="5085"/>
      <c r="AU251" s="5085"/>
      <c r="AV251" s="5085"/>
      <c r="AW251" s="5085"/>
      <c r="AX251" s="5085"/>
      <c r="AY251" s="5085"/>
      <c r="AZ251" s="5085"/>
      <c r="BA251" s="5085"/>
      <c r="BB251" s="5085"/>
      <c r="BC251" s="5085"/>
      <c r="BD251" s="5085"/>
      <c r="BE251" s="5085"/>
      <c r="BF251" s="5085"/>
      <c r="BG251" s="5085"/>
      <c r="BH251" s="5095"/>
      <c r="BI251" s="3822"/>
      <c r="BJ251" s="3822"/>
      <c r="BK251" s="5092"/>
      <c r="BL251" s="5095"/>
      <c r="BM251" s="5095"/>
      <c r="BN251" s="5079"/>
      <c r="BO251" s="5079"/>
      <c r="BP251" s="5079"/>
      <c r="BQ251" s="5079"/>
      <c r="BR251" s="5082"/>
    </row>
    <row r="252" spans="1:70" s="2144" customFormat="1" ht="24" customHeight="1" x14ac:dyDescent="0.2">
      <c r="A252" s="2136"/>
      <c r="B252" s="2137"/>
      <c r="C252" s="2138"/>
      <c r="D252" s="2137"/>
      <c r="E252" s="2137"/>
      <c r="F252" s="2138"/>
      <c r="G252" s="2145"/>
      <c r="H252" s="2137"/>
      <c r="I252" s="2138"/>
      <c r="J252" s="5111"/>
      <c r="K252" s="5088"/>
      <c r="L252" s="5085"/>
      <c r="M252" s="5085"/>
      <c r="N252" s="5085"/>
      <c r="O252" s="5085"/>
      <c r="P252" s="5085"/>
      <c r="Q252" s="5088"/>
      <c r="R252" s="5119"/>
      <c r="S252" s="5102"/>
      <c r="T252" s="5088"/>
      <c r="U252" s="5088"/>
      <c r="V252" s="5170" t="s">
        <v>1893</v>
      </c>
      <c r="W252" s="2203">
        <f>20000000+102300000</f>
        <v>122300000</v>
      </c>
      <c r="X252" s="2203">
        <v>122300000</v>
      </c>
      <c r="Y252" s="2203">
        <f>57600500+43302000</f>
        <v>100902500</v>
      </c>
      <c r="Z252" s="2143">
        <v>61</v>
      </c>
      <c r="AA252" s="5085"/>
      <c r="AB252" s="5085"/>
      <c r="AC252" s="5085"/>
      <c r="AD252" s="5085"/>
      <c r="AE252" s="5085"/>
      <c r="AF252" s="5085"/>
      <c r="AG252" s="5085"/>
      <c r="AH252" s="5085"/>
      <c r="AI252" s="5085"/>
      <c r="AJ252" s="5085"/>
      <c r="AK252" s="5085"/>
      <c r="AL252" s="5085"/>
      <c r="AM252" s="5085"/>
      <c r="AN252" s="5085"/>
      <c r="AO252" s="5085"/>
      <c r="AP252" s="5085"/>
      <c r="AQ252" s="5085"/>
      <c r="AR252" s="5085"/>
      <c r="AS252" s="5085"/>
      <c r="AT252" s="5085"/>
      <c r="AU252" s="5085"/>
      <c r="AV252" s="5085"/>
      <c r="AW252" s="5085"/>
      <c r="AX252" s="5085"/>
      <c r="AY252" s="5085"/>
      <c r="AZ252" s="5085"/>
      <c r="BA252" s="5085"/>
      <c r="BB252" s="5085"/>
      <c r="BC252" s="5085"/>
      <c r="BD252" s="5085"/>
      <c r="BE252" s="5085"/>
      <c r="BF252" s="5085"/>
      <c r="BG252" s="5085"/>
      <c r="BH252" s="5095"/>
      <c r="BI252" s="3822"/>
      <c r="BJ252" s="3822"/>
      <c r="BK252" s="5092"/>
      <c r="BL252" s="5095"/>
      <c r="BM252" s="5095"/>
      <c r="BN252" s="5079"/>
      <c r="BO252" s="5079"/>
      <c r="BP252" s="5079"/>
      <c r="BQ252" s="5079"/>
      <c r="BR252" s="5082"/>
    </row>
    <row r="253" spans="1:70" s="2144" customFormat="1" ht="22.5" customHeight="1" x14ac:dyDescent="0.2">
      <c r="A253" s="2136"/>
      <c r="B253" s="2137"/>
      <c r="C253" s="2138"/>
      <c r="D253" s="2137"/>
      <c r="E253" s="2137"/>
      <c r="F253" s="2138"/>
      <c r="G253" s="2145"/>
      <c r="H253" s="2137"/>
      <c r="I253" s="2138"/>
      <c r="J253" s="5111"/>
      <c r="K253" s="5088"/>
      <c r="L253" s="5085"/>
      <c r="M253" s="5085"/>
      <c r="N253" s="5085"/>
      <c r="O253" s="5085"/>
      <c r="P253" s="5085"/>
      <c r="Q253" s="5088"/>
      <c r="R253" s="5119"/>
      <c r="S253" s="5102"/>
      <c r="T253" s="5088"/>
      <c r="U253" s="5088"/>
      <c r="V253" s="5182"/>
      <c r="W253" s="2203">
        <v>100000000</v>
      </c>
      <c r="X253" s="2203">
        <v>52848833</v>
      </c>
      <c r="Y253" s="2203">
        <f>9779400+134</f>
        <v>9779534</v>
      </c>
      <c r="Z253" s="2143">
        <v>98</v>
      </c>
      <c r="AA253" s="5085"/>
      <c r="AB253" s="5085"/>
      <c r="AC253" s="5085"/>
      <c r="AD253" s="5085"/>
      <c r="AE253" s="5085"/>
      <c r="AF253" s="5085"/>
      <c r="AG253" s="5085"/>
      <c r="AH253" s="5085"/>
      <c r="AI253" s="5085"/>
      <c r="AJ253" s="5085"/>
      <c r="AK253" s="5085"/>
      <c r="AL253" s="5085"/>
      <c r="AM253" s="5085"/>
      <c r="AN253" s="5085"/>
      <c r="AO253" s="5085"/>
      <c r="AP253" s="5085"/>
      <c r="AQ253" s="5085"/>
      <c r="AR253" s="5085"/>
      <c r="AS253" s="5085"/>
      <c r="AT253" s="5085"/>
      <c r="AU253" s="5085"/>
      <c r="AV253" s="5085"/>
      <c r="AW253" s="5085"/>
      <c r="AX253" s="5085"/>
      <c r="AY253" s="5085"/>
      <c r="AZ253" s="5085"/>
      <c r="BA253" s="5085"/>
      <c r="BB253" s="5085"/>
      <c r="BC253" s="5085"/>
      <c r="BD253" s="5085"/>
      <c r="BE253" s="5085"/>
      <c r="BF253" s="5085"/>
      <c r="BG253" s="5085"/>
      <c r="BH253" s="5095"/>
      <c r="BI253" s="3822"/>
      <c r="BJ253" s="3822"/>
      <c r="BK253" s="5092"/>
      <c r="BL253" s="5095"/>
      <c r="BM253" s="5095"/>
      <c r="BN253" s="5079"/>
      <c r="BO253" s="5079"/>
      <c r="BP253" s="5079"/>
      <c r="BQ253" s="5079"/>
      <c r="BR253" s="5082"/>
    </row>
    <row r="254" spans="1:70" s="2144" customFormat="1" ht="37.5" customHeight="1" x14ac:dyDescent="0.2">
      <c r="A254" s="2136"/>
      <c r="B254" s="2137"/>
      <c r="C254" s="2138"/>
      <c r="D254" s="2137"/>
      <c r="E254" s="2137"/>
      <c r="F254" s="2138"/>
      <c r="G254" s="2145"/>
      <c r="H254" s="2137"/>
      <c r="I254" s="2138"/>
      <c r="J254" s="5111"/>
      <c r="K254" s="5088"/>
      <c r="L254" s="5085"/>
      <c r="M254" s="5085"/>
      <c r="N254" s="5085"/>
      <c r="O254" s="5085"/>
      <c r="P254" s="5085"/>
      <c r="Q254" s="5088"/>
      <c r="R254" s="5119"/>
      <c r="S254" s="5102"/>
      <c r="T254" s="5088"/>
      <c r="U254" s="5088"/>
      <c r="V254" s="2194" t="s">
        <v>1894</v>
      </c>
      <c r="W254" s="2203">
        <v>300000000</v>
      </c>
      <c r="X254" s="2203">
        <v>300000000</v>
      </c>
      <c r="Y254" s="2203">
        <f>57600500+43302000</f>
        <v>100902500</v>
      </c>
      <c r="Z254" s="2143">
        <v>61</v>
      </c>
      <c r="AA254" s="5085"/>
      <c r="AB254" s="5085"/>
      <c r="AC254" s="5085"/>
      <c r="AD254" s="5085"/>
      <c r="AE254" s="5085"/>
      <c r="AF254" s="5085"/>
      <c r="AG254" s="5085"/>
      <c r="AH254" s="5085"/>
      <c r="AI254" s="5085"/>
      <c r="AJ254" s="5085"/>
      <c r="AK254" s="5085"/>
      <c r="AL254" s="5085"/>
      <c r="AM254" s="5085"/>
      <c r="AN254" s="5085"/>
      <c r="AO254" s="5085"/>
      <c r="AP254" s="5085"/>
      <c r="AQ254" s="5085"/>
      <c r="AR254" s="5085"/>
      <c r="AS254" s="5085"/>
      <c r="AT254" s="5085"/>
      <c r="AU254" s="5085"/>
      <c r="AV254" s="5085"/>
      <c r="AW254" s="5085"/>
      <c r="AX254" s="5085"/>
      <c r="AY254" s="5085"/>
      <c r="AZ254" s="5085"/>
      <c r="BA254" s="5085"/>
      <c r="BB254" s="5085"/>
      <c r="BC254" s="5085"/>
      <c r="BD254" s="5085"/>
      <c r="BE254" s="5085"/>
      <c r="BF254" s="5085"/>
      <c r="BG254" s="5085"/>
      <c r="BH254" s="5095"/>
      <c r="BI254" s="3822"/>
      <c r="BJ254" s="3822"/>
      <c r="BK254" s="5092"/>
      <c r="BL254" s="5095"/>
      <c r="BM254" s="5095"/>
      <c r="BN254" s="5079"/>
      <c r="BO254" s="5079"/>
      <c r="BP254" s="5079"/>
      <c r="BQ254" s="5079"/>
      <c r="BR254" s="5082"/>
    </row>
    <row r="255" spans="1:70" s="2144" customFormat="1" ht="23.25" customHeight="1" x14ac:dyDescent="0.2">
      <c r="A255" s="2136"/>
      <c r="B255" s="2137"/>
      <c r="C255" s="2138"/>
      <c r="D255" s="2137"/>
      <c r="E255" s="2137"/>
      <c r="F255" s="2138"/>
      <c r="G255" s="2145"/>
      <c r="H255" s="2137"/>
      <c r="I255" s="2138"/>
      <c r="J255" s="5111"/>
      <c r="K255" s="5088"/>
      <c r="L255" s="5085"/>
      <c r="M255" s="5085"/>
      <c r="N255" s="5085"/>
      <c r="O255" s="5085"/>
      <c r="P255" s="5085"/>
      <c r="Q255" s="5088"/>
      <c r="R255" s="5119"/>
      <c r="S255" s="5102"/>
      <c r="T255" s="5088"/>
      <c r="U255" s="5088"/>
      <c r="V255" s="5170" t="s">
        <v>1895</v>
      </c>
      <c r="W255" s="2203">
        <v>722110000</v>
      </c>
      <c r="X255" s="2203">
        <f>610362000+7461333</f>
        <v>617823333</v>
      </c>
      <c r="Y255" s="2203">
        <f>57600500+43302000</f>
        <v>100902500</v>
      </c>
      <c r="Z255" s="2143">
        <v>61</v>
      </c>
      <c r="AA255" s="5085"/>
      <c r="AB255" s="5085"/>
      <c r="AC255" s="5085"/>
      <c r="AD255" s="5085"/>
      <c r="AE255" s="5085"/>
      <c r="AF255" s="5085"/>
      <c r="AG255" s="5085"/>
      <c r="AH255" s="5085"/>
      <c r="AI255" s="5085"/>
      <c r="AJ255" s="5085"/>
      <c r="AK255" s="5085"/>
      <c r="AL255" s="5085"/>
      <c r="AM255" s="5085"/>
      <c r="AN255" s="5085"/>
      <c r="AO255" s="5085"/>
      <c r="AP255" s="5085"/>
      <c r="AQ255" s="5085"/>
      <c r="AR255" s="5085"/>
      <c r="AS255" s="5085"/>
      <c r="AT255" s="5085"/>
      <c r="AU255" s="5085"/>
      <c r="AV255" s="5085"/>
      <c r="AW255" s="5085"/>
      <c r="AX255" s="5085"/>
      <c r="AY255" s="5085"/>
      <c r="AZ255" s="5085"/>
      <c r="BA255" s="5085"/>
      <c r="BB255" s="5085"/>
      <c r="BC255" s="5085"/>
      <c r="BD255" s="5085"/>
      <c r="BE255" s="5085"/>
      <c r="BF255" s="5085"/>
      <c r="BG255" s="5085"/>
      <c r="BH255" s="5095"/>
      <c r="BI255" s="3822"/>
      <c r="BJ255" s="3822"/>
      <c r="BK255" s="5092"/>
      <c r="BL255" s="5095"/>
      <c r="BM255" s="5095"/>
      <c r="BN255" s="5079"/>
      <c r="BO255" s="5079"/>
      <c r="BP255" s="5079"/>
      <c r="BQ255" s="5079"/>
      <c r="BR255" s="5082"/>
    </row>
    <row r="256" spans="1:70" s="2144" customFormat="1" ht="28.5" customHeight="1" x14ac:dyDescent="0.2">
      <c r="A256" s="2136"/>
      <c r="B256" s="2137"/>
      <c r="C256" s="2138"/>
      <c r="D256" s="2137"/>
      <c r="E256" s="2137"/>
      <c r="F256" s="2138"/>
      <c r="G256" s="2145"/>
      <c r="H256" s="2137"/>
      <c r="I256" s="2138"/>
      <c r="J256" s="5112"/>
      <c r="K256" s="5089"/>
      <c r="L256" s="5086"/>
      <c r="M256" s="5086"/>
      <c r="N256" s="5086"/>
      <c r="O256" s="5085"/>
      <c r="P256" s="5085"/>
      <c r="Q256" s="5088"/>
      <c r="R256" s="5120"/>
      <c r="S256" s="5102"/>
      <c r="T256" s="5088"/>
      <c r="U256" s="5089"/>
      <c r="V256" s="5182"/>
      <c r="W256" s="2203">
        <v>60097111</v>
      </c>
      <c r="X256" s="2203">
        <v>52848834</v>
      </c>
      <c r="Y256" s="2203">
        <v>9779400</v>
      </c>
      <c r="Z256" s="2143">
        <v>98</v>
      </c>
      <c r="AA256" s="5085"/>
      <c r="AB256" s="5085"/>
      <c r="AC256" s="5085"/>
      <c r="AD256" s="5085"/>
      <c r="AE256" s="5085"/>
      <c r="AF256" s="5085"/>
      <c r="AG256" s="5085"/>
      <c r="AH256" s="5085"/>
      <c r="AI256" s="5085"/>
      <c r="AJ256" s="5085"/>
      <c r="AK256" s="5085"/>
      <c r="AL256" s="5085"/>
      <c r="AM256" s="5085"/>
      <c r="AN256" s="5085"/>
      <c r="AO256" s="5085"/>
      <c r="AP256" s="5085"/>
      <c r="AQ256" s="5085"/>
      <c r="AR256" s="5085"/>
      <c r="AS256" s="5085"/>
      <c r="AT256" s="5085"/>
      <c r="AU256" s="5085"/>
      <c r="AV256" s="5085"/>
      <c r="AW256" s="5085"/>
      <c r="AX256" s="5085"/>
      <c r="AY256" s="5085"/>
      <c r="AZ256" s="5085"/>
      <c r="BA256" s="5085"/>
      <c r="BB256" s="5085"/>
      <c r="BC256" s="5085"/>
      <c r="BD256" s="5085"/>
      <c r="BE256" s="5085"/>
      <c r="BF256" s="5085"/>
      <c r="BG256" s="5085"/>
      <c r="BH256" s="5095"/>
      <c r="BI256" s="3822"/>
      <c r="BJ256" s="3822"/>
      <c r="BK256" s="5092"/>
      <c r="BL256" s="5095"/>
      <c r="BM256" s="5095"/>
      <c r="BN256" s="5079"/>
      <c r="BO256" s="5079"/>
      <c r="BP256" s="5079"/>
      <c r="BQ256" s="5079"/>
      <c r="BR256" s="5082"/>
    </row>
    <row r="257" spans="1:70" s="2144" customFormat="1" ht="87.75" customHeight="1" x14ac:dyDescent="0.2">
      <c r="A257" s="2136"/>
      <c r="B257" s="2137"/>
      <c r="C257" s="2138"/>
      <c r="D257" s="2137"/>
      <c r="E257" s="2137"/>
      <c r="F257" s="2138"/>
      <c r="G257" s="2149"/>
      <c r="H257" s="2147"/>
      <c r="I257" s="2148"/>
      <c r="J257" s="2849">
        <v>159</v>
      </c>
      <c r="K257" s="2852" t="s">
        <v>1896</v>
      </c>
      <c r="L257" s="2835" t="s">
        <v>1581</v>
      </c>
      <c r="M257" s="2848">
        <v>8</v>
      </c>
      <c r="N257" s="2835">
        <v>8</v>
      </c>
      <c r="O257" s="5086"/>
      <c r="P257" s="5086"/>
      <c r="Q257" s="5089"/>
      <c r="R257" s="2855">
        <f>+W257/S250</f>
        <v>1.3777800757820764E-2</v>
      </c>
      <c r="S257" s="5121"/>
      <c r="T257" s="5089"/>
      <c r="U257" s="2852" t="s">
        <v>1897</v>
      </c>
      <c r="V257" s="2194" t="s">
        <v>1898</v>
      </c>
      <c r="W257" s="2203">
        <v>21200000</v>
      </c>
      <c r="X257" s="2203">
        <v>0</v>
      </c>
      <c r="Y257" s="2203">
        <v>0</v>
      </c>
      <c r="Z257" s="2178">
        <v>61</v>
      </c>
      <c r="AA257" s="5086"/>
      <c r="AB257" s="5086"/>
      <c r="AC257" s="5086"/>
      <c r="AD257" s="5086"/>
      <c r="AE257" s="5086"/>
      <c r="AF257" s="5086"/>
      <c r="AG257" s="5086"/>
      <c r="AH257" s="5086"/>
      <c r="AI257" s="5086"/>
      <c r="AJ257" s="5086"/>
      <c r="AK257" s="5086"/>
      <c r="AL257" s="5086"/>
      <c r="AM257" s="5086"/>
      <c r="AN257" s="5086"/>
      <c r="AO257" s="5086"/>
      <c r="AP257" s="5086"/>
      <c r="AQ257" s="5086"/>
      <c r="AR257" s="5086"/>
      <c r="AS257" s="5086"/>
      <c r="AT257" s="5086"/>
      <c r="AU257" s="5086"/>
      <c r="AV257" s="5086"/>
      <c r="AW257" s="5086"/>
      <c r="AX257" s="5086"/>
      <c r="AY257" s="5086"/>
      <c r="AZ257" s="5086"/>
      <c r="BA257" s="5086"/>
      <c r="BB257" s="5086"/>
      <c r="BC257" s="5086"/>
      <c r="BD257" s="5086"/>
      <c r="BE257" s="5086"/>
      <c r="BF257" s="5086"/>
      <c r="BG257" s="5086"/>
      <c r="BH257" s="5103"/>
      <c r="BI257" s="3823"/>
      <c r="BJ257" s="3823"/>
      <c r="BK257" s="5109"/>
      <c r="BL257" s="5103"/>
      <c r="BM257" s="5103"/>
      <c r="BN257" s="5117"/>
      <c r="BO257" s="5117"/>
      <c r="BP257" s="5117"/>
      <c r="BQ257" s="5117"/>
      <c r="BR257" s="5098"/>
    </row>
    <row r="258" spans="1:70" ht="36" customHeight="1" x14ac:dyDescent="0.2">
      <c r="A258" s="2122"/>
      <c r="B258" s="2123"/>
      <c r="C258" s="2124"/>
      <c r="D258" s="2123"/>
      <c r="E258" s="2123"/>
      <c r="F258" s="2124"/>
      <c r="G258" s="2158">
        <v>46</v>
      </c>
      <c r="H258" s="2128" t="s">
        <v>1899</v>
      </c>
      <c r="I258" s="2128"/>
      <c r="J258" s="2128"/>
      <c r="K258" s="2129"/>
      <c r="L258" s="2128"/>
      <c r="M258" s="2128"/>
      <c r="N258" s="2128"/>
      <c r="O258" s="2130"/>
      <c r="P258" s="2128"/>
      <c r="Q258" s="2129"/>
      <c r="R258" s="2128"/>
      <c r="S258" s="2159"/>
      <c r="T258" s="2129"/>
      <c r="U258" s="2129"/>
      <c r="V258" s="2129"/>
      <c r="W258" s="2204"/>
      <c r="X258" s="2204"/>
      <c r="Y258" s="2204"/>
      <c r="Z258" s="2200"/>
      <c r="AA258" s="2201"/>
      <c r="AB258" s="2130"/>
      <c r="AC258" s="2130"/>
      <c r="AD258" s="2130"/>
      <c r="AE258" s="2130"/>
      <c r="AF258" s="2130"/>
      <c r="AG258" s="2130"/>
      <c r="AH258" s="2130"/>
      <c r="AI258" s="2130"/>
      <c r="AJ258" s="2130"/>
      <c r="AK258" s="2130"/>
      <c r="AL258" s="2130"/>
      <c r="AM258" s="2130"/>
      <c r="AN258" s="2130"/>
      <c r="AO258" s="2130"/>
      <c r="AP258" s="2130"/>
      <c r="AQ258" s="2130"/>
      <c r="AR258" s="2130"/>
      <c r="AS258" s="2130"/>
      <c r="AT258" s="2130"/>
      <c r="AU258" s="2130"/>
      <c r="AV258" s="2130"/>
      <c r="AW258" s="2130"/>
      <c r="AX258" s="2130"/>
      <c r="AY258" s="2130"/>
      <c r="AZ258" s="2130"/>
      <c r="BA258" s="2130"/>
      <c r="BB258" s="2130"/>
      <c r="BC258" s="2130"/>
      <c r="BD258" s="2130"/>
      <c r="BE258" s="2130"/>
      <c r="BF258" s="2130"/>
      <c r="BG258" s="2130"/>
      <c r="BH258" s="2130"/>
      <c r="BI258" s="2162"/>
      <c r="BJ258" s="2162"/>
      <c r="BK258" s="2130"/>
      <c r="BL258" s="2130"/>
      <c r="BM258" s="2130"/>
      <c r="BN258" s="2128"/>
      <c r="BO258" s="2128"/>
      <c r="BP258" s="2128"/>
      <c r="BQ258" s="2128"/>
      <c r="BR258" s="2135"/>
    </row>
    <row r="259" spans="1:70" ht="31.5" customHeight="1" x14ac:dyDescent="0.2">
      <c r="A259" s="2136"/>
      <c r="B259" s="2137"/>
      <c r="C259" s="2138"/>
      <c r="D259" s="2137"/>
      <c r="E259" s="2137"/>
      <c r="F259" s="2138"/>
      <c r="G259" s="2139"/>
      <c r="H259" s="2140"/>
      <c r="I259" s="2141"/>
      <c r="J259" s="5152">
        <v>160</v>
      </c>
      <c r="K259" s="5087" t="s">
        <v>1900</v>
      </c>
      <c r="L259" s="5084" t="s">
        <v>1581</v>
      </c>
      <c r="M259" s="5084">
        <v>300</v>
      </c>
      <c r="N259" s="5084">
        <v>584</v>
      </c>
      <c r="O259" s="5084" t="s">
        <v>1901</v>
      </c>
      <c r="P259" s="5084" t="s">
        <v>1902</v>
      </c>
      <c r="Q259" s="5087" t="s">
        <v>1903</v>
      </c>
      <c r="R259" s="5118">
        <v>1</v>
      </c>
      <c r="S259" s="5101">
        <f>SUM(W259:W273)</f>
        <v>1210233390</v>
      </c>
      <c r="T259" s="5125" t="s">
        <v>1904</v>
      </c>
      <c r="U259" s="5190" t="s">
        <v>1905</v>
      </c>
      <c r="V259" s="5170" t="s">
        <v>1906</v>
      </c>
      <c r="W259" s="2203">
        <f>238058000+175133457</f>
        <v>413191457</v>
      </c>
      <c r="X259" s="2203">
        <f>228163507+106632122</f>
        <v>334795629</v>
      </c>
      <c r="Y259" s="2203">
        <f>93845279+59582476+59582476</f>
        <v>213010231</v>
      </c>
      <c r="Z259" s="2208">
        <v>61</v>
      </c>
      <c r="AA259" s="5084" t="s">
        <v>1907</v>
      </c>
      <c r="AB259" s="5084">
        <v>292684</v>
      </c>
      <c r="AC259" s="5084">
        <f>SUM(AB259*0.37)</f>
        <v>108293.08</v>
      </c>
      <c r="AD259" s="5084">
        <v>282326</v>
      </c>
      <c r="AE259" s="5084">
        <f t="shared" ref="AE259" si="59">SUM(AD259*0.37)</f>
        <v>104460.62</v>
      </c>
      <c r="AF259" s="5084">
        <v>135912</v>
      </c>
      <c r="AG259" s="5084">
        <f t="shared" ref="AG259" si="60">SUM(AF259*0.37)</f>
        <v>50287.44</v>
      </c>
      <c r="AH259" s="5084">
        <v>45122</v>
      </c>
      <c r="AI259" s="5084">
        <f t="shared" ref="AI259" si="61">SUM(AH259*0.37)</f>
        <v>16695.14</v>
      </c>
      <c r="AJ259" s="5084">
        <f t="shared" ref="AJ259" si="62">SUM(AJ253)</f>
        <v>0</v>
      </c>
      <c r="AK259" s="5084">
        <f t="shared" ref="AK259" si="63">SUM(AJ259*0.37)</f>
        <v>0</v>
      </c>
      <c r="AL259" s="5084">
        <f t="shared" ref="AL259" si="64">SUM(AL253)</f>
        <v>0</v>
      </c>
      <c r="AM259" s="5084">
        <f t="shared" ref="AM259" si="65">SUM(AL259*0.37)</f>
        <v>0</v>
      </c>
      <c r="AN259" s="5084">
        <v>2145</v>
      </c>
      <c r="AO259" s="5084">
        <f t="shared" ref="AO259" si="66">SUM(AN259*0.37)</f>
        <v>793.65</v>
      </c>
      <c r="AP259" s="5084">
        <v>12718</v>
      </c>
      <c r="AQ259" s="5084">
        <f t="shared" ref="AQ259" si="67">SUM(AP259*0.37)</f>
        <v>4705.66</v>
      </c>
      <c r="AR259" s="5084">
        <v>26</v>
      </c>
      <c r="AS259" s="5084">
        <f t="shared" ref="AS259" si="68">SUM(AR259*0.37)</f>
        <v>9.6199999999999992</v>
      </c>
      <c r="AT259" s="5084">
        <v>37</v>
      </c>
      <c r="AU259" s="5084">
        <f t="shared" ref="AU259" si="69">SUM(AT259*0.37)</f>
        <v>13.69</v>
      </c>
      <c r="AV259" s="5084" t="s">
        <v>1588</v>
      </c>
      <c r="AW259" s="5084" t="s">
        <v>1588</v>
      </c>
      <c r="AX259" s="5084" t="s">
        <v>1588</v>
      </c>
      <c r="AY259" s="5084" t="s">
        <v>1588</v>
      </c>
      <c r="AZ259" s="5084">
        <v>53164</v>
      </c>
      <c r="BA259" s="5084">
        <f t="shared" ref="BA259" si="70">SUM(AZ259*0.37)</f>
        <v>19670.68</v>
      </c>
      <c r="BB259" s="5084">
        <v>16982</v>
      </c>
      <c r="BC259" s="5084">
        <f t="shared" ref="BC259" si="71">SUM(BB259*0.37)</f>
        <v>6283.34</v>
      </c>
      <c r="BD259" s="5084">
        <v>60013</v>
      </c>
      <c r="BE259" s="5084">
        <f t="shared" ref="BE259" si="72">SUM(BD259*0.37)</f>
        <v>22204.81</v>
      </c>
      <c r="BF259" s="5084">
        <v>575010</v>
      </c>
      <c r="BG259" s="5084">
        <f t="shared" ref="BG259" si="73">SUM(BF259*0.37)</f>
        <v>212753.7</v>
      </c>
      <c r="BH259" s="5084">
        <v>61</v>
      </c>
      <c r="BI259" s="3809">
        <f>SUM(X259:X273)</f>
        <v>891719520</v>
      </c>
      <c r="BJ259" s="3809">
        <f>SUM(Y259:Y273)</f>
        <v>614559166</v>
      </c>
      <c r="BK259" s="3792">
        <f>+BJ259/BI259</f>
        <v>0.68918438165399809</v>
      </c>
      <c r="BL259" s="5084" t="s">
        <v>1908</v>
      </c>
      <c r="BM259" s="5084" t="s">
        <v>1590</v>
      </c>
      <c r="BN259" s="5139">
        <v>43467</v>
      </c>
      <c r="BO259" s="5078">
        <v>43830</v>
      </c>
      <c r="BP259" s="5139">
        <v>43830</v>
      </c>
      <c r="BQ259" s="5078">
        <v>43830</v>
      </c>
      <c r="BR259" s="5081" t="s">
        <v>1591</v>
      </c>
    </row>
    <row r="260" spans="1:70" ht="31.5" customHeight="1" x14ac:dyDescent="0.2">
      <c r="A260" s="2136"/>
      <c r="B260" s="2137"/>
      <c r="C260" s="2138"/>
      <c r="D260" s="2137"/>
      <c r="E260" s="2137"/>
      <c r="F260" s="2138"/>
      <c r="G260" s="2145"/>
      <c r="H260" s="2137"/>
      <c r="I260" s="2138"/>
      <c r="J260" s="5152"/>
      <c r="K260" s="5088"/>
      <c r="L260" s="5085"/>
      <c r="M260" s="5085"/>
      <c r="N260" s="5085"/>
      <c r="O260" s="5085"/>
      <c r="P260" s="5085"/>
      <c r="Q260" s="5088"/>
      <c r="R260" s="5119"/>
      <c r="S260" s="5102"/>
      <c r="T260" s="5125"/>
      <c r="U260" s="5190"/>
      <c r="V260" s="5171"/>
      <c r="W260" s="2203">
        <f>30000000-30000000</f>
        <v>0</v>
      </c>
      <c r="X260" s="2203">
        <v>0</v>
      </c>
      <c r="Y260" s="2203">
        <v>0</v>
      </c>
      <c r="Z260" s="2209">
        <v>88</v>
      </c>
      <c r="AA260" s="5085"/>
      <c r="AB260" s="5085"/>
      <c r="AC260" s="5085"/>
      <c r="AD260" s="5085"/>
      <c r="AE260" s="5085"/>
      <c r="AF260" s="5085"/>
      <c r="AG260" s="5085"/>
      <c r="AH260" s="5085"/>
      <c r="AI260" s="5085"/>
      <c r="AJ260" s="5085"/>
      <c r="AK260" s="5085"/>
      <c r="AL260" s="5085"/>
      <c r="AM260" s="5085"/>
      <c r="AN260" s="5085"/>
      <c r="AO260" s="5085"/>
      <c r="AP260" s="5085"/>
      <c r="AQ260" s="5085"/>
      <c r="AR260" s="5085"/>
      <c r="AS260" s="5085"/>
      <c r="AT260" s="5085"/>
      <c r="AU260" s="5085"/>
      <c r="AV260" s="5085"/>
      <c r="AW260" s="5085"/>
      <c r="AX260" s="5085"/>
      <c r="AY260" s="5085"/>
      <c r="AZ260" s="5085"/>
      <c r="BA260" s="5085"/>
      <c r="BB260" s="5085"/>
      <c r="BC260" s="5085"/>
      <c r="BD260" s="5085"/>
      <c r="BE260" s="5085"/>
      <c r="BF260" s="5085"/>
      <c r="BG260" s="5085"/>
      <c r="BH260" s="5085"/>
      <c r="BI260" s="3810"/>
      <c r="BJ260" s="3810"/>
      <c r="BK260" s="3793"/>
      <c r="BL260" s="5085"/>
      <c r="BM260" s="5085"/>
      <c r="BN260" s="5139"/>
      <c r="BO260" s="5079"/>
      <c r="BP260" s="5139"/>
      <c r="BQ260" s="5079"/>
      <c r="BR260" s="5082"/>
    </row>
    <row r="261" spans="1:70" ht="31.5" customHeight="1" x14ac:dyDescent="0.2">
      <c r="A261" s="2136"/>
      <c r="B261" s="2137"/>
      <c r="C261" s="2138"/>
      <c r="D261" s="2137"/>
      <c r="E261" s="2137"/>
      <c r="F261" s="2138"/>
      <c r="G261" s="2145"/>
      <c r="H261" s="2137"/>
      <c r="I261" s="2138"/>
      <c r="J261" s="5152"/>
      <c r="K261" s="5088"/>
      <c r="L261" s="5085"/>
      <c r="M261" s="5085"/>
      <c r="N261" s="5085"/>
      <c r="O261" s="5085"/>
      <c r="P261" s="5085"/>
      <c r="Q261" s="5088"/>
      <c r="R261" s="5119"/>
      <c r="S261" s="5102"/>
      <c r="T261" s="5125"/>
      <c r="U261" s="5190"/>
      <c r="V261" s="5171"/>
      <c r="W261" s="2203">
        <v>211942000</v>
      </c>
      <c r="X261" s="2203">
        <v>59052240</v>
      </c>
      <c r="Y261" s="2203">
        <v>20839325</v>
      </c>
      <c r="Z261" s="2209">
        <v>20</v>
      </c>
      <c r="AA261" s="5085"/>
      <c r="AB261" s="5085"/>
      <c r="AC261" s="5085"/>
      <c r="AD261" s="5085"/>
      <c r="AE261" s="5085"/>
      <c r="AF261" s="5085"/>
      <c r="AG261" s="5085"/>
      <c r="AH261" s="5085"/>
      <c r="AI261" s="5085"/>
      <c r="AJ261" s="5085"/>
      <c r="AK261" s="5085"/>
      <c r="AL261" s="5085"/>
      <c r="AM261" s="5085"/>
      <c r="AN261" s="5085"/>
      <c r="AO261" s="5085"/>
      <c r="AP261" s="5085"/>
      <c r="AQ261" s="5085"/>
      <c r="AR261" s="5085"/>
      <c r="AS261" s="5085"/>
      <c r="AT261" s="5085"/>
      <c r="AU261" s="5085"/>
      <c r="AV261" s="5085"/>
      <c r="AW261" s="5085"/>
      <c r="AX261" s="5085"/>
      <c r="AY261" s="5085"/>
      <c r="AZ261" s="5085"/>
      <c r="BA261" s="5085"/>
      <c r="BB261" s="5085"/>
      <c r="BC261" s="5085"/>
      <c r="BD261" s="5085"/>
      <c r="BE261" s="5085"/>
      <c r="BF261" s="5085"/>
      <c r="BG261" s="5085"/>
      <c r="BH261" s="5085"/>
      <c r="BI261" s="3810"/>
      <c r="BJ261" s="3810"/>
      <c r="BK261" s="3793"/>
      <c r="BL261" s="5085"/>
      <c r="BM261" s="5085"/>
      <c r="BN261" s="5139"/>
      <c r="BO261" s="5079"/>
      <c r="BP261" s="5139"/>
      <c r="BQ261" s="5079"/>
      <c r="BR261" s="5082"/>
    </row>
    <row r="262" spans="1:70" ht="31.5" customHeight="1" x14ac:dyDescent="0.2">
      <c r="A262" s="2136"/>
      <c r="B262" s="2137"/>
      <c r="C262" s="2138"/>
      <c r="D262" s="2137"/>
      <c r="E262" s="2137"/>
      <c r="F262" s="2138"/>
      <c r="G262" s="2145"/>
      <c r="H262" s="2137"/>
      <c r="I262" s="2138"/>
      <c r="J262" s="5152"/>
      <c r="K262" s="5088"/>
      <c r="L262" s="5085"/>
      <c r="M262" s="5085"/>
      <c r="N262" s="5085"/>
      <c r="O262" s="5085"/>
      <c r="P262" s="5085"/>
      <c r="Q262" s="5088"/>
      <c r="R262" s="5119"/>
      <c r="S262" s="5102"/>
      <c r="T262" s="5125"/>
      <c r="U262" s="5190"/>
      <c r="V262" s="5182"/>
      <c r="W262" s="2203">
        <f>15000000-15000000</f>
        <v>0</v>
      </c>
      <c r="X262" s="2203">
        <v>0</v>
      </c>
      <c r="Y262" s="2203">
        <v>0</v>
      </c>
      <c r="Z262" s="2209">
        <v>98</v>
      </c>
      <c r="AA262" s="5085"/>
      <c r="AB262" s="5085"/>
      <c r="AC262" s="5085"/>
      <c r="AD262" s="5085"/>
      <c r="AE262" s="5085"/>
      <c r="AF262" s="5085"/>
      <c r="AG262" s="5085"/>
      <c r="AH262" s="5085"/>
      <c r="AI262" s="5085"/>
      <c r="AJ262" s="5085"/>
      <c r="AK262" s="5085"/>
      <c r="AL262" s="5085"/>
      <c r="AM262" s="5085"/>
      <c r="AN262" s="5085"/>
      <c r="AO262" s="5085"/>
      <c r="AP262" s="5085"/>
      <c r="AQ262" s="5085"/>
      <c r="AR262" s="5085"/>
      <c r="AS262" s="5085"/>
      <c r="AT262" s="5085"/>
      <c r="AU262" s="5085"/>
      <c r="AV262" s="5085"/>
      <c r="AW262" s="5085"/>
      <c r="AX262" s="5085"/>
      <c r="AY262" s="5085"/>
      <c r="AZ262" s="5085"/>
      <c r="BA262" s="5085"/>
      <c r="BB262" s="5085"/>
      <c r="BC262" s="5085"/>
      <c r="BD262" s="5085"/>
      <c r="BE262" s="5085"/>
      <c r="BF262" s="5085"/>
      <c r="BG262" s="5085"/>
      <c r="BH262" s="5085"/>
      <c r="BI262" s="3810"/>
      <c r="BJ262" s="3810"/>
      <c r="BK262" s="3793"/>
      <c r="BL262" s="5085"/>
      <c r="BM262" s="5085"/>
      <c r="BN262" s="5139"/>
      <c r="BO262" s="5079"/>
      <c r="BP262" s="5139"/>
      <c r="BQ262" s="5079"/>
      <c r="BR262" s="5082"/>
    </row>
    <row r="263" spans="1:70" ht="31.5" customHeight="1" x14ac:dyDescent="0.2">
      <c r="A263" s="2136"/>
      <c r="B263" s="2137"/>
      <c r="C263" s="2138"/>
      <c r="D263" s="2137"/>
      <c r="E263" s="2137"/>
      <c r="F263" s="2138"/>
      <c r="G263" s="2145"/>
      <c r="H263" s="2137"/>
      <c r="I263" s="2138"/>
      <c r="J263" s="5152"/>
      <c r="K263" s="5088"/>
      <c r="L263" s="5085"/>
      <c r="M263" s="5085"/>
      <c r="N263" s="5085"/>
      <c r="O263" s="5085"/>
      <c r="P263" s="5085"/>
      <c r="Q263" s="5088"/>
      <c r="R263" s="5119"/>
      <c r="S263" s="5102"/>
      <c r="T263" s="5125"/>
      <c r="U263" s="5190"/>
      <c r="V263" s="5183" t="s">
        <v>1909</v>
      </c>
      <c r="W263" s="2203">
        <f>50000000+4282248</f>
        <v>54282248</v>
      </c>
      <c r="X263" s="2203">
        <v>50000000</v>
      </c>
      <c r="Y263" s="2203">
        <v>50000000</v>
      </c>
      <c r="Z263" s="2208">
        <v>61</v>
      </c>
      <c r="AA263" s="5085"/>
      <c r="AB263" s="5085"/>
      <c r="AC263" s="5085"/>
      <c r="AD263" s="5085"/>
      <c r="AE263" s="5085"/>
      <c r="AF263" s="5085"/>
      <c r="AG263" s="5085"/>
      <c r="AH263" s="5085"/>
      <c r="AI263" s="5085"/>
      <c r="AJ263" s="5085"/>
      <c r="AK263" s="5085"/>
      <c r="AL263" s="5085"/>
      <c r="AM263" s="5085"/>
      <c r="AN263" s="5085"/>
      <c r="AO263" s="5085"/>
      <c r="AP263" s="5085"/>
      <c r="AQ263" s="5085"/>
      <c r="AR263" s="5085"/>
      <c r="AS263" s="5085"/>
      <c r="AT263" s="5085"/>
      <c r="AU263" s="5085"/>
      <c r="AV263" s="5085"/>
      <c r="AW263" s="5085"/>
      <c r="AX263" s="5085"/>
      <c r="AY263" s="5085"/>
      <c r="AZ263" s="5085"/>
      <c r="BA263" s="5085"/>
      <c r="BB263" s="5085"/>
      <c r="BC263" s="5085"/>
      <c r="BD263" s="5085"/>
      <c r="BE263" s="5085"/>
      <c r="BF263" s="5085"/>
      <c r="BG263" s="5085"/>
      <c r="BH263" s="5085"/>
      <c r="BI263" s="3810"/>
      <c r="BJ263" s="3810"/>
      <c r="BK263" s="3793"/>
      <c r="BL263" s="5085"/>
      <c r="BM263" s="5085"/>
      <c r="BN263" s="5139"/>
      <c r="BO263" s="5079"/>
      <c r="BP263" s="5139"/>
      <c r="BQ263" s="5079"/>
      <c r="BR263" s="5082"/>
    </row>
    <row r="264" spans="1:70" ht="31.5" customHeight="1" x14ac:dyDescent="0.2">
      <c r="A264" s="2136"/>
      <c r="B264" s="2137"/>
      <c r="C264" s="2138"/>
      <c r="D264" s="2137"/>
      <c r="E264" s="2137"/>
      <c r="F264" s="2138"/>
      <c r="G264" s="2145"/>
      <c r="H264" s="2137"/>
      <c r="I264" s="2138"/>
      <c r="J264" s="5152"/>
      <c r="K264" s="5088"/>
      <c r="L264" s="5085"/>
      <c r="M264" s="5085"/>
      <c r="N264" s="5085"/>
      <c r="O264" s="5085"/>
      <c r="P264" s="5085"/>
      <c r="Q264" s="5088"/>
      <c r="R264" s="5119"/>
      <c r="S264" s="5102"/>
      <c r="T264" s="5125"/>
      <c r="U264" s="5190"/>
      <c r="V264" s="5184"/>
      <c r="W264" s="2210">
        <f>0+29104095</f>
        <v>29104095</v>
      </c>
      <c r="X264" s="2203">
        <v>9746207</v>
      </c>
      <c r="Y264" s="2203"/>
      <c r="Z264" s="2211">
        <v>96</v>
      </c>
      <c r="AA264" s="5085"/>
      <c r="AB264" s="5085"/>
      <c r="AC264" s="5085"/>
      <c r="AD264" s="5085"/>
      <c r="AE264" s="5085"/>
      <c r="AF264" s="5085"/>
      <c r="AG264" s="5085"/>
      <c r="AH264" s="5085"/>
      <c r="AI264" s="5085"/>
      <c r="AJ264" s="5085"/>
      <c r="AK264" s="5085"/>
      <c r="AL264" s="5085"/>
      <c r="AM264" s="5085"/>
      <c r="AN264" s="5085"/>
      <c r="AO264" s="5085"/>
      <c r="AP264" s="5085"/>
      <c r="AQ264" s="5085"/>
      <c r="AR264" s="5085"/>
      <c r="AS264" s="5085"/>
      <c r="AT264" s="5085"/>
      <c r="AU264" s="5085"/>
      <c r="AV264" s="5085"/>
      <c r="AW264" s="5085"/>
      <c r="AX264" s="5085"/>
      <c r="AY264" s="5085"/>
      <c r="AZ264" s="5085"/>
      <c r="BA264" s="5085"/>
      <c r="BB264" s="5085"/>
      <c r="BC264" s="5085"/>
      <c r="BD264" s="5085"/>
      <c r="BE264" s="5085"/>
      <c r="BF264" s="5085"/>
      <c r="BG264" s="5085"/>
      <c r="BH264" s="5085"/>
      <c r="BI264" s="3810"/>
      <c r="BJ264" s="3810"/>
      <c r="BK264" s="3793"/>
      <c r="BL264" s="5085"/>
      <c r="BM264" s="5085"/>
      <c r="BN264" s="5139"/>
      <c r="BO264" s="5079"/>
      <c r="BP264" s="5139"/>
      <c r="BQ264" s="5079"/>
      <c r="BR264" s="5082"/>
    </row>
    <row r="265" spans="1:70" ht="57" x14ac:dyDescent="0.2">
      <c r="A265" s="2136"/>
      <c r="B265" s="2137"/>
      <c r="C265" s="2138"/>
      <c r="D265" s="2137"/>
      <c r="E265" s="2137"/>
      <c r="F265" s="2138"/>
      <c r="G265" s="2145"/>
      <c r="H265" s="2137"/>
      <c r="I265" s="2138"/>
      <c r="J265" s="5152"/>
      <c r="K265" s="5088"/>
      <c r="L265" s="5085"/>
      <c r="M265" s="5085"/>
      <c r="N265" s="5085"/>
      <c r="O265" s="5085"/>
      <c r="P265" s="5085"/>
      <c r="Q265" s="5088"/>
      <c r="R265" s="5119"/>
      <c r="S265" s="5102"/>
      <c r="T265" s="5125"/>
      <c r="U265" s="5185" t="s">
        <v>1910</v>
      </c>
      <c r="V265" s="2194" t="s">
        <v>1911</v>
      </c>
      <c r="W265" s="2203">
        <v>74900000</v>
      </c>
      <c r="X265" s="2203">
        <v>74900000</v>
      </c>
      <c r="Y265" s="2203">
        <v>74900000</v>
      </c>
      <c r="Z265" s="2208">
        <v>61</v>
      </c>
      <c r="AA265" s="5085"/>
      <c r="AB265" s="5085"/>
      <c r="AC265" s="5085"/>
      <c r="AD265" s="5085"/>
      <c r="AE265" s="5085"/>
      <c r="AF265" s="5085"/>
      <c r="AG265" s="5085"/>
      <c r="AH265" s="5085"/>
      <c r="AI265" s="5085"/>
      <c r="AJ265" s="5085"/>
      <c r="AK265" s="5085"/>
      <c r="AL265" s="5085"/>
      <c r="AM265" s="5085"/>
      <c r="AN265" s="5085"/>
      <c r="AO265" s="5085"/>
      <c r="AP265" s="5085"/>
      <c r="AQ265" s="5085"/>
      <c r="AR265" s="5085"/>
      <c r="AS265" s="5085"/>
      <c r="AT265" s="5085"/>
      <c r="AU265" s="5085"/>
      <c r="AV265" s="5085"/>
      <c r="AW265" s="5085"/>
      <c r="AX265" s="5085"/>
      <c r="AY265" s="5085"/>
      <c r="AZ265" s="5085"/>
      <c r="BA265" s="5085"/>
      <c r="BB265" s="5085"/>
      <c r="BC265" s="5085"/>
      <c r="BD265" s="5085"/>
      <c r="BE265" s="5085"/>
      <c r="BF265" s="5085"/>
      <c r="BG265" s="5085"/>
      <c r="BH265" s="5085"/>
      <c r="BI265" s="3810"/>
      <c r="BJ265" s="3810"/>
      <c r="BK265" s="3793"/>
      <c r="BL265" s="5085"/>
      <c r="BM265" s="5085"/>
      <c r="BN265" s="5139"/>
      <c r="BO265" s="5079"/>
      <c r="BP265" s="5139"/>
      <c r="BQ265" s="5079"/>
      <c r="BR265" s="5082"/>
    </row>
    <row r="266" spans="1:70" ht="57" customHeight="1" x14ac:dyDescent="0.2">
      <c r="A266" s="2136"/>
      <c r="B266" s="2137"/>
      <c r="C266" s="2138"/>
      <c r="D266" s="2137"/>
      <c r="E266" s="2137"/>
      <c r="F266" s="2138"/>
      <c r="G266" s="2145"/>
      <c r="H266" s="2137"/>
      <c r="I266" s="2138"/>
      <c r="J266" s="5152"/>
      <c r="K266" s="5088"/>
      <c r="L266" s="5085"/>
      <c r="M266" s="5085"/>
      <c r="N266" s="5085"/>
      <c r="O266" s="5085"/>
      <c r="P266" s="5085"/>
      <c r="Q266" s="5088"/>
      <c r="R266" s="5119"/>
      <c r="S266" s="5102"/>
      <c r="T266" s="5125"/>
      <c r="U266" s="5186"/>
      <c r="V266" s="2194" t="s">
        <v>1912</v>
      </c>
      <c r="W266" s="2203">
        <f>40630000+220000000-175133457-4282248</f>
        <v>81214295</v>
      </c>
      <c r="X266" s="2203">
        <v>37095534</v>
      </c>
      <c r="Y266" s="2203">
        <v>37095534</v>
      </c>
      <c r="Z266" s="2208">
        <v>61</v>
      </c>
      <c r="AA266" s="5085"/>
      <c r="AB266" s="5085"/>
      <c r="AC266" s="5085"/>
      <c r="AD266" s="5085"/>
      <c r="AE266" s="5085"/>
      <c r="AF266" s="5085"/>
      <c r="AG266" s="5085"/>
      <c r="AH266" s="5085"/>
      <c r="AI266" s="5085"/>
      <c r="AJ266" s="5085"/>
      <c r="AK266" s="5085"/>
      <c r="AL266" s="5085"/>
      <c r="AM266" s="5085"/>
      <c r="AN266" s="5085"/>
      <c r="AO266" s="5085"/>
      <c r="AP266" s="5085"/>
      <c r="AQ266" s="5085"/>
      <c r="AR266" s="5085"/>
      <c r="AS266" s="5085"/>
      <c r="AT266" s="5085"/>
      <c r="AU266" s="5085"/>
      <c r="AV266" s="5085"/>
      <c r="AW266" s="5085"/>
      <c r="AX266" s="5085"/>
      <c r="AY266" s="5085"/>
      <c r="AZ266" s="5085"/>
      <c r="BA266" s="5085"/>
      <c r="BB266" s="5085"/>
      <c r="BC266" s="5085"/>
      <c r="BD266" s="5085"/>
      <c r="BE266" s="5085"/>
      <c r="BF266" s="5085"/>
      <c r="BG266" s="5085"/>
      <c r="BH266" s="5085"/>
      <c r="BI266" s="3810"/>
      <c r="BJ266" s="3810"/>
      <c r="BK266" s="3793"/>
      <c r="BL266" s="5085"/>
      <c r="BM266" s="5085"/>
      <c r="BN266" s="5139"/>
      <c r="BO266" s="5079"/>
      <c r="BP266" s="5139"/>
      <c r="BQ266" s="5079"/>
      <c r="BR266" s="5082"/>
    </row>
    <row r="267" spans="1:70" ht="57" customHeight="1" x14ac:dyDescent="0.2">
      <c r="A267" s="2136"/>
      <c r="B267" s="2137"/>
      <c r="C267" s="2138"/>
      <c r="D267" s="2137"/>
      <c r="E267" s="2137"/>
      <c r="F267" s="2138"/>
      <c r="G267" s="2145"/>
      <c r="H267" s="2137"/>
      <c r="I267" s="2138"/>
      <c r="J267" s="5152"/>
      <c r="K267" s="5088"/>
      <c r="L267" s="5085"/>
      <c r="M267" s="5085"/>
      <c r="N267" s="5085"/>
      <c r="O267" s="5085"/>
      <c r="P267" s="5085"/>
      <c r="Q267" s="5088"/>
      <c r="R267" s="5119"/>
      <c r="S267" s="5102"/>
      <c r="T267" s="5125"/>
      <c r="U267" s="5186"/>
      <c r="V267" s="2194" t="s">
        <v>1913</v>
      </c>
      <c r="W267" s="2203">
        <v>44000000</v>
      </c>
      <c r="X267" s="2203">
        <v>44000000</v>
      </c>
      <c r="Y267" s="2203">
        <v>44000000</v>
      </c>
      <c r="Z267" s="2208">
        <v>61</v>
      </c>
      <c r="AA267" s="5085"/>
      <c r="AB267" s="5085"/>
      <c r="AC267" s="5085"/>
      <c r="AD267" s="5085"/>
      <c r="AE267" s="5085"/>
      <c r="AF267" s="5085"/>
      <c r="AG267" s="5085"/>
      <c r="AH267" s="5085"/>
      <c r="AI267" s="5085"/>
      <c r="AJ267" s="5085"/>
      <c r="AK267" s="5085"/>
      <c r="AL267" s="5085"/>
      <c r="AM267" s="5085"/>
      <c r="AN267" s="5085"/>
      <c r="AO267" s="5085"/>
      <c r="AP267" s="5085"/>
      <c r="AQ267" s="5085"/>
      <c r="AR267" s="5085"/>
      <c r="AS267" s="5085"/>
      <c r="AT267" s="5085"/>
      <c r="AU267" s="5085"/>
      <c r="AV267" s="5085"/>
      <c r="AW267" s="5085"/>
      <c r="AX267" s="5085"/>
      <c r="AY267" s="5085"/>
      <c r="AZ267" s="5085"/>
      <c r="BA267" s="5085"/>
      <c r="BB267" s="5085"/>
      <c r="BC267" s="5085"/>
      <c r="BD267" s="5085"/>
      <c r="BE267" s="5085"/>
      <c r="BF267" s="5085"/>
      <c r="BG267" s="5085"/>
      <c r="BH267" s="5085"/>
      <c r="BI267" s="3810"/>
      <c r="BJ267" s="3810"/>
      <c r="BK267" s="3793"/>
      <c r="BL267" s="5085"/>
      <c r="BM267" s="5085"/>
      <c r="BN267" s="5139"/>
      <c r="BO267" s="5079"/>
      <c r="BP267" s="5139"/>
      <c r="BQ267" s="5079"/>
      <c r="BR267" s="5082"/>
    </row>
    <row r="268" spans="1:70" ht="41.25" customHeight="1" x14ac:dyDescent="0.2">
      <c r="A268" s="2136"/>
      <c r="B268" s="2137"/>
      <c r="C268" s="2138"/>
      <c r="D268" s="2137"/>
      <c r="E268" s="2137"/>
      <c r="F268" s="2138"/>
      <c r="G268" s="2145"/>
      <c r="H268" s="2137"/>
      <c r="I268" s="2138"/>
      <c r="J268" s="5152"/>
      <c r="K268" s="5088"/>
      <c r="L268" s="5085"/>
      <c r="M268" s="5085"/>
      <c r="N268" s="5085"/>
      <c r="O268" s="5085"/>
      <c r="P268" s="5085"/>
      <c r="Q268" s="5088"/>
      <c r="R268" s="5119"/>
      <c r="S268" s="5102"/>
      <c r="T268" s="5125"/>
      <c r="U268" s="5186"/>
      <c r="V268" s="5183" t="s">
        <v>1914</v>
      </c>
      <c r="W268" s="2203">
        <v>140470000</v>
      </c>
      <c r="X268" s="2203">
        <v>140470000</v>
      </c>
      <c r="Y268" s="2203">
        <f>12631600+59582476</f>
        <v>72214076</v>
      </c>
      <c r="Z268" s="2208">
        <v>61</v>
      </c>
      <c r="AA268" s="5085"/>
      <c r="AB268" s="5085"/>
      <c r="AC268" s="5085"/>
      <c r="AD268" s="5085"/>
      <c r="AE268" s="5085"/>
      <c r="AF268" s="5085"/>
      <c r="AG268" s="5085"/>
      <c r="AH268" s="5085"/>
      <c r="AI268" s="5085"/>
      <c r="AJ268" s="5085"/>
      <c r="AK268" s="5085"/>
      <c r="AL268" s="5085"/>
      <c r="AM268" s="5085"/>
      <c r="AN268" s="5085"/>
      <c r="AO268" s="5085"/>
      <c r="AP268" s="5085"/>
      <c r="AQ268" s="5085"/>
      <c r="AR268" s="5085"/>
      <c r="AS268" s="5085"/>
      <c r="AT268" s="5085"/>
      <c r="AU268" s="5085"/>
      <c r="AV268" s="5085"/>
      <c r="AW268" s="5085"/>
      <c r="AX268" s="5085"/>
      <c r="AY268" s="5085"/>
      <c r="AZ268" s="5085"/>
      <c r="BA268" s="5085"/>
      <c r="BB268" s="5085"/>
      <c r="BC268" s="5085"/>
      <c r="BD268" s="5085"/>
      <c r="BE268" s="5085"/>
      <c r="BF268" s="5085"/>
      <c r="BG268" s="5085"/>
      <c r="BH268" s="5085"/>
      <c r="BI268" s="3810"/>
      <c r="BJ268" s="3810"/>
      <c r="BK268" s="3793"/>
      <c r="BL268" s="5085"/>
      <c r="BM268" s="5085"/>
      <c r="BN268" s="5139"/>
      <c r="BO268" s="5079"/>
      <c r="BP268" s="5139"/>
      <c r="BQ268" s="5079"/>
      <c r="BR268" s="5082"/>
    </row>
    <row r="269" spans="1:70" ht="41.25" customHeight="1" x14ac:dyDescent="0.2">
      <c r="A269" s="2136"/>
      <c r="B269" s="2137"/>
      <c r="C269" s="2138"/>
      <c r="D269" s="2137"/>
      <c r="E269" s="2137"/>
      <c r="F269" s="2138"/>
      <c r="G269" s="2145"/>
      <c r="H269" s="2137"/>
      <c r="I269" s="2138"/>
      <c r="J269" s="5152"/>
      <c r="K269" s="5088"/>
      <c r="L269" s="5085"/>
      <c r="M269" s="5085"/>
      <c r="N269" s="5085"/>
      <c r="O269" s="5085"/>
      <c r="P269" s="5085"/>
      <c r="Q269" s="5088"/>
      <c r="R269" s="5119"/>
      <c r="S269" s="5102"/>
      <c r="T269" s="5125"/>
      <c r="U269" s="5186"/>
      <c r="V269" s="5188"/>
      <c r="W269" s="2203">
        <v>30000000</v>
      </c>
      <c r="X269" s="2203">
        <v>30000000</v>
      </c>
      <c r="Y269" s="2203">
        <v>10048000</v>
      </c>
      <c r="Z269" s="2208">
        <v>88</v>
      </c>
      <c r="AA269" s="5085"/>
      <c r="AB269" s="5085"/>
      <c r="AC269" s="5085"/>
      <c r="AD269" s="5085"/>
      <c r="AE269" s="5085"/>
      <c r="AF269" s="5085"/>
      <c r="AG269" s="5085"/>
      <c r="AH269" s="5085"/>
      <c r="AI269" s="5085"/>
      <c r="AJ269" s="5085"/>
      <c r="AK269" s="5085"/>
      <c r="AL269" s="5085"/>
      <c r="AM269" s="5085"/>
      <c r="AN269" s="5085"/>
      <c r="AO269" s="5085"/>
      <c r="AP269" s="5085"/>
      <c r="AQ269" s="5085"/>
      <c r="AR269" s="5085"/>
      <c r="AS269" s="5085"/>
      <c r="AT269" s="5085"/>
      <c r="AU269" s="5085"/>
      <c r="AV269" s="5085"/>
      <c r="AW269" s="5085"/>
      <c r="AX269" s="5085"/>
      <c r="AY269" s="5085"/>
      <c r="AZ269" s="5085"/>
      <c r="BA269" s="5085"/>
      <c r="BB269" s="5085"/>
      <c r="BC269" s="5085"/>
      <c r="BD269" s="5085"/>
      <c r="BE269" s="5085"/>
      <c r="BF269" s="5085"/>
      <c r="BG269" s="5085"/>
      <c r="BH269" s="5085"/>
      <c r="BI269" s="3810"/>
      <c r="BJ269" s="3810"/>
      <c r="BK269" s="3793"/>
      <c r="BL269" s="5085"/>
      <c r="BM269" s="5085"/>
      <c r="BN269" s="5139"/>
      <c r="BO269" s="5079"/>
      <c r="BP269" s="5139"/>
      <c r="BQ269" s="5079"/>
      <c r="BR269" s="5082"/>
    </row>
    <row r="270" spans="1:70" ht="41.25" customHeight="1" x14ac:dyDescent="0.2">
      <c r="A270" s="2136"/>
      <c r="B270" s="2137"/>
      <c r="C270" s="2138"/>
      <c r="D270" s="2137"/>
      <c r="E270" s="2137"/>
      <c r="F270" s="2138"/>
      <c r="G270" s="2145"/>
      <c r="H270" s="2137"/>
      <c r="I270" s="2138"/>
      <c r="J270" s="5152"/>
      <c r="K270" s="5088"/>
      <c r="L270" s="5085"/>
      <c r="M270" s="5085"/>
      <c r="N270" s="5085"/>
      <c r="O270" s="5085"/>
      <c r="P270" s="5085"/>
      <c r="Q270" s="5088"/>
      <c r="R270" s="5119"/>
      <c r="S270" s="5102"/>
      <c r="T270" s="5125"/>
      <c r="U270" s="5186"/>
      <c r="V270" s="5188"/>
      <c r="W270" s="2203">
        <v>15000000</v>
      </c>
      <c r="X270" s="2203">
        <f>4795790*2</f>
        <v>9591580</v>
      </c>
      <c r="Y270" s="2203">
        <v>4452000</v>
      </c>
      <c r="Z270" s="2208">
        <v>98</v>
      </c>
      <c r="AA270" s="5085"/>
      <c r="AB270" s="5085"/>
      <c r="AC270" s="5085"/>
      <c r="AD270" s="5085"/>
      <c r="AE270" s="5085"/>
      <c r="AF270" s="5085"/>
      <c r="AG270" s="5085"/>
      <c r="AH270" s="5085"/>
      <c r="AI270" s="5085"/>
      <c r="AJ270" s="5085"/>
      <c r="AK270" s="5085"/>
      <c r="AL270" s="5085"/>
      <c r="AM270" s="5085"/>
      <c r="AN270" s="5085"/>
      <c r="AO270" s="5085"/>
      <c r="AP270" s="5085"/>
      <c r="AQ270" s="5085"/>
      <c r="AR270" s="5085"/>
      <c r="AS270" s="5085"/>
      <c r="AT270" s="5085"/>
      <c r="AU270" s="5085"/>
      <c r="AV270" s="5085"/>
      <c r="AW270" s="5085"/>
      <c r="AX270" s="5085"/>
      <c r="AY270" s="5085"/>
      <c r="AZ270" s="5085"/>
      <c r="BA270" s="5085"/>
      <c r="BB270" s="5085"/>
      <c r="BC270" s="5085"/>
      <c r="BD270" s="5085"/>
      <c r="BE270" s="5085"/>
      <c r="BF270" s="5085"/>
      <c r="BG270" s="5085"/>
      <c r="BH270" s="5085"/>
      <c r="BI270" s="3810"/>
      <c r="BJ270" s="3810"/>
      <c r="BK270" s="3793"/>
      <c r="BL270" s="5085"/>
      <c r="BM270" s="5085"/>
      <c r="BN270" s="5139"/>
      <c r="BO270" s="5079"/>
      <c r="BP270" s="5139"/>
      <c r="BQ270" s="5079"/>
      <c r="BR270" s="5082"/>
    </row>
    <row r="271" spans="1:70" ht="27.75" customHeight="1" x14ac:dyDescent="0.2">
      <c r="A271" s="2136"/>
      <c r="B271" s="2137"/>
      <c r="C271" s="2138"/>
      <c r="D271" s="2137"/>
      <c r="E271" s="2137"/>
      <c r="F271" s="2138"/>
      <c r="G271" s="2145"/>
      <c r="H271" s="2137"/>
      <c r="I271" s="2138"/>
      <c r="J271" s="5152"/>
      <c r="K271" s="5088"/>
      <c r="L271" s="5085"/>
      <c r="M271" s="5085"/>
      <c r="N271" s="5085"/>
      <c r="O271" s="5085"/>
      <c r="P271" s="5085"/>
      <c r="Q271" s="5088"/>
      <c r="R271" s="5119"/>
      <c r="S271" s="5102"/>
      <c r="T271" s="5125"/>
      <c r="U271" s="5187"/>
      <c r="V271" s="5184"/>
      <c r="W271" s="2203">
        <f>57233390-29104095</f>
        <v>28129295</v>
      </c>
      <c r="X271" s="2203">
        <f>9746207+4322123</f>
        <v>14068330</v>
      </c>
      <c r="Y271" s="2203"/>
      <c r="Z271" s="2208">
        <v>96</v>
      </c>
      <c r="AA271" s="5085"/>
      <c r="AB271" s="5085"/>
      <c r="AC271" s="5085"/>
      <c r="AD271" s="5085"/>
      <c r="AE271" s="5085"/>
      <c r="AF271" s="5085"/>
      <c r="AG271" s="5085"/>
      <c r="AH271" s="5085"/>
      <c r="AI271" s="5085"/>
      <c r="AJ271" s="5085"/>
      <c r="AK271" s="5085"/>
      <c r="AL271" s="5085"/>
      <c r="AM271" s="5085"/>
      <c r="AN271" s="5085"/>
      <c r="AO271" s="5085"/>
      <c r="AP271" s="5085"/>
      <c r="AQ271" s="5085"/>
      <c r="AR271" s="5085"/>
      <c r="AS271" s="5085"/>
      <c r="AT271" s="5085"/>
      <c r="AU271" s="5085"/>
      <c r="AV271" s="5085"/>
      <c r="AW271" s="5085"/>
      <c r="AX271" s="5085"/>
      <c r="AY271" s="5085"/>
      <c r="AZ271" s="5085"/>
      <c r="BA271" s="5085"/>
      <c r="BB271" s="5085"/>
      <c r="BC271" s="5085"/>
      <c r="BD271" s="5085"/>
      <c r="BE271" s="5085"/>
      <c r="BF271" s="5085"/>
      <c r="BG271" s="5085"/>
      <c r="BH271" s="5085"/>
      <c r="BI271" s="3810"/>
      <c r="BJ271" s="3810"/>
      <c r="BK271" s="3793"/>
      <c r="BL271" s="5085"/>
      <c r="BM271" s="5085"/>
      <c r="BN271" s="5139"/>
      <c r="BO271" s="5079"/>
      <c r="BP271" s="5139"/>
      <c r="BQ271" s="5079"/>
      <c r="BR271" s="5082"/>
    </row>
    <row r="272" spans="1:70" ht="32.25" customHeight="1" x14ac:dyDescent="0.2">
      <c r="A272" s="2136"/>
      <c r="B272" s="2137"/>
      <c r="C272" s="2138"/>
      <c r="D272" s="2137"/>
      <c r="E272" s="2137"/>
      <c r="F272" s="2138"/>
      <c r="G272" s="2145"/>
      <c r="H272" s="2137"/>
      <c r="I272" s="2138"/>
      <c r="J272" s="5152"/>
      <c r="K272" s="5088"/>
      <c r="L272" s="5085"/>
      <c r="M272" s="5085"/>
      <c r="N272" s="5085"/>
      <c r="O272" s="5085"/>
      <c r="P272" s="5085"/>
      <c r="Q272" s="5088"/>
      <c r="R272" s="5119"/>
      <c r="S272" s="5102"/>
      <c r="T272" s="5125"/>
      <c r="U272" s="5189" t="s">
        <v>1915</v>
      </c>
      <c r="V272" s="5170" t="s">
        <v>1916</v>
      </c>
      <c r="W272" s="2203">
        <v>88000000</v>
      </c>
      <c r="X272" s="2203">
        <v>88000000</v>
      </c>
      <c r="Y272" s="2203">
        <v>88000000</v>
      </c>
      <c r="Z272" s="2208">
        <v>61</v>
      </c>
      <c r="AA272" s="5085"/>
      <c r="AB272" s="5085"/>
      <c r="AC272" s="5085"/>
      <c r="AD272" s="5085"/>
      <c r="AE272" s="5085"/>
      <c r="AF272" s="5085"/>
      <c r="AG272" s="5085"/>
      <c r="AH272" s="5085"/>
      <c r="AI272" s="5085"/>
      <c r="AJ272" s="5085"/>
      <c r="AK272" s="5085"/>
      <c r="AL272" s="5085"/>
      <c r="AM272" s="5085"/>
      <c r="AN272" s="5085"/>
      <c r="AO272" s="5085"/>
      <c r="AP272" s="5085"/>
      <c r="AQ272" s="5085"/>
      <c r="AR272" s="5085"/>
      <c r="AS272" s="5085"/>
      <c r="AT272" s="5085"/>
      <c r="AU272" s="5085"/>
      <c r="AV272" s="5085"/>
      <c r="AW272" s="5085"/>
      <c r="AX272" s="5085"/>
      <c r="AY272" s="5085"/>
      <c r="AZ272" s="5085"/>
      <c r="BA272" s="5085"/>
      <c r="BB272" s="5085"/>
      <c r="BC272" s="5085"/>
      <c r="BD272" s="5085"/>
      <c r="BE272" s="5085"/>
      <c r="BF272" s="5085"/>
      <c r="BG272" s="5085"/>
      <c r="BH272" s="5085"/>
      <c r="BI272" s="3810"/>
      <c r="BJ272" s="3810"/>
      <c r="BK272" s="3793"/>
      <c r="BL272" s="5085"/>
      <c r="BM272" s="5085"/>
      <c r="BN272" s="5139"/>
      <c r="BO272" s="5079"/>
      <c r="BP272" s="5139"/>
      <c r="BQ272" s="5079"/>
      <c r="BR272" s="5082"/>
    </row>
    <row r="273" spans="1:324" ht="33.75" customHeight="1" x14ac:dyDescent="0.2">
      <c r="A273" s="2136"/>
      <c r="B273" s="2137"/>
      <c r="C273" s="2138"/>
      <c r="D273" s="2137"/>
      <c r="E273" s="2137"/>
      <c r="F273" s="2138"/>
      <c r="G273" s="2145"/>
      <c r="H273" s="2137"/>
      <c r="I273" s="2138"/>
      <c r="J273" s="5152"/>
      <c r="K273" s="5089"/>
      <c r="L273" s="5086"/>
      <c r="M273" s="5086"/>
      <c r="N273" s="5086"/>
      <c r="O273" s="5086"/>
      <c r="P273" s="5086"/>
      <c r="Q273" s="5089"/>
      <c r="R273" s="5120"/>
      <c r="S273" s="5121"/>
      <c r="T273" s="5125"/>
      <c r="U273" s="5189"/>
      <c r="V273" s="5182"/>
      <c r="W273" s="2203">
        <f>57233390-57233390</f>
        <v>0</v>
      </c>
      <c r="X273" s="2203">
        <v>0</v>
      </c>
      <c r="Y273" s="2203">
        <v>0</v>
      </c>
      <c r="Z273" s="2209">
        <v>96</v>
      </c>
      <c r="AA273" s="5086"/>
      <c r="AB273" s="5086"/>
      <c r="AC273" s="5086"/>
      <c r="AD273" s="5086"/>
      <c r="AE273" s="5086"/>
      <c r="AF273" s="5086"/>
      <c r="AG273" s="5086"/>
      <c r="AH273" s="5086"/>
      <c r="AI273" s="5086"/>
      <c r="AJ273" s="5086"/>
      <c r="AK273" s="5086"/>
      <c r="AL273" s="5086"/>
      <c r="AM273" s="5086"/>
      <c r="AN273" s="5086"/>
      <c r="AO273" s="5086"/>
      <c r="AP273" s="5086"/>
      <c r="AQ273" s="5086"/>
      <c r="AR273" s="5086"/>
      <c r="AS273" s="5086"/>
      <c r="AT273" s="5086"/>
      <c r="AU273" s="5086"/>
      <c r="AV273" s="5086"/>
      <c r="AW273" s="5086"/>
      <c r="AX273" s="5086"/>
      <c r="AY273" s="5086"/>
      <c r="AZ273" s="5086"/>
      <c r="BA273" s="5086"/>
      <c r="BB273" s="5086"/>
      <c r="BC273" s="5086"/>
      <c r="BD273" s="5086"/>
      <c r="BE273" s="5086"/>
      <c r="BF273" s="5086"/>
      <c r="BG273" s="5086"/>
      <c r="BH273" s="5086"/>
      <c r="BI273" s="3811"/>
      <c r="BJ273" s="3811"/>
      <c r="BK273" s="3794"/>
      <c r="BL273" s="5086"/>
      <c r="BM273" s="5086"/>
      <c r="BN273" s="5139"/>
      <c r="BO273" s="5117"/>
      <c r="BP273" s="5139"/>
      <c r="BQ273" s="5117"/>
      <c r="BR273" s="5098"/>
    </row>
    <row r="274" spans="1:324" s="2177" customFormat="1" ht="47.25" customHeight="1" x14ac:dyDescent="0.2">
      <c r="A274" s="2136"/>
      <c r="B274" s="2137"/>
      <c r="C274" s="2138"/>
      <c r="D274" s="2137"/>
      <c r="E274" s="2137"/>
      <c r="F274" s="2138"/>
      <c r="G274" s="2145"/>
      <c r="H274" s="2137"/>
      <c r="I274" s="2138"/>
      <c r="J274" s="5110">
        <v>161</v>
      </c>
      <c r="K274" s="5087" t="s">
        <v>1917</v>
      </c>
      <c r="L274" s="5084" t="s">
        <v>1581</v>
      </c>
      <c r="M274" s="5084">
        <v>100</v>
      </c>
      <c r="N274" s="5084">
        <v>127</v>
      </c>
      <c r="O274" s="5084" t="s">
        <v>1918</v>
      </c>
      <c r="P274" s="5084" t="s">
        <v>1919</v>
      </c>
      <c r="Q274" s="5087" t="s">
        <v>1920</v>
      </c>
      <c r="R274" s="5118">
        <f>SUM(W274:W279)/S274</f>
        <v>0.25432610708385361</v>
      </c>
      <c r="S274" s="5101">
        <f>SUM(W274:W285)</f>
        <v>412466385</v>
      </c>
      <c r="T274" s="5087" t="s">
        <v>1921</v>
      </c>
      <c r="U274" s="5087" t="s">
        <v>1922</v>
      </c>
      <c r="V274" s="2194" t="s">
        <v>1923</v>
      </c>
      <c r="W274" s="2203">
        <v>15000000</v>
      </c>
      <c r="X274" s="2203">
        <v>15000000</v>
      </c>
      <c r="Y274" s="2203">
        <v>13926600</v>
      </c>
      <c r="Z274" s="2143">
        <v>61</v>
      </c>
      <c r="AA274" s="5084" t="s">
        <v>1924</v>
      </c>
      <c r="AB274" s="5084">
        <v>292684</v>
      </c>
      <c r="AC274" s="5084">
        <f>SUM(AB274*0.57)</f>
        <v>166829.87999999998</v>
      </c>
      <c r="AD274" s="5084">
        <v>282326</v>
      </c>
      <c r="AE274" s="5084">
        <f t="shared" ref="AE274" si="74">SUM(AD274*0.57)</f>
        <v>160925.81999999998</v>
      </c>
      <c r="AF274" s="5084">
        <v>135912</v>
      </c>
      <c r="AG274" s="5084">
        <f t="shared" ref="AG274" si="75">SUM(AF274*0.57)</f>
        <v>77469.84</v>
      </c>
      <c r="AH274" s="5084">
        <v>45122</v>
      </c>
      <c r="AI274" s="5084">
        <f t="shared" ref="AI274" si="76">SUM(AH274*0.57)</f>
        <v>25719.539999999997</v>
      </c>
      <c r="AJ274" s="5084">
        <v>307101</v>
      </c>
      <c r="AK274" s="5084">
        <v>175047.56999999998</v>
      </c>
      <c r="AL274" s="5084">
        <v>86875</v>
      </c>
      <c r="AM274" s="5084">
        <v>49518.749999999993</v>
      </c>
      <c r="AN274" s="5084">
        <v>2145</v>
      </c>
      <c r="AO274" s="5084">
        <f t="shared" ref="AO274" si="77">SUM(AN274*0.57)</f>
        <v>1222.6499999999999</v>
      </c>
      <c r="AP274" s="5084">
        <v>12718</v>
      </c>
      <c r="AQ274" s="5084">
        <f t="shared" ref="AQ274" si="78">SUM(AP274*0.57)</f>
        <v>7249.2599999999993</v>
      </c>
      <c r="AR274" s="5084">
        <v>26</v>
      </c>
      <c r="AS274" s="5084">
        <f t="shared" ref="AS274" si="79">SUM(AR274*0.57)</f>
        <v>14.819999999999999</v>
      </c>
      <c r="AT274" s="5084">
        <v>37</v>
      </c>
      <c r="AU274" s="5084">
        <f t="shared" ref="AU274" si="80">SUM(AT274*0.57)</f>
        <v>21.09</v>
      </c>
      <c r="AV274" s="5084" t="s">
        <v>1588</v>
      </c>
      <c r="AW274" s="5084" t="s">
        <v>1588</v>
      </c>
      <c r="AX274" s="5084" t="s">
        <v>1588</v>
      </c>
      <c r="AY274" s="5084" t="s">
        <v>1588</v>
      </c>
      <c r="AZ274" s="5084">
        <v>53164</v>
      </c>
      <c r="BA274" s="5084">
        <f t="shared" ref="BA274" si="81">SUM(AZ274*0.57)</f>
        <v>30303.479999999996</v>
      </c>
      <c r="BB274" s="5084">
        <v>16982</v>
      </c>
      <c r="BC274" s="5084">
        <f t="shared" ref="BC274" si="82">SUM(BB274*0.57)</f>
        <v>9679.74</v>
      </c>
      <c r="BD274" s="5084">
        <v>60013</v>
      </c>
      <c r="BE274" s="5084">
        <f t="shared" ref="BE274" si="83">SUM(BD274*0.57)</f>
        <v>34207.409999999996</v>
      </c>
      <c r="BF274" s="5084">
        <v>575010</v>
      </c>
      <c r="BG274" s="5084">
        <f t="shared" ref="BG274" si="84">SUM(BF274*0.57)</f>
        <v>327755.69999999995</v>
      </c>
      <c r="BH274" s="5094">
        <v>33</v>
      </c>
      <c r="BI274" s="3821">
        <f>SUM(X274:X285)</f>
        <v>395013600</v>
      </c>
      <c r="BJ274" s="3821">
        <f>SUM(Y274:Y285)</f>
        <v>269907000</v>
      </c>
      <c r="BK274" s="5091">
        <f>+BJ274/BI274</f>
        <v>0.68328533498593469</v>
      </c>
      <c r="BL274" s="5094" t="s">
        <v>1589</v>
      </c>
      <c r="BM274" s="5094" t="s">
        <v>1590</v>
      </c>
      <c r="BN274" s="5078">
        <v>43467</v>
      </c>
      <c r="BO274" s="5078">
        <v>43830</v>
      </c>
      <c r="BP274" s="5078">
        <v>43830</v>
      </c>
      <c r="BQ274" s="5078">
        <v>43830</v>
      </c>
      <c r="BR274" s="5081" t="s">
        <v>1591</v>
      </c>
      <c r="BS274" s="2111"/>
      <c r="BT274" s="2111"/>
      <c r="BU274" s="2111"/>
      <c r="BV274" s="2111"/>
      <c r="BW274" s="2111"/>
      <c r="BX274" s="2111"/>
      <c r="BY274" s="2111"/>
      <c r="BZ274" s="2111"/>
      <c r="CA274" s="2111"/>
      <c r="CB274" s="2111"/>
      <c r="CC274" s="2111"/>
      <c r="CD274" s="2111"/>
      <c r="CE274" s="2111"/>
      <c r="CF274" s="2111"/>
      <c r="CG274" s="2111"/>
      <c r="CH274" s="2111"/>
      <c r="CI274" s="2111"/>
      <c r="CJ274" s="2111"/>
      <c r="CK274" s="2111"/>
      <c r="CL274" s="2111"/>
      <c r="CM274" s="2111"/>
      <c r="CN274" s="2111"/>
      <c r="CO274" s="2111"/>
      <c r="CP274" s="2111"/>
      <c r="CQ274" s="2111"/>
      <c r="CR274" s="2111"/>
      <c r="CS274" s="2111"/>
      <c r="CT274" s="2111"/>
      <c r="CU274" s="2111"/>
      <c r="CV274" s="2111"/>
      <c r="CW274" s="2111"/>
      <c r="CX274" s="2111"/>
      <c r="CY274" s="2111"/>
      <c r="CZ274" s="2111"/>
      <c r="DA274" s="2111"/>
      <c r="DB274" s="2111"/>
      <c r="DC274" s="2111"/>
      <c r="DD274" s="2111"/>
      <c r="DE274" s="2111"/>
      <c r="DF274" s="2111"/>
      <c r="DG274" s="2111"/>
      <c r="DH274" s="2111"/>
      <c r="DI274" s="2111"/>
      <c r="DJ274" s="2111"/>
      <c r="DK274" s="2111"/>
      <c r="DL274" s="2111"/>
      <c r="DM274" s="2111"/>
      <c r="DN274" s="2111"/>
      <c r="DO274" s="2111"/>
      <c r="DP274" s="2111"/>
      <c r="DQ274" s="2111"/>
      <c r="DR274" s="2111"/>
      <c r="DS274" s="2111"/>
      <c r="DT274" s="2111"/>
      <c r="DU274" s="2111"/>
      <c r="DV274" s="2111"/>
      <c r="DW274" s="2111"/>
      <c r="DX274" s="2111"/>
      <c r="DY274" s="2111"/>
      <c r="DZ274" s="2111"/>
      <c r="EA274" s="2111"/>
      <c r="EB274" s="2111"/>
      <c r="EC274" s="2111"/>
      <c r="ED274" s="2111"/>
      <c r="EE274" s="2111"/>
      <c r="EF274" s="2111"/>
      <c r="EG274" s="2111"/>
      <c r="EH274" s="2111"/>
      <c r="EI274" s="2111"/>
      <c r="EJ274" s="2111"/>
      <c r="EK274" s="2111"/>
      <c r="EL274" s="2111"/>
      <c r="EM274" s="2111"/>
      <c r="EN274" s="2111"/>
      <c r="EO274" s="2111"/>
      <c r="EP274" s="2111"/>
      <c r="EQ274" s="2111"/>
      <c r="ER274" s="2111"/>
      <c r="ES274" s="2111"/>
      <c r="ET274" s="2111"/>
      <c r="EU274" s="2111"/>
      <c r="EV274" s="2111"/>
      <c r="EW274" s="2111"/>
      <c r="EX274" s="2111"/>
      <c r="EY274" s="2111"/>
      <c r="EZ274" s="2111"/>
      <c r="FA274" s="2111"/>
      <c r="FB274" s="2111"/>
      <c r="FC274" s="2111"/>
      <c r="FD274" s="2111"/>
      <c r="FE274" s="2111"/>
      <c r="FF274" s="2111"/>
      <c r="FG274" s="2111"/>
      <c r="FH274" s="2111"/>
      <c r="FI274" s="2111"/>
      <c r="FJ274" s="2111"/>
      <c r="FK274" s="2111"/>
      <c r="FL274" s="2111"/>
      <c r="FM274" s="2111"/>
      <c r="FN274" s="2111"/>
      <c r="FO274" s="2111"/>
      <c r="FP274" s="2111"/>
      <c r="FQ274" s="2111"/>
      <c r="FR274" s="2111"/>
      <c r="FS274" s="2111"/>
      <c r="FT274" s="2111"/>
      <c r="FU274" s="2111"/>
      <c r="FV274" s="2111"/>
      <c r="FW274" s="2111"/>
      <c r="FX274" s="2111"/>
      <c r="FY274" s="2111"/>
      <c r="FZ274" s="2111"/>
      <c r="GA274" s="2111"/>
      <c r="GB274" s="2111"/>
      <c r="GC274" s="2111"/>
      <c r="GD274" s="2111"/>
      <c r="GE274" s="2111"/>
      <c r="GF274" s="2111"/>
      <c r="GG274" s="2111"/>
      <c r="GH274" s="2111"/>
      <c r="GI274" s="2111"/>
      <c r="GJ274" s="2111"/>
      <c r="GK274" s="2111"/>
      <c r="GL274" s="2111"/>
      <c r="GM274" s="2111"/>
      <c r="GN274" s="2111"/>
      <c r="GO274" s="2111"/>
      <c r="GP274" s="2111"/>
      <c r="GQ274" s="2111"/>
      <c r="GR274" s="2111"/>
      <c r="GS274" s="2111"/>
      <c r="GT274" s="2111"/>
      <c r="GU274" s="2111"/>
      <c r="GV274" s="2111"/>
      <c r="GW274" s="2111"/>
      <c r="GX274" s="2111"/>
      <c r="GY274" s="2111"/>
      <c r="GZ274" s="2111"/>
      <c r="HA274" s="2111"/>
      <c r="HB274" s="2111"/>
      <c r="HC274" s="2111"/>
      <c r="HD274" s="2111"/>
      <c r="HE274" s="2111"/>
      <c r="HF274" s="2111"/>
      <c r="HG274" s="2111"/>
      <c r="HH274" s="2111"/>
      <c r="HI274" s="2111"/>
      <c r="HJ274" s="2111"/>
      <c r="HK274" s="2111"/>
      <c r="HL274" s="2111"/>
      <c r="HM274" s="2111"/>
      <c r="HN274" s="2111"/>
      <c r="HO274" s="2111"/>
      <c r="HP274" s="2111"/>
      <c r="HQ274" s="2111"/>
      <c r="HR274" s="2111"/>
      <c r="HS274" s="2111"/>
      <c r="HT274" s="2111"/>
      <c r="HU274" s="2111"/>
      <c r="HV274" s="2111"/>
      <c r="HW274" s="2111"/>
      <c r="HX274" s="2111"/>
      <c r="HY274" s="2111"/>
      <c r="HZ274" s="2111"/>
      <c r="IA274" s="2111"/>
      <c r="IB274" s="2111"/>
      <c r="IC274" s="2111"/>
      <c r="ID274" s="2111"/>
      <c r="IE274" s="2111"/>
      <c r="IF274" s="2111"/>
      <c r="IG274" s="2111"/>
      <c r="IH274" s="2111"/>
      <c r="II274" s="2111"/>
      <c r="IJ274" s="2111"/>
      <c r="IK274" s="2111"/>
      <c r="IL274" s="2111"/>
      <c r="IM274" s="2111"/>
      <c r="IN274" s="2111"/>
      <c r="IO274" s="2111"/>
      <c r="IP274" s="2111"/>
      <c r="IQ274" s="2111"/>
      <c r="IR274" s="2111"/>
      <c r="IS274" s="2111"/>
      <c r="IT274" s="2111"/>
      <c r="IU274" s="2111"/>
      <c r="IV274" s="2111"/>
      <c r="IW274" s="2111"/>
      <c r="IX274" s="2111"/>
      <c r="IY274" s="2111"/>
      <c r="IZ274" s="2111"/>
      <c r="JA274" s="2111"/>
      <c r="JB274" s="2111"/>
      <c r="JC274" s="2111"/>
      <c r="JD274" s="2111"/>
      <c r="JE274" s="2111"/>
      <c r="JF274" s="2111"/>
      <c r="JG274" s="2111"/>
      <c r="JH274" s="2111"/>
      <c r="JI274" s="2111"/>
      <c r="JJ274" s="2111"/>
      <c r="JK274" s="2111"/>
      <c r="JL274" s="2111"/>
      <c r="JM274" s="2111"/>
      <c r="JN274" s="2111"/>
      <c r="JO274" s="2111"/>
      <c r="JP274" s="2111"/>
      <c r="JQ274" s="2111"/>
      <c r="JR274" s="2111"/>
      <c r="JS274" s="2111"/>
      <c r="JT274" s="2111"/>
      <c r="JU274" s="2111"/>
      <c r="JV274" s="2111"/>
      <c r="JW274" s="2111"/>
      <c r="JX274" s="2111"/>
      <c r="JY274" s="2111"/>
      <c r="JZ274" s="2111"/>
      <c r="KA274" s="2111"/>
      <c r="KB274" s="2111"/>
      <c r="KC274" s="2111"/>
      <c r="KD274" s="2111"/>
      <c r="KE274" s="2111"/>
      <c r="KF274" s="2111"/>
      <c r="KG274" s="2111"/>
      <c r="KH274" s="2111"/>
      <c r="KI274" s="2111"/>
      <c r="KJ274" s="2111"/>
      <c r="KK274" s="2111"/>
      <c r="KL274" s="2111"/>
      <c r="KM274" s="2111"/>
      <c r="KN274" s="2111"/>
      <c r="KO274" s="2111"/>
      <c r="KP274" s="2111"/>
      <c r="KQ274" s="2111"/>
      <c r="KR274" s="2111"/>
      <c r="KS274" s="2111"/>
      <c r="KT274" s="2111"/>
      <c r="KU274" s="2111"/>
      <c r="KV274" s="2111"/>
      <c r="KW274" s="2111"/>
      <c r="KX274" s="2111"/>
      <c r="KY274" s="2111"/>
      <c r="KZ274" s="2111"/>
      <c r="LA274" s="2111"/>
      <c r="LB274" s="2111"/>
      <c r="LC274" s="2111"/>
      <c r="LD274" s="2111"/>
      <c r="LE274" s="2111"/>
      <c r="LF274" s="2111"/>
      <c r="LG274" s="2111"/>
      <c r="LH274" s="2111"/>
      <c r="LI274" s="2111"/>
      <c r="LJ274" s="2111"/>
      <c r="LK274" s="2111"/>
      <c r="LL274" s="2111"/>
    </row>
    <row r="275" spans="1:324" s="2177" customFormat="1" ht="34.5" customHeight="1" x14ac:dyDescent="0.2">
      <c r="A275" s="2136"/>
      <c r="B275" s="2137"/>
      <c r="C275" s="2138"/>
      <c r="D275" s="2137"/>
      <c r="E275" s="2137"/>
      <c r="F275" s="2138"/>
      <c r="G275" s="2145"/>
      <c r="H275" s="2137"/>
      <c r="I275" s="2138"/>
      <c r="J275" s="5111"/>
      <c r="K275" s="5088"/>
      <c r="L275" s="5085"/>
      <c r="M275" s="5085"/>
      <c r="N275" s="5085"/>
      <c r="O275" s="5085"/>
      <c r="P275" s="5085"/>
      <c r="Q275" s="5088"/>
      <c r="R275" s="5119"/>
      <c r="S275" s="5102"/>
      <c r="T275" s="5088"/>
      <c r="U275" s="5088"/>
      <c r="V275" s="5170" t="s">
        <v>1925</v>
      </c>
      <c r="W275" s="2203">
        <v>25000000</v>
      </c>
      <c r="X275" s="2203">
        <f>19987500+4662300</f>
        <v>24649800</v>
      </c>
      <c r="Y275" s="2203">
        <f>13926600+5982500</f>
        <v>19909100</v>
      </c>
      <c r="Z275" s="2143">
        <v>61</v>
      </c>
      <c r="AA275" s="5085"/>
      <c r="AB275" s="5085"/>
      <c r="AC275" s="5085"/>
      <c r="AD275" s="5085"/>
      <c r="AE275" s="5085"/>
      <c r="AF275" s="5085"/>
      <c r="AG275" s="5085"/>
      <c r="AH275" s="5085"/>
      <c r="AI275" s="5085"/>
      <c r="AJ275" s="5085"/>
      <c r="AK275" s="5085"/>
      <c r="AL275" s="5085"/>
      <c r="AM275" s="5085"/>
      <c r="AN275" s="5085"/>
      <c r="AO275" s="5085"/>
      <c r="AP275" s="5085"/>
      <c r="AQ275" s="5085"/>
      <c r="AR275" s="5085"/>
      <c r="AS275" s="5085"/>
      <c r="AT275" s="5085"/>
      <c r="AU275" s="5085"/>
      <c r="AV275" s="5085"/>
      <c r="AW275" s="5085"/>
      <c r="AX275" s="5085"/>
      <c r="AY275" s="5085"/>
      <c r="AZ275" s="5085"/>
      <c r="BA275" s="5085"/>
      <c r="BB275" s="5085"/>
      <c r="BC275" s="5085"/>
      <c r="BD275" s="5085"/>
      <c r="BE275" s="5085"/>
      <c r="BF275" s="5085"/>
      <c r="BG275" s="5085"/>
      <c r="BH275" s="5095"/>
      <c r="BI275" s="3822"/>
      <c r="BJ275" s="3822"/>
      <c r="BK275" s="5092"/>
      <c r="BL275" s="5095"/>
      <c r="BM275" s="5095"/>
      <c r="BN275" s="5079"/>
      <c r="BO275" s="5079"/>
      <c r="BP275" s="5079"/>
      <c r="BQ275" s="5079"/>
      <c r="BR275" s="5082"/>
      <c r="BS275" s="2111"/>
      <c r="BT275" s="2111"/>
      <c r="BU275" s="2111"/>
      <c r="BV275" s="2111"/>
      <c r="BW275" s="2111"/>
      <c r="BX275" s="2111"/>
      <c r="BY275" s="2111"/>
      <c r="BZ275" s="2111"/>
      <c r="CA275" s="2111"/>
      <c r="CB275" s="2111"/>
      <c r="CC275" s="2111"/>
      <c r="CD275" s="2111"/>
      <c r="CE275" s="2111"/>
      <c r="CF275" s="2111"/>
      <c r="CG275" s="2111"/>
      <c r="CH275" s="2111"/>
      <c r="CI275" s="2111"/>
      <c r="CJ275" s="2111"/>
      <c r="CK275" s="2111"/>
      <c r="CL275" s="2111"/>
      <c r="CM275" s="2111"/>
      <c r="CN275" s="2111"/>
      <c r="CO275" s="2111"/>
      <c r="CP275" s="2111"/>
      <c r="CQ275" s="2111"/>
      <c r="CR275" s="2111"/>
      <c r="CS275" s="2111"/>
      <c r="CT275" s="2111"/>
      <c r="CU275" s="2111"/>
      <c r="CV275" s="2111"/>
      <c r="CW275" s="2111"/>
      <c r="CX275" s="2111"/>
      <c r="CY275" s="2111"/>
      <c r="CZ275" s="2111"/>
      <c r="DA275" s="2111"/>
      <c r="DB275" s="2111"/>
      <c r="DC275" s="2111"/>
      <c r="DD275" s="2111"/>
      <c r="DE275" s="2111"/>
      <c r="DF275" s="2111"/>
      <c r="DG275" s="2111"/>
      <c r="DH275" s="2111"/>
      <c r="DI275" s="2111"/>
      <c r="DJ275" s="2111"/>
      <c r="DK275" s="2111"/>
      <c r="DL275" s="2111"/>
      <c r="DM275" s="2111"/>
      <c r="DN275" s="2111"/>
      <c r="DO275" s="2111"/>
      <c r="DP275" s="2111"/>
      <c r="DQ275" s="2111"/>
      <c r="DR275" s="2111"/>
      <c r="DS275" s="2111"/>
      <c r="DT275" s="2111"/>
      <c r="DU275" s="2111"/>
      <c r="DV275" s="2111"/>
      <c r="DW275" s="2111"/>
      <c r="DX275" s="2111"/>
      <c r="DY275" s="2111"/>
      <c r="DZ275" s="2111"/>
      <c r="EA275" s="2111"/>
      <c r="EB275" s="2111"/>
      <c r="EC275" s="2111"/>
      <c r="ED275" s="2111"/>
      <c r="EE275" s="2111"/>
      <c r="EF275" s="2111"/>
      <c r="EG275" s="2111"/>
      <c r="EH275" s="2111"/>
      <c r="EI275" s="2111"/>
      <c r="EJ275" s="2111"/>
      <c r="EK275" s="2111"/>
      <c r="EL275" s="2111"/>
      <c r="EM275" s="2111"/>
      <c r="EN275" s="2111"/>
      <c r="EO275" s="2111"/>
      <c r="EP275" s="2111"/>
      <c r="EQ275" s="2111"/>
      <c r="ER275" s="2111"/>
      <c r="ES275" s="2111"/>
      <c r="ET275" s="2111"/>
      <c r="EU275" s="2111"/>
      <c r="EV275" s="2111"/>
      <c r="EW275" s="2111"/>
      <c r="EX275" s="2111"/>
      <c r="EY275" s="2111"/>
      <c r="EZ275" s="2111"/>
      <c r="FA275" s="2111"/>
      <c r="FB275" s="2111"/>
      <c r="FC275" s="2111"/>
      <c r="FD275" s="2111"/>
      <c r="FE275" s="2111"/>
      <c r="FF275" s="2111"/>
      <c r="FG275" s="2111"/>
      <c r="FH275" s="2111"/>
      <c r="FI275" s="2111"/>
      <c r="FJ275" s="2111"/>
      <c r="FK275" s="2111"/>
      <c r="FL275" s="2111"/>
      <c r="FM275" s="2111"/>
      <c r="FN275" s="2111"/>
      <c r="FO275" s="2111"/>
      <c r="FP275" s="2111"/>
      <c r="FQ275" s="2111"/>
      <c r="FR275" s="2111"/>
      <c r="FS275" s="2111"/>
      <c r="FT275" s="2111"/>
      <c r="FU275" s="2111"/>
      <c r="FV275" s="2111"/>
      <c r="FW275" s="2111"/>
      <c r="FX275" s="2111"/>
      <c r="FY275" s="2111"/>
      <c r="FZ275" s="2111"/>
      <c r="GA275" s="2111"/>
      <c r="GB275" s="2111"/>
      <c r="GC275" s="2111"/>
      <c r="GD275" s="2111"/>
      <c r="GE275" s="2111"/>
      <c r="GF275" s="2111"/>
      <c r="GG275" s="2111"/>
      <c r="GH275" s="2111"/>
      <c r="GI275" s="2111"/>
      <c r="GJ275" s="2111"/>
      <c r="GK275" s="2111"/>
      <c r="GL275" s="2111"/>
      <c r="GM275" s="2111"/>
      <c r="GN275" s="2111"/>
      <c r="GO275" s="2111"/>
      <c r="GP275" s="2111"/>
      <c r="GQ275" s="2111"/>
      <c r="GR275" s="2111"/>
      <c r="GS275" s="2111"/>
      <c r="GT275" s="2111"/>
      <c r="GU275" s="2111"/>
      <c r="GV275" s="2111"/>
      <c r="GW275" s="2111"/>
      <c r="GX275" s="2111"/>
      <c r="GY275" s="2111"/>
      <c r="GZ275" s="2111"/>
      <c r="HA275" s="2111"/>
      <c r="HB275" s="2111"/>
      <c r="HC275" s="2111"/>
      <c r="HD275" s="2111"/>
      <c r="HE275" s="2111"/>
      <c r="HF275" s="2111"/>
      <c r="HG275" s="2111"/>
      <c r="HH275" s="2111"/>
      <c r="HI275" s="2111"/>
      <c r="HJ275" s="2111"/>
      <c r="HK275" s="2111"/>
      <c r="HL275" s="2111"/>
      <c r="HM275" s="2111"/>
      <c r="HN275" s="2111"/>
      <c r="HO275" s="2111"/>
      <c r="HP275" s="2111"/>
      <c r="HQ275" s="2111"/>
      <c r="HR275" s="2111"/>
      <c r="HS275" s="2111"/>
      <c r="HT275" s="2111"/>
      <c r="HU275" s="2111"/>
      <c r="HV275" s="2111"/>
      <c r="HW275" s="2111"/>
      <c r="HX275" s="2111"/>
      <c r="HY275" s="2111"/>
      <c r="HZ275" s="2111"/>
      <c r="IA275" s="2111"/>
      <c r="IB275" s="2111"/>
      <c r="IC275" s="2111"/>
      <c r="ID275" s="2111"/>
      <c r="IE275" s="2111"/>
      <c r="IF275" s="2111"/>
      <c r="IG275" s="2111"/>
      <c r="IH275" s="2111"/>
      <c r="II275" s="2111"/>
      <c r="IJ275" s="2111"/>
      <c r="IK275" s="2111"/>
      <c r="IL275" s="2111"/>
      <c r="IM275" s="2111"/>
      <c r="IN275" s="2111"/>
      <c r="IO275" s="2111"/>
      <c r="IP275" s="2111"/>
      <c r="IQ275" s="2111"/>
      <c r="IR275" s="2111"/>
      <c r="IS275" s="2111"/>
      <c r="IT275" s="2111"/>
      <c r="IU275" s="2111"/>
      <c r="IV275" s="2111"/>
      <c r="IW275" s="2111"/>
      <c r="IX275" s="2111"/>
      <c r="IY275" s="2111"/>
      <c r="IZ275" s="2111"/>
      <c r="JA275" s="2111"/>
      <c r="JB275" s="2111"/>
      <c r="JC275" s="2111"/>
      <c r="JD275" s="2111"/>
      <c r="JE275" s="2111"/>
      <c r="JF275" s="2111"/>
      <c r="JG275" s="2111"/>
      <c r="JH275" s="2111"/>
      <c r="JI275" s="2111"/>
      <c r="JJ275" s="2111"/>
      <c r="JK275" s="2111"/>
      <c r="JL275" s="2111"/>
      <c r="JM275" s="2111"/>
      <c r="JN275" s="2111"/>
      <c r="JO275" s="2111"/>
      <c r="JP275" s="2111"/>
      <c r="JQ275" s="2111"/>
      <c r="JR275" s="2111"/>
      <c r="JS275" s="2111"/>
      <c r="JT275" s="2111"/>
      <c r="JU275" s="2111"/>
      <c r="JV275" s="2111"/>
      <c r="JW275" s="2111"/>
      <c r="JX275" s="2111"/>
      <c r="JY275" s="2111"/>
      <c r="JZ275" s="2111"/>
      <c r="KA275" s="2111"/>
      <c r="KB275" s="2111"/>
      <c r="KC275" s="2111"/>
      <c r="KD275" s="2111"/>
      <c r="KE275" s="2111"/>
      <c r="KF275" s="2111"/>
      <c r="KG275" s="2111"/>
      <c r="KH275" s="2111"/>
      <c r="KI275" s="2111"/>
      <c r="KJ275" s="2111"/>
      <c r="KK275" s="2111"/>
      <c r="KL275" s="2111"/>
      <c r="KM275" s="2111"/>
      <c r="KN275" s="2111"/>
      <c r="KO275" s="2111"/>
      <c r="KP275" s="2111"/>
      <c r="KQ275" s="2111"/>
      <c r="KR275" s="2111"/>
      <c r="KS275" s="2111"/>
      <c r="KT275" s="2111"/>
      <c r="KU275" s="2111"/>
      <c r="KV275" s="2111"/>
      <c r="KW275" s="2111"/>
      <c r="KX275" s="2111"/>
      <c r="KY275" s="2111"/>
      <c r="KZ275" s="2111"/>
      <c r="LA275" s="2111"/>
      <c r="LB275" s="2111"/>
      <c r="LC275" s="2111"/>
      <c r="LD275" s="2111"/>
      <c r="LE275" s="2111"/>
      <c r="LF275" s="2111"/>
      <c r="LG275" s="2111"/>
      <c r="LH275" s="2111"/>
      <c r="LI275" s="2111"/>
      <c r="LJ275" s="2111"/>
      <c r="LK275" s="2111"/>
      <c r="LL275" s="2111"/>
    </row>
    <row r="276" spans="1:324" s="2177" customFormat="1" ht="30" customHeight="1" x14ac:dyDescent="0.2">
      <c r="A276" s="2136"/>
      <c r="B276" s="2137"/>
      <c r="C276" s="2138"/>
      <c r="D276" s="2137"/>
      <c r="E276" s="2137"/>
      <c r="F276" s="2138"/>
      <c r="G276" s="2145"/>
      <c r="H276" s="2137"/>
      <c r="I276" s="2138"/>
      <c r="J276" s="5111"/>
      <c r="K276" s="5088"/>
      <c r="L276" s="5085"/>
      <c r="M276" s="5085"/>
      <c r="N276" s="5085"/>
      <c r="O276" s="5085"/>
      <c r="P276" s="5085"/>
      <c r="Q276" s="5088"/>
      <c r="R276" s="5119"/>
      <c r="S276" s="5102"/>
      <c r="T276" s="5088"/>
      <c r="U276" s="5088"/>
      <c r="V276" s="5182"/>
      <c r="W276" s="2203">
        <v>14450485</v>
      </c>
      <c r="X276" s="2203">
        <v>14033000</v>
      </c>
      <c r="Y276" s="2203">
        <v>2459000</v>
      </c>
      <c r="Z276" s="2143">
        <v>98</v>
      </c>
      <c r="AA276" s="5085"/>
      <c r="AB276" s="5085"/>
      <c r="AC276" s="5085"/>
      <c r="AD276" s="5085"/>
      <c r="AE276" s="5085"/>
      <c r="AF276" s="5085"/>
      <c r="AG276" s="5085"/>
      <c r="AH276" s="5085"/>
      <c r="AI276" s="5085"/>
      <c r="AJ276" s="5085"/>
      <c r="AK276" s="5085"/>
      <c r="AL276" s="5085"/>
      <c r="AM276" s="5085"/>
      <c r="AN276" s="5085"/>
      <c r="AO276" s="5085"/>
      <c r="AP276" s="5085"/>
      <c r="AQ276" s="5085"/>
      <c r="AR276" s="5085"/>
      <c r="AS276" s="5085"/>
      <c r="AT276" s="5085"/>
      <c r="AU276" s="5085"/>
      <c r="AV276" s="5085"/>
      <c r="AW276" s="5085"/>
      <c r="AX276" s="5085"/>
      <c r="AY276" s="5085"/>
      <c r="AZ276" s="5085"/>
      <c r="BA276" s="5085"/>
      <c r="BB276" s="5085"/>
      <c r="BC276" s="5085"/>
      <c r="BD276" s="5085"/>
      <c r="BE276" s="5085"/>
      <c r="BF276" s="5085"/>
      <c r="BG276" s="5085"/>
      <c r="BH276" s="5095"/>
      <c r="BI276" s="3822"/>
      <c r="BJ276" s="3822"/>
      <c r="BK276" s="5092"/>
      <c r="BL276" s="5095"/>
      <c r="BM276" s="5095"/>
      <c r="BN276" s="5079"/>
      <c r="BO276" s="5079"/>
      <c r="BP276" s="5079"/>
      <c r="BQ276" s="5079"/>
      <c r="BR276" s="5082"/>
      <c r="BS276" s="2111"/>
      <c r="BT276" s="2111"/>
      <c r="BU276" s="2111"/>
      <c r="BV276" s="2111"/>
      <c r="BW276" s="2111"/>
      <c r="BX276" s="2111"/>
      <c r="BY276" s="2111"/>
      <c r="BZ276" s="2111"/>
      <c r="CA276" s="2111"/>
      <c r="CB276" s="2111"/>
      <c r="CC276" s="2111"/>
      <c r="CD276" s="2111"/>
      <c r="CE276" s="2111"/>
      <c r="CF276" s="2111"/>
      <c r="CG276" s="2111"/>
      <c r="CH276" s="2111"/>
      <c r="CI276" s="2111"/>
      <c r="CJ276" s="2111"/>
      <c r="CK276" s="2111"/>
      <c r="CL276" s="2111"/>
      <c r="CM276" s="2111"/>
      <c r="CN276" s="2111"/>
      <c r="CO276" s="2111"/>
      <c r="CP276" s="2111"/>
      <c r="CQ276" s="2111"/>
      <c r="CR276" s="2111"/>
      <c r="CS276" s="2111"/>
      <c r="CT276" s="2111"/>
      <c r="CU276" s="2111"/>
      <c r="CV276" s="2111"/>
      <c r="CW276" s="2111"/>
      <c r="CX276" s="2111"/>
      <c r="CY276" s="2111"/>
      <c r="CZ276" s="2111"/>
      <c r="DA276" s="2111"/>
      <c r="DB276" s="2111"/>
      <c r="DC276" s="2111"/>
      <c r="DD276" s="2111"/>
      <c r="DE276" s="2111"/>
      <c r="DF276" s="2111"/>
      <c r="DG276" s="2111"/>
      <c r="DH276" s="2111"/>
      <c r="DI276" s="2111"/>
      <c r="DJ276" s="2111"/>
      <c r="DK276" s="2111"/>
      <c r="DL276" s="2111"/>
      <c r="DM276" s="2111"/>
      <c r="DN276" s="2111"/>
      <c r="DO276" s="2111"/>
      <c r="DP276" s="2111"/>
      <c r="DQ276" s="2111"/>
      <c r="DR276" s="2111"/>
      <c r="DS276" s="2111"/>
      <c r="DT276" s="2111"/>
      <c r="DU276" s="2111"/>
      <c r="DV276" s="2111"/>
      <c r="DW276" s="2111"/>
      <c r="DX276" s="2111"/>
      <c r="DY276" s="2111"/>
      <c r="DZ276" s="2111"/>
      <c r="EA276" s="2111"/>
      <c r="EB276" s="2111"/>
      <c r="EC276" s="2111"/>
      <c r="ED276" s="2111"/>
      <c r="EE276" s="2111"/>
      <c r="EF276" s="2111"/>
      <c r="EG276" s="2111"/>
      <c r="EH276" s="2111"/>
      <c r="EI276" s="2111"/>
      <c r="EJ276" s="2111"/>
      <c r="EK276" s="2111"/>
      <c r="EL276" s="2111"/>
      <c r="EM276" s="2111"/>
      <c r="EN276" s="2111"/>
      <c r="EO276" s="2111"/>
      <c r="EP276" s="2111"/>
      <c r="EQ276" s="2111"/>
      <c r="ER276" s="2111"/>
      <c r="ES276" s="2111"/>
      <c r="ET276" s="2111"/>
      <c r="EU276" s="2111"/>
      <c r="EV276" s="2111"/>
      <c r="EW276" s="2111"/>
      <c r="EX276" s="2111"/>
      <c r="EY276" s="2111"/>
      <c r="EZ276" s="2111"/>
      <c r="FA276" s="2111"/>
      <c r="FB276" s="2111"/>
      <c r="FC276" s="2111"/>
      <c r="FD276" s="2111"/>
      <c r="FE276" s="2111"/>
      <c r="FF276" s="2111"/>
      <c r="FG276" s="2111"/>
      <c r="FH276" s="2111"/>
      <c r="FI276" s="2111"/>
      <c r="FJ276" s="2111"/>
      <c r="FK276" s="2111"/>
      <c r="FL276" s="2111"/>
      <c r="FM276" s="2111"/>
      <c r="FN276" s="2111"/>
      <c r="FO276" s="2111"/>
      <c r="FP276" s="2111"/>
      <c r="FQ276" s="2111"/>
      <c r="FR276" s="2111"/>
      <c r="FS276" s="2111"/>
      <c r="FT276" s="2111"/>
      <c r="FU276" s="2111"/>
      <c r="FV276" s="2111"/>
      <c r="FW276" s="2111"/>
      <c r="FX276" s="2111"/>
      <c r="FY276" s="2111"/>
      <c r="FZ276" s="2111"/>
      <c r="GA276" s="2111"/>
      <c r="GB276" s="2111"/>
      <c r="GC276" s="2111"/>
      <c r="GD276" s="2111"/>
      <c r="GE276" s="2111"/>
      <c r="GF276" s="2111"/>
      <c r="GG276" s="2111"/>
      <c r="GH276" s="2111"/>
      <c r="GI276" s="2111"/>
      <c r="GJ276" s="2111"/>
      <c r="GK276" s="2111"/>
      <c r="GL276" s="2111"/>
      <c r="GM276" s="2111"/>
      <c r="GN276" s="2111"/>
      <c r="GO276" s="2111"/>
      <c r="GP276" s="2111"/>
      <c r="GQ276" s="2111"/>
      <c r="GR276" s="2111"/>
      <c r="GS276" s="2111"/>
      <c r="GT276" s="2111"/>
      <c r="GU276" s="2111"/>
      <c r="GV276" s="2111"/>
      <c r="GW276" s="2111"/>
      <c r="GX276" s="2111"/>
      <c r="GY276" s="2111"/>
      <c r="GZ276" s="2111"/>
      <c r="HA276" s="2111"/>
      <c r="HB276" s="2111"/>
      <c r="HC276" s="2111"/>
      <c r="HD276" s="2111"/>
      <c r="HE276" s="2111"/>
      <c r="HF276" s="2111"/>
      <c r="HG276" s="2111"/>
      <c r="HH276" s="2111"/>
      <c r="HI276" s="2111"/>
      <c r="HJ276" s="2111"/>
      <c r="HK276" s="2111"/>
      <c r="HL276" s="2111"/>
      <c r="HM276" s="2111"/>
      <c r="HN276" s="2111"/>
      <c r="HO276" s="2111"/>
      <c r="HP276" s="2111"/>
      <c r="HQ276" s="2111"/>
      <c r="HR276" s="2111"/>
      <c r="HS276" s="2111"/>
      <c r="HT276" s="2111"/>
      <c r="HU276" s="2111"/>
      <c r="HV276" s="2111"/>
      <c r="HW276" s="2111"/>
      <c r="HX276" s="2111"/>
      <c r="HY276" s="2111"/>
      <c r="HZ276" s="2111"/>
      <c r="IA276" s="2111"/>
      <c r="IB276" s="2111"/>
      <c r="IC276" s="2111"/>
      <c r="ID276" s="2111"/>
      <c r="IE276" s="2111"/>
      <c r="IF276" s="2111"/>
      <c r="IG276" s="2111"/>
      <c r="IH276" s="2111"/>
      <c r="II276" s="2111"/>
      <c r="IJ276" s="2111"/>
      <c r="IK276" s="2111"/>
      <c r="IL276" s="2111"/>
      <c r="IM276" s="2111"/>
      <c r="IN276" s="2111"/>
      <c r="IO276" s="2111"/>
      <c r="IP276" s="2111"/>
      <c r="IQ276" s="2111"/>
      <c r="IR276" s="2111"/>
      <c r="IS276" s="2111"/>
      <c r="IT276" s="2111"/>
      <c r="IU276" s="2111"/>
      <c r="IV276" s="2111"/>
      <c r="IW276" s="2111"/>
      <c r="IX276" s="2111"/>
      <c r="IY276" s="2111"/>
      <c r="IZ276" s="2111"/>
      <c r="JA276" s="2111"/>
      <c r="JB276" s="2111"/>
      <c r="JC276" s="2111"/>
      <c r="JD276" s="2111"/>
      <c r="JE276" s="2111"/>
      <c r="JF276" s="2111"/>
      <c r="JG276" s="2111"/>
      <c r="JH276" s="2111"/>
      <c r="JI276" s="2111"/>
      <c r="JJ276" s="2111"/>
      <c r="JK276" s="2111"/>
      <c r="JL276" s="2111"/>
      <c r="JM276" s="2111"/>
      <c r="JN276" s="2111"/>
      <c r="JO276" s="2111"/>
      <c r="JP276" s="2111"/>
      <c r="JQ276" s="2111"/>
      <c r="JR276" s="2111"/>
      <c r="JS276" s="2111"/>
      <c r="JT276" s="2111"/>
      <c r="JU276" s="2111"/>
      <c r="JV276" s="2111"/>
      <c r="JW276" s="2111"/>
      <c r="JX276" s="2111"/>
      <c r="JY276" s="2111"/>
      <c r="JZ276" s="2111"/>
      <c r="KA276" s="2111"/>
      <c r="KB276" s="2111"/>
      <c r="KC276" s="2111"/>
      <c r="KD276" s="2111"/>
      <c r="KE276" s="2111"/>
      <c r="KF276" s="2111"/>
      <c r="KG276" s="2111"/>
      <c r="KH276" s="2111"/>
      <c r="KI276" s="2111"/>
      <c r="KJ276" s="2111"/>
      <c r="KK276" s="2111"/>
      <c r="KL276" s="2111"/>
      <c r="KM276" s="2111"/>
      <c r="KN276" s="2111"/>
      <c r="KO276" s="2111"/>
      <c r="KP276" s="2111"/>
      <c r="KQ276" s="2111"/>
      <c r="KR276" s="2111"/>
      <c r="KS276" s="2111"/>
      <c r="KT276" s="2111"/>
      <c r="KU276" s="2111"/>
      <c r="KV276" s="2111"/>
      <c r="KW276" s="2111"/>
      <c r="KX276" s="2111"/>
      <c r="KY276" s="2111"/>
      <c r="KZ276" s="2111"/>
      <c r="LA276" s="2111"/>
      <c r="LB276" s="2111"/>
      <c r="LC276" s="2111"/>
      <c r="LD276" s="2111"/>
      <c r="LE276" s="2111"/>
      <c r="LF276" s="2111"/>
      <c r="LG276" s="2111"/>
      <c r="LH276" s="2111"/>
      <c r="LI276" s="2111"/>
      <c r="LJ276" s="2111"/>
      <c r="LK276" s="2111"/>
      <c r="LL276" s="2111"/>
    </row>
    <row r="277" spans="1:324" s="2177" customFormat="1" ht="39" customHeight="1" x14ac:dyDescent="0.2">
      <c r="A277" s="2136"/>
      <c r="B277" s="2137"/>
      <c r="C277" s="2138"/>
      <c r="D277" s="2137"/>
      <c r="E277" s="2137"/>
      <c r="F277" s="2138"/>
      <c r="G277" s="2145"/>
      <c r="H277" s="2137"/>
      <c r="I277" s="2138"/>
      <c r="J277" s="5111"/>
      <c r="K277" s="5088"/>
      <c r="L277" s="5085"/>
      <c r="M277" s="5085"/>
      <c r="N277" s="5085"/>
      <c r="O277" s="5085"/>
      <c r="P277" s="5085"/>
      <c r="Q277" s="5088"/>
      <c r="R277" s="5119"/>
      <c r="S277" s="5102"/>
      <c r="T277" s="5088"/>
      <c r="U277" s="5088"/>
      <c r="V277" s="5170" t="s">
        <v>1926</v>
      </c>
      <c r="W277" s="2203">
        <v>25000000</v>
      </c>
      <c r="X277" s="2203">
        <f>19987500+4662300</f>
        <v>24649800</v>
      </c>
      <c r="Y277" s="2203">
        <f>13926800+5982500</f>
        <v>19909300</v>
      </c>
      <c r="Z277" s="2143">
        <v>61</v>
      </c>
      <c r="AA277" s="5085"/>
      <c r="AB277" s="5085"/>
      <c r="AC277" s="5085"/>
      <c r="AD277" s="5085"/>
      <c r="AE277" s="5085"/>
      <c r="AF277" s="5085"/>
      <c r="AG277" s="5085"/>
      <c r="AH277" s="5085"/>
      <c r="AI277" s="5085"/>
      <c r="AJ277" s="5085"/>
      <c r="AK277" s="5085"/>
      <c r="AL277" s="5085"/>
      <c r="AM277" s="5085"/>
      <c r="AN277" s="5085"/>
      <c r="AO277" s="5085"/>
      <c r="AP277" s="5085"/>
      <c r="AQ277" s="5085"/>
      <c r="AR277" s="5085"/>
      <c r="AS277" s="5085"/>
      <c r="AT277" s="5085"/>
      <c r="AU277" s="5085"/>
      <c r="AV277" s="5085"/>
      <c r="AW277" s="5085"/>
      <c r="AX277" s="5085"/>
      <c r="AY277" s="5085"/>
      <c r="AZ277" s="5085"/>
      <c r="BA277" s="5085"/>
      <c r="BB277" s="5085"/>
      <c r="BC277" s="5085"/>
      <c r="BD277" s="5085"/>
      <c r="BE277" s="5085"/>
      <c r="BF277" s="5085"/>
      <c r="BG277" s="5085"/>
      <c r="BH277" s="5095"/>
      <c r="BI277" s="3822"/>
      <c r="BJ277" s="3822"/>
      <c r="BK277" s="5092"/>
      <c r="BL277" s="5095"/>
      <c r="BM277" s="5095"/>
      <c r="BN277" s="5079"/>
      <c r="BO277" s="5079"/>
      <c r="BP277" s="5079"/>
      <c r="BQ277" s="5079"/>
      <c r="BR277" s="5082"/>
      <c r="BS277" s="2111"/>
      <c r="BT277" s="2111"/>
      <c r="BU277" s="2111"/>
      <c r="BV277" s="2111"/>
      <c r="BW277" s="2111"/>
      <c r="BX277" s="2111"/>
      <c r="BY277" s="2111"/>
      <c r="BZ277" s="2111"/>
      <c r="CA277" s="2111"/>
      <c r="CB277" s="2111"/>
      <c r="CC277" s="2111"/>
      <c r="CD277" s="2111"/>
      <c r="CE277" s="2111"/>
      <c r="CF277" s="2111"/>
      <c r="CG277" s="2111"/>
      <c r="CH277" s="2111"/>
      <c r="CI277" s="2111"/>
      <c r="CJ277" s="2111"/>
      <c r="CK277" s="2111"/>
      <c r="CL277" s="2111"/>
      <c r="CM277" s="2111"/>
      <c r="CN277" s="2111"/>
      <c r="CO277" s="2111"/>
      <c r="CP277" s="2111"/>
      <c r="CQ277" s="2111"/>
      <c r="CR277" s="2111"/>
      <c r="CS277" s="2111"/>
      <c r="CT277" s="2111"/>
      <c r="CU277" s="2111"/>
      <c r="CV277" s="2111"/>
      <c r="CW277" s="2111"/>
      <c r="CX277" s="2111"/>
      <c r="CY277" s="2111"/>
      <c r="CZ277" s="2111"/>
      <c r="DA277" s="2111"/>
      <c r="DB277" s="2111"/>
      <c r="DC277" s="2111"/>
      <c r="DD277" s="2111"/>
      <c r="DE277" s="2111"/>
      <c r="DF277" s="2111"/>
      <c r="DG277" s="2111"/>
      <c r="DH277" s="2111"/>
      <c r="DI277" s="2111"/>
      <c r="DJ277" s="2111"/>
      <c r="DK277" s="2111"/>
      <c r="DL277" s="2111"/>
      <c r="DM277" s="2111"/>
      <c r="DN277" s="2111"/>
      <c r="DO277" s="2111"/>
      <c r="DP277" s="2111"/>
      <c r="DQ277" s="2111"/>
      <c r="DR277" s="2111"/>
      <c r="DS277" s="2111"/>
      <c r="DT277" s="2111"/>
      <c r="DU277" s="2111"/>
      <c r="DV277" s="2111"/>
      <c r="DW277" s="2111"/>
      <c r="DX277" s="2111"/>
      <c r="DY277" s="2111"/>
      <c r="DZ277" s="2111"/>
      <c r="EA277" s="2111"/>
      <c r="EB277" s="2111"/>
      <c r="EC277" s="2111"/>
      <c r="ED277" s="2111"/>
      <c r="EE277" s="2111"/>
      <c r="EF277" s="2111"/>
      <c r="EG277" s="2111"/>
      <c r="EH277" s="2111"/>
      <c r="EI277" s="2111"/>
      <c r="EJ277" s="2111"/>
      <c r="EK277" s="2111"/>
      <c r="EL277" s="2111"/>
      <c r="EM277" s="2111"/>
      <c r="EN277" s="2111"/>
      <c r="EO277" s="2111"/>
      <c r="EP277" s="2111"/>
      <c r="EQ277" s="2111"/>
      <c r="ER277" s="2111"/>
      <c r="ES277" s="2111"/>
      <c r="ET277" s="2111"/>
      <c r="EU277" s="2111"/>
      <c r="EV277" s="2111"/>
      <c r="EW277" s="2111"/>
      <c r="EX277" s="2111"/>
      <c r="EY277" s="2111"/>
      <c r="EZ277" s="2111"/>
      <c r="FA277" s="2111"/>
      <c r="FB277" s="2111"/>
      <c r="FC277" s="2111"/>
      <c r="FD277" s="2111"/>
      <c r="FE277" s="2111"/>
      <c r="FF277" s="2111"/>
      <c r="FG277" s="2111"/>
      <c r="FH277" s="2111"/>
      <c r="FI277" s="2111"/>
      <c r="FJ277" s="2111"/>
      <c r="FK277" s="2111"/>
      <c r="FL277" s="2111"/>
      <c r="FM277" s="2111"/>
      <c r="FN277" s="2111"/>
      <c r="FO277" s="2111"/>
      <c r="FP277" s="2111"/>
      <c r="FQ277" s="2111"/>
      <c r="FR277" s="2111"/>
      <c r="FS277" s="2111"/>
      <c r="FT277" s="2111"/>
      <c r="FU277" s="2111"/>
      <c r="FV277" s="2111"/>
      <c r="FW277" s="2111"/>
      <c r="FX277" s="2111"/>
      <c r="FY277" s="2111"/>
      <c r="FZ277" s="2111"/>
      <c r="GA277" s="2111"/>
      <c r="GB277" s="2111"/>
      <c r="GC277" s="2111"/>
      <c r="GD277" s="2111"/>
      <c r="GE277" s="2111"/>
      <c r="GF277" s="2111"/>
      <c r="GG277" s="2111"/>
      <c r="GH277" s="2111"/>
      <c r="GI277" s="2111"/>
      <c r="GJ277" s="2111"/>
      <c r="GK277" s="2111"/>
      <c r="GL277" s="2111"/>
      <c r="GM277" s="2111"/>
      <c r="GN277" s="2111"/>
      <c r="GO277" s="2111"/>
      <c r="GP277" s="2111"/>
      <c r="GQ277" s="2111"/>
      <c r="GR277" s="2111"/>
      <c r="GS277" s="2111"/>
      <c r="GT277" s="2111"/>
      <c r="GU277" s="2111"/>
      <c r="GV277" s="2111"/>
      <c r="GW277" s="2111"/>
      <c r="GX277" s="2111"/>
      <c r="GY277" s="2111"/>
      <c r="GZ277" s="2111"/>
      <c r="HA277" s="2111"/>
      <c r="HB277" s="2111"/>
      <c r="HC277" s="2111"/>
      <c r="HD277" s="2111"/>
      <c r="HE277" s="2111"/>
      <c r="HF277" s="2111"/>
      <c r="HG277" s="2111"/>
      <c r="HH277" s="2111"/>
      <c r="HI277" s="2111"/>
      <c r="HJ277" s="2111"/>
      <c r="HK277" s="2111"/>
      <c r="HL277" s="2111"/>
      <c r="HM277" s="2111"/>
      <c r="HN277" s="2111"/>
      <c r="HO277" s="2111"/>
      <c r="HP277" s="2111"/>
      <c r="HQ277" s="2111"/>
      <c r="HR277" s="2111"/>
      <c r="HS277" s="2111"/>
      <c r="HT277" s="2111"/>
      <c r="HU277" s="2111"/>
      <c r="HV277" s="2111"/>
      <c r="HW277" s="2111"/>
      <c r="HX277" s="2111"/>
      <c r="HY277" s="2111"/>
      <c r="HZ277" s="2111"/>
      <c r="IA277" s="2111"/>
      <c r="IB277" s="2111"/>
      <c r="IC277" s="2111"/>
      <c r="ID277" s="2111"/>
      <c r="IE277" s="2111"/>
      <c r="IF277" s="2111"/>
      <c r="IG277" s="2111"/>
      <c r="IH277" s="2111"/>
      <c r="II277" s="2111"/>
      <c r="IJ277" s="2111"/>
      <c r="IK277" s="2111"/>
      <c r="IL277" s="2111"/>
      <c r="IM277" s="2111"/>
      <c r="IN277" s="2111"/>
      <c r="IO277" s="2111"/>
      <c r="IP277" s="2111"/>
      <c r="IQ277" s="2111"/>
      <c r="IR277" s="2111"/>
      <c r="IS277" s="2111"/>
      <c r="IT277" s="2111"/>
      <c r="IU277" s="2111"/>
      <c r="IV277" s="2111"/>
      <c r="IW277" s="2111"/>
      <c r="IX277" s="2111"/>
      <c r="IY277" s="2111"/>
      <c r="IZ277" s="2111"/>
      <c r="JA277" s="2111"/>
      <c r="JB277" s="2111"/>
      <c r="JC277" s="2111"/>
      <c r="JD277" s="2111"/>
      <c r="JE277" s="2111"/>
      <c r="JF277" s="2111"/>
      <c r="JG277" s="2111"/>
      <c r="JH277" s="2111"/>
      <c r="JI277" s="2111"/>
      <c r="JJ277" s="2111"/>
      <c r="JK277" s="2111"/>
      <c r="JL277" s="2111"/>
      <c r="JM277" s="2111"/>
      <c r="JN277" s="2111"/>
      <c r="JO277" s="2111"/>
      <c r="JP277" s="2111"/>
      <c r="JQ277" s="2111"/>
      <c r="JR277" s="2111"/>
      <c r="JS277" s="2111"/>
      <c r="JT277" s="2111"/>
      <c r="JU277" s="2111"/>
      <c r="JV277" s="2111"/>
      <c r="JW277" s="2111"/>
      <c r="JX277" s="2111"/>
      <c r="JY277" s="2111"/>
      <c r="JZ277" s="2111"/>
      <c r="KA277" s="2111"/>
      <c r="KB277" s="2111"/>
      <c r="KC277" s="2111"/>
      <c r="KD277" s="2111"/>
      <c r="KE277" s="2111"/>
      <c r="KF277" s="2111"/>
      <c r="KG277" s="2111"/>
      <c r="KH277" s="2111"/>
      <c r="KI277" s="2111"/>
      <c r="KJ277" s="2111"/>
      <c r="KK277" s="2111"/>
      <c r="KL277" s="2111"/>
      <c r="KM277" s="2111"/>
      <c r="KN277" s="2111"/>
      <c r="KO277" s="2111"/>
      <c r="KP277" s="2111"/>
      <c r="KQ277" s="2111"/>
      <c r="KR277" s="2111"/>
      <c r="KS277" s="2111"/>
      <c r="KT277" s="2111"/>
      <c r="KU277" s="2111"/>
      <c r="KV277" s="2111"/>
      <c r="KW277" s="2111"/>
      <c r="KX277" s="2111"/>
      <c r="KY277" s="2111"/>
      <c r="KZ277" s="2111"/>
      <c r="LA277" s="2111"/>
      <c r="LB277" s="2111"/>
      <c r="LC277" s="2111"/>
      <c r="LD277" s="2111"/>
      <c r="LE277" s="2111"/>
      <c r="LF277" s="2111"/>
      <c r="LG277" s="2111"/>
      <c r="LH277" s="2111"/>
      <c r="LI277" s="2111"/>
      <c r="LJ277" s="2111"/>
      <c r="LK277" s="2111"/>
      <c r="LL277" s="2111"/>
    </row>
    <row r="278" spans="1:324" s="2177" customFormat="1" ht="52.5" customHeight="1" x14ac:dyDescent="0.2">
      <c r="A278" s="2136"/>
      <c r="B278" s="2137"/>
      <c r="C278" s="2138"/>
      <c r="D278" s="2137"/>
      <c r="E278" s="2137"/>
      <c r="F278" s="2138"/>
      <c r="G278" s="2145"/>
      <c r="H278" s="2137"/>
      <c r="I278" s="2138"/>
      <c r="J278" s="5111"/>
      <c r="K278" s="5088"/>
      <c r="L278" s="5085"/>
      <c r="M278" s="5085"/>
      <c r="N278" s="5085"/>
      <c r="O278" s="5085"/>
      <c r="P278" s="5085"/>
      <c r="Q278" s="5088"/>
      <c r="R278" s="5119"/>
      <c r="S278" s="5102"/>
      <c r="T278" s="5088"/>
      <c r="U278" s="5088"/>
      <c r="V278" s="5182"/>
      <c r="W278" s="2203">
        <v>14450485</v>
      </c>
      <c r="X278" s="2203">
        <v>14033000</v>
      </c>
      <c r="Y278" s="2203">
        <v>2459000</v>
      </c>
      <c r="Z278" s="2143">
        <v>98</v>
      </c>
      <c r="AA278" s="5085"/>
      <c r="AB278" s="5085"/>
      <c r="AC278" s="5085"/>
      <c r="AD278" s="5085"/>
      <c r="AE278" s="5085"/>
      <c r="AF278" s="5085"/>
      <c r="AG278" s="5085"/>
      <c r="AH278" s="5085"/>
      <c r="AI278" s="5085"/>
      <c r="AJ278" s="5085"/>
      <c r="AK278" s="5085"/>
      <c r="AL278" s="5085"/>
      <c r="AM278" s="5085"/>
      <c r="AN278" s="5085"/>
      <c r="AO278" s="5085"/>
      <c r="AP278" s="5085"/>
      <c r="AQ278" s="5085"/>
      <c r="AR278" s="5085"/>
      <c r="AS278" s="5085"/>
      <c r="AT278" s="5085"/>
      <c r="AU278" s="5085"/>
      <c r="AV278" s="5085"/>
      <c r="AW278" s="5085"/>
      <c r="AX278" s="5085"/>
      <c r="AY278" s="5085"/>
      <c r="AZ278" s="5085"/>
      <c r="BA278" s="5085"/>
      <c r="BB278" s="5085"/>
      <c r="BC278" s="5085"/>
      <c r="BD278" s="5085"/>
      <c r="BE278" s="5085"/>
      <c r="BF278" s="5085"/>
      <c r="BG278" s="5085"/>
      <c r="BH278" s="5095"/>
      <c r="BI278" s="3822"/>
      <c r="BJ278" s="3822"/>
      <c r="BK278" s="5092"/>
      <c r="BL278" s="5095"/>
      <c r="BM278" s="5095"/>
      <c r="BN278" s="5079"/>
      <c r="BO278" s="5079"/>
      <c r="BP278" s="5079"/>
      <c r="BQ278" s="5079"/>
      <c r="BR278" s="5082"/>
      <c r="BS278" s="2111"/>
      <c r="BT278" s="2111"/>
      <c r="BU278" s="2111"/>
      <c r="BV278" s="2111"/>
      <c r="BW278" s="2111"/>
      <c r="BX278" s="2111"/>
      <c r="BY278" s="2111"/>
      <c r="BZ278" s="2111"/>
      <c r="CA278" s="2111"/>
      <c r="CB278" s="2111"/>
      <c r="CC278" s="2111"/>
      <c r="CD278" s="2111"/>
      <c r="CE278" s="2111"/>
      <c r="CF278" s="2111"/>
      <c r="CG278" s="2111"/>
      <c r="CH278" s="2111"/>
      <c r="CI278" s="2111"/>
      <c r="CJ278" s="2111"/>
      <c r="CK278" s="2111"/>
      <c r="CL278" s="2111"/>
      <c r="CM278" s="2111"/>
      <c r="CN278" s="2111"/>
      <c r="CO278" s="2111"/>
      <c r="CP278" s="2111"/>
      <c r="CQ278" s="2111"/>
      <c r="CR278" s="2111"/>
      <c r="CS278" s="2111"/>
      <c r="CT278" s="2111"/>
      <c r="CU278" s="2111"/>
      <c r="CV278" s="2111"/>
      <c r="CW278" s="2111"/>
      <c r="CX278" s="2111"/>
      <c r="CY278" s="2111"/>
      <c r="CZ278" s="2111"/>
      <c r="DA278" s="2111"/>
      <c r="DB278" s="2111"/>
      <c r="DC278" s="2111"/>
      <c r="DD278" s="2111"/>
      <c r="DE278" s="2111"/>
      <c r="DF278" s="2111"/>
      <c r="DG278" s="2111"/>
      <c r="DH278" s="2111"/>
      <c r="DI278" s="2111"/>
      <c r="DJ278" s="2111"/>
      <c r="DK278" s="2111"/>
      <c r="DL278" s="2111"/>
      <c r="DM278" s="2111"/>
      <c r="DN278" s="2111"/>
      <c r="DO278" s="2111"/>
      <c r="DP278" s="2111"/>
      <c r="DQ278" s="2111"/>
      <c r="DR278" s="2111"/>
      <c r="DS278" s="2111"/>
      <c r="DT278" s="2111"/>
      <c r="DU278" s="2111"/>
      <c r="DV278" s="2111"/>
      <c r="DW278" s="2111"/>
      <c r="DX278" s="2111"/>
      <c r="DY278" s="2111"/>
      <c r="DZ278" s="2111"/>
      <c r="EA278" s="2111"/>
      <c r="EB278" s="2111"/>
      <c r="EC278" s="2111"/>
      <c r="ED278" s="2111"/>
      <c r="EE278" s="2111"/>
      <c r="EF278" s="2111"/>
      <c r="EG278" s="2111"/>
      <c r="EH278" s="2111"/>
      <c r="EI278" s="2111"/>
      <c r="EJ278" s="2111"/>
      <c r="EK278" s="2111"/>
      <c r="EL278" s="2111"/>
      <c r="EM278" s="2111"/>
      <c r="EN278" s="2111"/>
      <c r="EO278" s="2111"/>
      <c r="EP278" s="2111"/>
      <c r="EQ278" s="2111"/>
      <c r="ER278" s="2111"/>
      <c r="ES278" s="2111"/>
      <c r="ET278" s="2111"/>
      <c r="EU278" s="2111"/>
      <c r="EV278" s="2111"/>
      <c r="EW278" s="2111"/>
      <c r="EX278" s="2111"/>
      <c r="EY278" s="2111"/>
      <c r="EZ278" s="2111"/>
      <c r="FA278" s="2111"/>
      <c r="FB278" s="2111"/>
      <c r="FC278" s="2111"/>
      <c r="FD278" s="2111"/>
      <c r="FE278" s="2111"/>
      <c r="FF278" s="2111"/>
      <c r="FG278" s="2111"/>
      <c r="FH278" s="2111"/>
      <c r="FI278" s="2111"/>
      <c r="FJ278" s="2111"/>
      <c r="FK278" s="2111"/>
      <c r="FL278" s="2111"/>
      <c r="FM278" s="2111"/>
      <c r="FN278" s="2111"/>
      <c r="FO278" s="2111"/>
      <c r="FP278" s="2111"/>
      <c r="FQ278" s="2111"/>
      <c r="FR278" s="2111"/>
      <c r="FS278" s="2111"/>
      <c r="FT278" s="2111"/>
      <c r="FU278" s="2111"/>
      <c r="FV278" s="2111"/>
      <c r="FW278" s="2111"/>
      <c r="FX278" s="2111"/>
      <c r="FY278" s="2111"/>
      <c r="FZ278" s="2111"/>
      <c r="GA278" s="2111"/>
      <c r="GB278" s="2111"/>
      <c r="GC278" s="2111"/>
      <c r="GD278" s="2111"/>
      <c r="GE278" s="2111"/>
      <c r="GF278" s="2111"/>
      <c r="GG278" s="2111"/>
      <c r="GH278" s="2111"/>
      <c r="GI278" s="2111"/>
      <c r="GJ278" s="2111"/>
      <c r="GK278" s="2111"/>
      <c r="GL278" s="2111"/>
      <c r="GM278" s="2111"/>
      <c r="GN278" s="2111"/>
      <c r="GO278" s="2111"/>
      <c r="GP278" s="2111"/>
      <c r="GQ278" s="2111"/>
      <c r="GR278" s="2111"/>
      <c r="GS278" s="2111"/>
      <c r="GT278" s="2111"/>
      <c r="GU278" s="2111"/>
      <c r="GV278" s="2111"/>
      <c r="GW278" s="2111"/>
      <c r="GX278" s="2111"/>
      <c r="GY278" s="2111"/>
      <c r="GZ278" s="2111"/>
      <c r="HA278" s="2111"/>
      <c r="HB278" s="2111"/>
      <c r="HC278" s="2111"/>
      <c r="HD278" s="2111"/>
      <c r="HE278" s="2111"/>
      <c r="HF278" s="2111"/>
      <c r="HG278" s="2111"/>
      <c r="HH278" s="2111"/>
      <c r="HI278" s="2111"/>
      <c r="HJ278" s="2111"/>
      <c r="HK278" s="2111"/>
      <c r="HL278" s="2111"/>
      <c r="HM278" s="2111"/>
      <c r="HN278" s="2111"/>
      <c r="HO278" s="2111"/>
      <c r="HP278" s="2111"/>
      <c r="HQ278" s="2111"/>
      <c r="HR278" s="2111"/>
      <c r="HS278" s="2111"/>
      <c r="HT278" s="2111"/>
      <c r="HU278" s="2111"/>
      <c r="HV278" s="2111"/>
      <c r="HW278" s="2111"/>
      <c r="HX278" s="2111"/>
      <c r="HY278" s="2111"/>
      <c r="HZ278" s="2111"/>
      <c r="IA278" s="2111"/>
      <c r="IB278" s="2111"/>
      <c r="IC278" s="2111"/>
      <c r="ID278" s="2111"/>
      <c r="IE278" s="2111"/>
      <c r="IF278" s="2111"/>
      <c r="IG278" s="2111"/>
      <c r="IH278" s="2111"/>
      <c r="II278" s="2111"/>
      <c r="IJ278" s="2111"/>
      <c r="IK278" s="2111"/>
      <c r="IL278" s="2111"/>
      <c r="IM278" s="2111"/>
      <c r="IN278" s="2111"/>
      <c r="IO278" s="2111"/>
      <c r="IP278" s="2111"/>
      <c r="IQ278" s="2111"/>
      <c r="IR278" s="2111"/>
      <c r="IS278" s="2111"/>
      <c r="IT278" s="2111"/>
      <c r="IU278" s="2111"/>
      <c r="IV278" s="2111"/>
      <c r="IW278" s="2111"/>
      <c r="IX278" s="2111"/>
      <c r="IY278" s="2111"/>
      <c r="IZ278" s="2111"/>
      <c r="JA278" s="2111"/>
      <c r="JB278" s="2111"/>
      <c r="JC278" s="2111"/>
      <c r="JD278" s="2111"/>
      <c r="JE278" s="2111"/>
      <c r="JF278" s="2111"/>
      <c r="JG278" s="2111"/>
      <c r="JH278" s="2111"/>
      <c r="JI278" s="2111"/>
      <c r="JJ278" s="2111"/>
      <c r="JK278" s="2111"/>
      <c r="JL278" s="2111"/>
      <c r="JM278" s="2111"/>
      <c r="JN278" s="2111"/>
      <c r="JO278" s="2111"/>
      <c r="JP278" s="2111"/>
      <c r="JQ278" s="2111"/>
      <c r="JR278" s="2111"/>
      <c r="JS278" s="2111"/>
      <c r="JT278" s="2111"/>
      <c r="JU278" s="2111"/>
      <c r="JV278" s="2111"/>
      <c r="JW278" s="2111"/>
      <c r="JX278" s="2111"/>
      <c r="JY278" s="2111"/>
      <c r="JZ278" s="2111"/>
      <c r="KA278" s="2111"/>
      <c r="KB278" s="2111"/>
      <c r="KC278" s="2111"/>
      <c r="KD278" s="2111"/>
      <c r="KE278" s="2111"/>
      <c r="KF278" s="2111"/>
      <c r="KG278" s="2111"/>
      <c r="KH278" s="2111"/>
      <c r="KI278" s="2111"/>
      <c r="KJ278" s="2111"/>
      <c r="KK278" s="2111"/>
      <c r="KL278" s="2111"/>
      <c r="KM278" s="2111"/>
      <c r="KN278" s="2111"/>
      <c r="KO278" s="2111"/>
      <c r="KP278" s="2111"/>
      <c r="KQ278" s="2111"/>
      <c r="KR278" s="2111"/>
      <c r="KS278" s="2111"/>
      <c r="KT278" s="2111"/>
      <c r="KU278" s="2111"/>
      <c r="KV278" s="2111"/>
      <c r="KW278" s="2111"/>
      <c r="KX278" s="2111"/>
      <c r="KY278" s="2111"/>
      <c r="KZ278" s="2111"/>
      <c r="LA278" s="2111"/>
      <c r="LB278" s="2111"/>
      <c r="LC278" s="2111"/>
      <c r="LD278" s="2111"/>
      <c r="LE278" s="2111"/>
      <c r="LF278" s="2111"/>
      <c r="LG278" s="2111"/>
      <c r="LH278" s="2111"/>
      <c r="LI278" s="2111"/>
      <c r="LJ278" s="2111"/>
      <c r="LK278" s="2111"/>
      <c r="LL278" s="2111"/>
    </row>
    <row r="279" spans="1:324" s="2177" customFormat="1" ht="40.5" customHeight="1" x14ac:dyDescent="0.2">
      <c r="A279" s="2136"/>
      <c r="B279" s="2137"/>
      <c r="C279" s="2138"/>
      <c r="D279" s="2137"/>
      <c r="E279" s="2137"/>
      <c r="F279" s="2138"/>
      <c r="G279" s="2145"/>
      <c r="H279" s="2137"/>
      <c r="I279" s="2138"/>
      <c r="J279" s="5112"/>
      <c r="K279" s="5089"/>
      <c r="L279" s="5086"/>
      <c r="M279" s="5086"/>
      <c r="N279" s="5086"/>
      <c r="O279" s="5085"/>
      <c r="P279" s="5085"/>
      <c r="Q279" s="5088"/>
      <c r="R279" s="5120"/>
      <c r="S279" s="5102"/>
      <c r="T279" s="5088"/>
      <c r="U279" s="5089"/>
      <c r="V279" s="2194" t="s">
        <v>1927</v>
      </c>
      <c r="W279" s="2203">
        <v>11000000</v>
      </c>
      <c r="X279" s="2203">
        <v>11000000</v>
      </c>
      <c r="Y279" s="2203">
        <v>11000000</v>
      </c>
      <c r="Z279" s="2143">
        <v>61</v>
      </c>
      <c r="AA279" s="5085"/>
      <c r="AB279" s="5085"/>
      <c r="AC279" s="5085"/>
      <c r="AD279" s="5085"/>
      <c r="AE279" s="5085"/>
      <c r="AF279" s="5085"/>
      <c r="AG279" s="5085"/>
      <c r="AH279" s="5085"/>
      <c r="AI279" s="5085"/>
      <c r="AJ279" s="5085"/>
      <c r="AK279" s="5085"/>
      <c r="AL279" s="5085"/>
      <c r="AM279" s="5085"/>
      <c r="AN279" s="5085"/>
      <c r="AO279" s="5085"/>
      <c r="AP279" s="5085"/>
      <c r="AQ279" s="5085"/>
      <c r="AR279" s="5085"/>
      <c r="AS279" s="5085"/>
      <c r="AT279" s="5085"/>
      <c r="AU279" s="5085"/>
      <c r="AV279" s="5085"/>
      <c r="AW279" s="5085"/>
      <c r="AX279" s="5085"/>
      <c r="AY279" s="5085"/>
      <c r="AZ279" s="5085"/>
      <c r="BA279" s="5085"/>
      <c r="BB279" s="5085"/>
      <c r="BC279" s="5085"/>
      <c r="BD279" s="5085"/>
      <c r="BE279" s="5085"/>
      <c r="BF279" s="5085"/>
      <c r="BG279" s="5085"/>
      <c r="BH279" s="5095"/>
      <c r="BI279" s="3822"/>
      <c r="BJ279" s="3822"/>
      <c r="BK279" s="5092"/>
      <c r="BL279" s="5095"/>
      <c r="BM279" s="5095"/>
      <c r="BN279" s="5079"/>
      <c r="BO279" s="5079"/>
      <c r="BP279" s="5079"/>
      <c r="BQ279" s="5079"/>
      <c r="BR279" s="5082"/>
      <c r="BS279" s="2111"/>
      <c r="BT279" s="2111"/>
      <c r="BU279" s="2111"/>
      <c r="BV279" s="2111"/>
      <c r="BW279" s="2111"/>
      <c r="BX279" s="2111"/>
      <c r="BY279" s="2111"/>
      <c r="BZ279" s="2111"/>
      <c r="CA279" s="2111"/>
      <c r="CB279" s="2111"/>
      <c r="CC279" s="2111"/>
      <c r="CD279" s="2111"/>
      <c r="CE279" s="2111"/>
      <c r="CF279" s="2111"/>
      <c r="CG279" s="2111"/>
      <c r="CH279" s="2111"/>
      <c r="CI279" s="2111"/>
      <c r="CJ279" s="2111"/>
      <c r="CK279" s="2111"/>
      <c r="CL279" s="2111"/>
      <c r="CM279" s="2111"/>
      <c r="CN279" s="2111"/>
      <c r="CO279" s="2111"/>
      <c r="CP279" s="2111"/>
      <c r="CQ279" s="2111"/>
      <c r="CR279" s="2111"/>
      <c r="CS279" s="2111"/>
      <c r="CT279" s="2111"/>
      <c r="CU279" s="2111"/>
      <c r="CV279" s="2111"/>
      <c r="CW279" s="2111"/>
      <c r="CX279" s="2111"/>
      <c r="CY279" s="2111"/>
      <c r="CZ279" s="2111"/>
      <c r="DA279" s="2111"/>
      <c r="DB279" s="2111"/>
      <c r="DC279" s="2111"/>
      <c r="DD279" s="2111"/>
      <c r="DE279" s="2111"/>
      <c r="DF279" s="2111"/>
      <c r="DG279" s="2111"/>
      <c r="DH279" s="2111"/>
      <c r="DI279" s="2111"/>
      <c r="DJ279" s="2111"/>
      <c r="DK279" s="2111"/>
      <c r="DL279" s="2111"/>
      <c r="DM279" s="2111"/>
      <c r="DN279" s="2111"/>
      <c r="DO279" s="2111"/>
      <c r="DP279" s="2111"/>
      <c r="DQ279" s="2111"/>
      <c r="DR279" s="2111"/>
      <c r="DS279" s="2111"/>
      <c r="DT279" s="2111"/>
      <c r="DU279" s="2111"/>
      <c r="DV279" s="2111"/>
      <c r="DW279" s="2111"/>
      <c r="DX279" s="2111"/>
      <c r="DY279" s="2111"/>
      <c r="DZ279" s="2111"/>
      <c r="EA279" s="2111"/>
      <c r="EB279" s="2111"/>
      <c r="EC279" s="2111"/>
      <c r="ED279" s="2111"/>
      <c r="EE279" s="2111"/>
      <c r="EF279" s="2111"/>
      <c r="EG279" s="2111"/>
      <c r="EH279" s="2111"/>
      <c r="EI279" s="2111"/>
      <c r="EJ279" s="2111"/>
      <c r="EK279" s="2111"/>
      <c r="EL279" s="2111"/>
      <c r="EM279" s="2111"/>
      <c r="EN279" s="2111"/>
      <c r="EO279" s="2111"/>
      <c r="EP279" s="2111"/>
      <c r="EQ279" s="2111"/>
      <c r="ER279" s="2111"/>
      <c r="ES279" s="2111"/>
      <c r="ET279" s="2111"/>
      <c r="EU279" s="2111"/>
      <c r="EV279" s="2111"/>
      <c r="EW279" s="2111"/>
      <c r="EX279" s="2111"/>
      <c r="EY279" s="2111"/>
      <c r="EZ279" s="2111"/>
      <c r="FA279" s="2111"/>
      <c r="FB279" s="2111"/>
      <c r="FC279" s="2111"/>
      <c r="FD279" s="2111"/>
      <c r="FE279" s="2111"/>
      <c r="FF279" s="2111"/>
      <c r="FG279" s="2111"/>
      <c r="FH279" s="2111"/>
      <c r="FI279" s="2111"/>
      <c r="FJ279" s="2111"/>
      <c r="FK279" s="2111"/>
      <c r="FL279" s="2111"/>
      <c r="FM279" s="2111"/>
      <c r="FN279" s="2111"/>
      <c r="FO279" s="2111"/>
      <c r="FP279" s="2111"/>
      <c r="FQ279" s="2111"/>
      <c r="FR279" s="2111"/>
      <c r="FS279" s="2111"/>
      <c r="FT279" s="2111"/>
      <c r="FU279" s="2111"/>
      <c r="FV279" s="2111"/>
      <c r="FW279" s="2111"/>
      <c r="FX279" s="2111"/>
      <c r="FY279" s="2111"/>
      <c r="FZ279" s="2111"/>
      <c r="GA279" s="2111"/>
      <c r="GB279" s="2111"/>
      <c r="GC279" s="2111"/>
      <c r="GD279" s="2111"/>
      <c r="GE279" s="2111"/>
      <c r="GF279" s="2111"/>
      <c r="GG279" s="2111"/>
      <c r="GH279" s="2111"/>
      <c r="GI279" s="2111"/>
      <c r="GJ279" s="2111"/>
      <c r="GK279" s="2111"/>
      <c r="GL279" s="2111"/>
      <c r="GM279" s="2111"/>
      <c r="GN279" s="2111"/>
      <c r="GO279" s="2111"/>
      <c r="GP279" s="2111"/>
      <c r="GQ279" s="2111"/>
      <c r="GR279" s="2111"/>
      <c r="GS279" s="2111"/>
      <c r="GT279" s="2111"/>
      <c r="GU279" s="2111"/>
      <c r="GV279" s="2111"/>
      <c r="GW279" s="2111"/>
      <c r="GX279" s="2111"/>
      <c r="GY279" s="2111"/>
      <c r="GZ279" s="2111"/>
      <c r="HA279" s="2111"/>
      <c r="HB279" s="2111"/>
      <c r="HC279" s="2111"/>
      <c r="HD279" s="2111"/>
      <c r="HE279" s="2111"/>
      <c r="HF279" s="2111"/>
      <c r="HG279" s="2111"/>
      <c r="HH279" s="2111"/>
      <c r="HI279" s="2111"/>
      <c r="HJ279" s="2111"/>
      <c r="HK279" s="2111"/>
      <c r="HL279" s="2111"/>
      <c r="HM279" s="2111"/>
      <c r="HN279" s="2111"/>
      <c r="HO279" s="2111"/>
      <c r="HP279" s="2111"/>
      <c r="HQ279" s="2111"/>
      <c r="HR279" s="2111"/>
      <c r="HS279" s="2111"/>
      <c r="HT279" s="2111"/>
      <c r="HU279" s="2111"/>
      <c r="HV279" s="2111"/>
      <c r="HW279" s="2111"/>
      <c r="HX279" s="2111"/>
      <c r="HY279" s="2111"/>
      <c r="HZ279" s="2111"/>
      <c r="IA279" s="2111"/>
      <c r="IB279" s="2111"/>
      <c r="IC279" s="2111"/>
      <c r="ID279" s="2111"/>
      <c r="IE279" s="2111"/>
      <c r="IF279" s="2111"/>
      <c r="IG279" s="2111"/>
      <c r="IH279" s="2111"/>
      <c r="II279" s="2111"/>
      <c r="IJ279" s="2111"/>
      <c r="IK279" s="2111"/>
      <c r="IL279" s="2111"/>
      <c r="IM279" s="2111"/>
      <c r="IN279" s="2111"/>
      <c r="IO279" s="2111"/>
      <c r="IP279" s="2111"/>
      <c r="IQ279" s="2111"/>
      <c r="IR279" s="2111"/>
      <c r="IS279" s="2111"/>
      <c r="IT279" s="2111"/>
      <c r="IU279" s="2111"/>
      <c r="IV279" s="2111"/>
      <c r="IW279" s="2111"/>
      <c r="IX279" s="2111"/>
      <c r="IY279" s="2111"/>
      <c r="IZ279" s="2111"/>
      <c r="JA279" s="2111"/>
      <c r="JB279" s="2111"/>
      <c r="JC279" s="2111"/>
      <c r="JD279" s="2111"/>
      <c r="JE279" s="2111"/>
      <c r="JF279" s="2111"/>
      <c r="JG279" s="2111"/>
      <c r="JH279" s="2111"/>
      <c r="JI279" s="2111"/>
      <c r="JJ279" s="2111"/>
      <c r="JK279" s="2111"/>
      <c r="JL279" s="2111"/>
      <c r="JM279" s="2111"/>
      <c r="JN279" s="2111"/>
      <c r="JO279" s="2111"/>
      <c r="JP279" s="2111"/>
      <c r="JQ279" s="2111"/>
      <c r="JR279" s="2111"/>
      <c r="JS279" s="2111"/>
      <c r="JT279" s="2111"/>
      <c r="JU279" s="2111"/>
      <c r="JV279" s="2111"/>
      <c r="JW279" s="2111"/>
      <c r="JX279" s="2111"/>
      <c r="JY279" s="2111"/>
      <c r="JZ279" s="2111"/>
      <c r="KA279" s="2111"/>
      <c r="KB279" s="2111"/>
      <c r="KC279" s="2111"/>
      <c r="KD279" s="2111"/>
      <c r="KE279" s="2111"/>
      <c r="KF279" s="2111"/>
      <c r="KG279" s="2111"/>
      <c r="KH279" s="2111"/>
      <c r="KI279" s="2111"/>
      <c r="KJ279" s="2111"/>
      <c r="KK279" s="2111"/>
      <c r="KL279" s="2111"/>
      <c r="KM279" s="2111"/>
      <c r="KN279" s="2111"/>
      <c r="KO279" s="2111"/>
      <c r="KP279" s="2111"/>
      <c r="KQ279" s="2111"/>
      <c r="KR279" s="2111"/>
      <c r="KS279" s="2111"/>
      <c r="KT279" s="2111"/>
      <c r="KU279" s="2111"/>
      <c r="KV279" s="2111"/>
      <c r="KW279" s="2111"/>
      <c r="KX279" s="2111"/>
      <c r="KY279" s="2111"/>
      <c r="KZ279" s="2111"/>
      <c r="LA279" s="2111"/>
      <c r="LB279" s="2111"/>
      <c r="LC279" s="2111"/>
      <c r="LD279" s="2111"/>
      <c r="LE279" s="2111"/>
      <c r="LF279" s="2111"/>
      <c r="LG279" s="2111"/>
      <c r="LH279" s="2111"/>
      <c r="LI279" s="2111"/>
      <c r="LJ279" s="2111"/>
      <c r="LK279" s="2111"/>
      <c r="LL279" s="2111"/>
    </row>
    <row r="280" spans="1:324" s="2177" customFormat="1" ht="57" x14ac:dyDescent="0.2">
      <c r="A280" s="2136"/>
      <c r="B280" s="2137"/>
      <c r="C280" s="2138"/>
      <c r="D280" s="2137"/>
      <c r="E280" s="2137"/>
      <c r="F280" s="2138"/>
      <c r="G280" s="2145"/>
      <c r="H280" s="2137"/>
      <c r="I280" s="2138"/>
      <c r="J280" s="5152">
        <v>162</v>
      </c>
      <c r="K280" s="5087" t="s">
        <v>1928</v>
      </c>
      <c r="L280" s="5084" t="s">
        <v>1581</v>
      </c>
      <c r="M280" s="5084">
        <v>83</v>
      </c>
      <c r="N280" s="5084">
        <v>80</v>
      </c>
      <c r="O280" s="5085"/>
      <c r="P280" s="5085"/>
      <c r="Q280" s="5088"/>
      <c r="R280" s="5118">
        <f>SUM(W280:W285)/S274</f>
        <v>0.74567389291614639</v>
      </c>
      <c r="S280" s="5102"/>
      <c r="T280" s="5088"/>
      <c r="U280" s="5087" t="s">
        <v>1929</v>
      </c>
      <c r="V280" s="2194" t="s">
        <v>1930</v>
      </c>
      <c r="W280" s="2203">
        <v>120000000</v>
      </c>
      <c r="X280" s="2203">
        <v>115689572</v>
      </c>
      <c r="Y280" s="2203">
        <f>25910000+12684572</f>
        <v>38594572</v>
      </c>
      <c r="Z280" s="2143">
        <v>61</v>
      </c>
      <c r="AA280" s="5085"/>
      <c r="AB280" s="5085"/>
      <c r="AC280" s="5085"/>
      <c r="AD280" s="5085"/>
      <c r="AE280" s="5085"/>
      <c r="AF280" s="5085"/>
      <c r="AG280" s="5085"/>
      <c r="AH280" s="5085"/>
      <c r="AI280" s="5085"/>
      <c r="AJ280" s="5085"/>
      <c r="AK280" s="5085"/>
      <c r="AL280" s="5085"/>
      <c r="AM280" s="5085"/>
      <c r="AN280" s="5085"/>
      <c r="AO280" s="5085"/>
      <c r="AP280" s="5085"/>
      <c r="AQ280" s="5085"/>
      <c r="AR280" s="5085"/>
      <c r="AS280" s="5085"/>
      <c r="AT280" s="5085"/>
      <c r="AU280" s="5085"/>
      <c r="AV280" s="5085"/>
      <c r="AW280" s="5085"/>
      <c r="AX280" s="5085"/>
      <c r="AY280" s="5085"/>
      <c r="AZ280" s="5085"/>
      <c r="BA280" s="5085"/>
      <c r="BB280" s="5085"/>
      <c r="BC280" s="5085"/>
      <c r="BD280" s="5085"/>
      <c r="BE280" s="5085"/>
      <c r="BF280" s="5085"/>
      <c r="BG280" s="5085"/>
      <c r="BH280" s="5095"/>
      <c r="BI280" s="3822"/>
      <c r="BJ280" s="3822"/>
      <c r="BK280" s="5092"/>
      <c r="BL280" s="5095"/>
      <c r="BM280" s="5095"/>
      <c r="BN280" s="5079"/>
      <c r="BO280" s="5079"/>
      <c r="BP280" s="5079"/>
      <c r="BQ280" s="5079"/>
      <c r="BR280" s="5082"/>
      <c r="BS280" s="2111"/>
      <c r="BT280" s="2111"/>
      <c r="BU280" s="2111"/>
      <c r="BV280" s="2111"/>
      <c r="BW280" s="2111"/>
      <c r="BX280" s="2111"/>
      <c r="BY280" s="2111"/>
      <c r="BZ280" s="2111"/>
      <c r="CA280" s="2111"/>
      <c r="CB280" s="2111"/>
      <c r="CC280" s="2111"/>
      <c r="CD280" s="2111"/>
      <c r="CE280" s="2111"/>
      <c r="CF280" s="2111"/>
      <c r="CG280" s="2111"/>
      <c r="CH280" s="2111"/>
      <c r="CI280" s="2111"/>
      <c r="CJ280" s="2111"/>
      <c r="CK280" s="2111"/>
      <c r="CL280" s="2111"/>
      <c r="CM280" s="2111"/>
      <c r="CN280" s="2111"/>
      <c r="CO280" s="2111"/>
      <c r="CP280" s="2111"/>
      <c r="CQ280" s="2111"/>
      <c r="CR280" s="2111"/>
      <c r="CS280" s="2111"/>
      <c r="CT280" s="2111"/>
      <c r="CU280" s="2111"/>
      <c r="CV280" s="2111"/>
      <c r="CW280" s="2111"/>
      <c r="CX280" s="2111"/>
      <c r="CY280" s="2111"/>
      <c r="CZ280" s="2111"/>
      <c r="DA280" s="2111"/>
      <c r="DB280" s="2111"/>
      <c r="DC280" s="2111"/>
      <c r="DD280" s="2111"/>
      <c r="DE280" s="2111"/>
      <c r="DF280" s="2111"/>
      <c r="DG280" s="2111"/>
      <c r="DH280" s="2111"/>
      <c r="DI280" s="2111"/>
      <c r="DJ280" s="2111"/>
      <c r="DK280" s="2111"/>
      <c r="DL280" s="2111"/>
      <c r="DM280" s="2111"/>
      <c r="DN280" s="2111"/>
      <c r="DO280" s="2111"/>
      <c r="DP280" s="2111"/>
      <c r="DQ280" s="2111"/>
      <c r="DR280" s="2111"/>
      <c r="DS280" s="2111"/>
      <c r="DT280" s="2111"/>
      <c r="DU280" s="2111"/>
      <c r="DV280" s="2111"/>
      <c r="DW280" s="2111"/>
      <c r="DX280" s="2111"/>
      <c r="DY280" s="2111"/>
      <c r="DZ280" s="2111"/>
      <c r="EA280" s="2111"/>
      <c r="EB280" s="2111"/>
      <c r="EC280" s="2111"/>
      <c r="ED280" s="2111"/>
      <c r="EE280" s="2111"/>
      <c r="EF280" s="2111"/>
      <c r="EG280" s="2111"/>
      <c r="EH280" s="2111"/>
      <c r="EI280" s="2111"/>
      <c r="EJ280" s="2111"/>
      <c r="EK280" s="2111"/>
      <c r="EL280" s="2111"/>
      <c r="EM280" s="2111"/>
      <c r="EN280" s="2111"/>
      <c r="EO280" s="2111"/>
      <c r="EP280" s="2111"/>
      <c r="EQ280" s="2111"/>
      <c r="ER280" s="2111"/>
      <c r="ES280" s="2111"/>
      <c r="ET280" s="2111"/>
      <c r="EU280" s="2111"/>
      <c r="EV280" s="2111"/>
      <c r="EW280" s="2111"/>
      <c r="EX280" s="2111"/>
      <c r="EY280" s="2111"/>
      <c r="EZ280" s="2111"/>
      <c r="FA280" s="2111"/>
      <c r="FB280" s="2111"/>
      <c r="FC280" s="2111"/>
      <c r="FD280" s="2111"/>
      <c r="FE280" s="2111"/>
      <c r="FF280" s="2111"/>
      <c r="FG280" s="2111"/>
      <c r="FH280" s="2111"/>
      <c r="FI280" s="2111"/>
      <c r="FJ280" s="2111"/>
      <c r="FK280" s="2111"/>
      <c r="FL280" s="2111"/>
      <c r="FM280" s="2111"/>
      <c r="FN280" s="2111"/>
      <c r="FO280" s="2111"/>
      <c r="FP280" s="2111"/>
      <c r="FQ280" s="2111"/>
      <c r="FR280" s="2111"/>
      <c r="FS280" s="2111"/>
      <c r="FT280" s="2111"/>
      <c r="FU280" s="2111"/>
      <c r="FV280" s="2111"/>
      <c r="FW280" s="2111"/>
      <c r="FX280" s="2111"/>
      <c r="FY280" s="2111"/>
      <c r="FZ280" s="2111"/>
      <c r="GA280" s="2111"/>
      <c r="GB280" s="2111"/>
      <c r="GC280" s="2111"/>
      <c r="GD280" s="2111"/>
      <c r="GE280" s="2111"/>
      <c r="GF280" s="2111"/>
      <c r="GG280" s="2111"/>
      <c r="GH280" s="2111"/>
      <c r="GI280" s="2111"/>
      <c r="GJ280" s="2111"/>
      <c r="GK280" s="2111"/>
      <c r="GL280" s="2111"/>
      <c r="GM280" s="2111"/>
      <c r="GN280" s="2111"/>
      <c r="GO280" s="2111"/>
      <c r="GP280" s="2111"/>
      <c r="GQ280" s="2111"/>
      <c r="GR280" s="2111"/>
      <c r="GS280" s="2111"/>
      <c r="GT280" s="2111"/>
      <c r="GU280" s="2111"/>
      <c r="GV280" s="2111"/>
      <c r="GW280" s="2111"/>
      <c r="GX280" s="2111"/>
      <c r="GY280" s="2111"/>
      <c r="GZ280" s="2111"/>
      <c r="HA280" s="2111"/>
      <c r="HB280" s="2111"/>
      <c r="HC280" s="2111"/>
      <c r="HD280" s="2111"/>
      <c r="HE280" s="2111"/>
      <c r="HF280" s="2111"/>
      <c r="HG280" s="2111"/>
      <c r="HH280" s="2111"/>
      <c r="HI280" s="2111"/>
      <c r="HJ280" s="2111"/>
      <c r="HK280" s="2111"/>
      <c r="HL280" s="2111"/>
      <c r="HM280" s="2111"/>
      <c r="HN280" s="2111"/>
      <c r="HO280" s="2111"/>
      <c r="HP280" s="2111"/>
      <c r="HQ280" s="2111"/>
      <c r="HR280" s="2111"/>
      <c r="HS280" s="2111"/>
      <c r="HT280" s="2111"/>
      <c r="HU280" s="2111"/>
      <c r="HV280" s="2111"/>
      <c r="HW280" s="2111"/>
      <c r="HX280" s="2111"/>
      <c r="HY280" s="2111"/>
      <c r="HZ280" s="2111"/>
      <c r="IA280" s="2111"/>
      <c r="IB280" s="2111"/>
      <c r="IC280" s="2111"/>
      <c r="ID280" s="2111"/>
      <c r="IE280" s="2111"/>
      <c r="IF280" s="2111"/>
      <c r="IG280" s="2111"/>
      <c r="IH280" s="2111"/>
      <c r="II280" s="2111"/>
      <c r="IJ280" s="2111"/>
      <c r="IK280" s="2111"/>
      <c r="IL280" s="2111"/>
      <c r="IM280" s="2111"/>
      <c r="IN280" s="2111"/>
      <c r="IO280" s="2111"/>
      <c r="IP280" s="2111"/>
      <c r="IQ280" s="2111"/>
      <c r="IR280" s="2111"/>
      <c r="IS280" s="2111"/>
      <c r="IT280" s="2111"/>
      <c r="IU280" s="2111"/>
      <c r="IV280" s="2111"/>
      <c r="IW280" s="2111"/>
      <c r="IX280" s="2111"/>
      <c r="IY280" s="2111"/>
      <c r="IZ280" s="2111"/>
      <c r="JA280" s="2111"/>
      <c r="JB280" s="2111"/>
      <c r="JC280" s="2111"/>
      <c r="JD280" s="2111"/>
      <c r="JE280" s="2111"/>
      <c r="JF280" s="2111"/>
      <c r="JG280" s="2111"/>
      <c r="JH280" s="2111"/>
      <c r="JI280" s="2111"/>
      <c r="JJ280" s="2111"/>
      <c r="JK280" s="2111"/>
      <c r="JL280" s="2111"/>
      <c r="JM280" s="2111"/>
      <c r="JN280" s="2111"/>
      <c r="JO280" s="2111"/>
      <c r="JP280" s="2111"/>
      <c r="JQ280" s="2111"/>
      <c r="JR280" s="2111"/>
      <c r="JS280" s="2111"/>
      <c r="JT280" s="2111"/>
      <c r="JU280" s="2111"/>
      <c r="JV280" s="2111"/>
      <c r="JW280" s="2111"/>
      <c r="JX280" s="2111"/>
      <c r="JY280" s="2111"/>
      <c r="JZ280" s="2111"/>
      <c r="KA280" s="2111"/>
      <c r="KB280" s="2111"/>
      <c r="KC280" s="2111"/>
      <c r="KD280" s="2111"/>
      <c r="KE280" s="2111"/>
      <c r="KF280" s="2111"/>
      <c r="KG280" s="2111"/>
      <c r="KH280" s="2111"/>
      <c r="KI280" s="2111"/>
      <c r="KJ280" s="2111"/>
      <c r="KK280" s="2111"/>
      <c r="KL280" s="2111"/>
      <c r="KM280" s="2111"/>
      <c r="KN280" s="2111"/>
      <c r="KO280" s="2111"/>
      <c r="KP280" s="2111"/>
      <c r="KQ280" s="2111"/>
      <c r="KR280" s="2111"/>
      <c r="KS280" s="2111"/>
      <c r="KT280" s="2111"/>
      <c r="KU280" s="2111"/>
      <c r="KV280" s="2111"/>
      <c r="KW280" s="2111"/>
      <c r="KX280" s="2111"/>
      <c r="KY280" s="2111"/>
      <c r="KZ280" s="2111"/>
      <c r="LA280" s="2111"/>
      <c r="LB280" s="2111"/>
      <c r="LC280" s="2111"/>
      <c r="LD280" s="2111"/>
      <c r="LE280" s="2111"/>
      <c r="LF280" s="2111"/>
      <c r="LG280" s="2111"/>
      <c r="LH280" s="2111"/>
      <c r="LI280" s="2111"/>
      <c r="LJ280" s="2111"/>
      <c r="LK280" s="2111"/>
      <c r="LL280" s="2111"/>
    </row>
    <row r="281" spans="1:324" s="2177" customFormat="1" ht="42.75" customHeight="1" x14ac:dyDescent="0.2">
      <c r="A281" s="2136"/>
      <c r="B281" s="2137"/>
      <c r="C281" s="2138"/>
      <c r="D281" s="2137"/>
      <c r="E281" s="2137"/>
      <c r="F281" s="2138"/>
      <c r="G281" s="2145"/>
      <c r="H281" s="2137"/>
      <c r="I281" s="2138"/>
      <c r="J281" s="5152"/>
      <c r="K281" s="5088"/>
      <c r="L281" s="5085"/>
      <c r="M281" s="5085"/>
      <c r="N281" s="5085"/>
      <c r="O281" s="5085"/>
      <c r="P281" s="5085"/>
      <c r="Q281" s="5088"/>
      <c r="R281" s="5119"/>
      <c r="S281" s="5102"/>
      <c r="T281" s="5088"/>
      <c r="U281" s="5088"/>
      <c r="V281" s="2194" t="s">
        <v>1931</v>
      </c>
      <c r="W281" s="2203">
        <v>53800000</v>
      </c>
      <c r="X281" s="2203">
        <v>53800000</v>
      </c>
      <c r="Y281" s="2203">
        <v>53800000</v>
      </c>
      <c r="Z281" s="2143">
        <v>61</v>
      </c>
      <c r="AA281" s="5085"/>
      <c r="AB281" s="5085"/>
      <c r="AC281" s="5085"/>
      <c r="AD281" s="5085"/>
      <c r="AE281" s="5085"/>
      <c r="AF281" s="5085"/>
      <c r="AG281" s="5085"/>
      <c r="AH281" s="5085"/>
      <c r="AI281" s="5085"/>
      <c r="AJ281" s="5085"/>
      <c r="AK281" s="5085"/>
      <c r="AL281" s="5085"/>
      <c r="AM281" s="5085"/>
      <c r="AN281" s="5085"/>
      <c r="AO281" s="5085"/>
      <c r="AP281" s="5085"/>
      <c r="AQ281" s="5085"/>
      <c r="AR281" s="5085"/>
      <c r="AS281" s="5085"/>
      <c r="AT281" s="5085"/>
      <c r="AU281" s="5085"/>
      <c r="AV281" s="5085"/>
      <c r="AW281" s="5085"/>
      <c r="AX281" s="5085"/>
      <c r="AY281" s="5085"/>
      <c r="AZ281" s="5085"/>
      <c r="BA281" s="5085"/>
      <c r="BB281" s="5085"/>
      <c r="BC281" s="5085"/>
      <c r="BD281" s="5085"/>
      <c r="BE281" s="5085"/>
      <c r="BF281" s="5085"/>
      <c r="BG281" s="5085"/>
      <c r="BH281" s="5095"/>
      <c r="BI281" s="3822"/>
      <c r="BJ281" s="3822"/>
      <c r="BK281" s="5092"/>
      <c r="BL281" s="5095"/>
      <c r="BM281" s="5095"/>
      <c r="BN281" s="5079"/>
      <c r="BO281" s="5079"/>
      <c r="BP281" s="5079"/>
      <c r="BQ281" s="5079"/>
      <c r="BR281" s="5082"/>
      <c r="BS281" s="2111"/>
      <c r="BT281" s="2111"/>
      <c r="BU281" s="2111"/>
      <c r="BV281" s="2111"/>
      <c r="BW281" s="2111"/>
      <c r="BX281" s="2111"/>
      <c r="BY281" s="2111"/>
      <c r="BZ281" s="2111"/>
      <c r="CA281" s="2111"/>
      <c r="CB281" s="2111"/>
      <c r="CC281" s="2111"/>
      <c r="CD281" s="2111"/>
      <c r="CE281" s="2111"/>
      <c r="CF281" s="2111"/>
      <c r="CG281" s="2111"/>
      <c r="CH281" s="2111"/>
      <c r="CI281" s="2111"/>
      <c r="CJ281" s="2111"/>
      <c r="CK281" s="2111"/>
      <c r="CL281" s="2111"/>
      <c r="CM281" s="2111"/>
      <c r="CN281" s="2111"/>
      <c r="CO281" s="2111"/>
      <c r="CP281" s="2111"/>
      <c r="CQ281" s="2111"/>
      <c r="CR281" s="2111"/>
      <c r="CS281" s="2111"/>
      <c r="CT281" s="2111"/>
      <c r="CU281" s="2111"/>
      <c r="CV281" s="2111"/>
      <c r="CW281" s="2111"/>
      <c r="CX281" s="2111"/>
      <c r="CY281" s="2111"/>
      <c r="CZ281" s="2111"/>
      <c r="DA281" s="2111"/>
      <c r="DB281" s="2111"/>
      <c r="DC281" s="2111"/>
      <c r="DD281" s="2111"/>
      <c r="DE281" s="2111"/>
      <c r="DF281" s="2111"/>
      <c r="DG281" s="2111"/>
      <c r="DH281" s="2111"/>
      <c r="DI281" s="2111"/>
      <c r="DJ281" s="2111"/>
      <c r="DK281" s="2111"/>
      <c r="DL281" s="2111"/>
      <c r="DM281" s="2111"/>
      <c r="DN281" s="2111"/>
      <c r="DO281" s="2111"/>
      <c r="DP281" s="2111"/>
      <c r="DQ281" s="2111"/>
      <c r="DR281" s="2111"/>
      <c r="DS281" s="2111"/>
      <c r="DT281" s="2111"/>
      <c r="DU281" s="2111"/>
      <c r="DV281" s="2111"/>
      <c r="DW281" s="2111"/>
      <c r="DX281" s="2111"/>
      <c r="DY281" s="2111"/>
      <c r="DZ281" s="2111"/>
      <c r="EA281" s="2111"/>
      <c r="EB281" s="2111"/>
      <c r="EC281" s="2111"/>
      <c r="ED281" s="2111"/>
      <c r="EE281" s="2111"/>
      <c r="EF281" s="2111"/>
      <c r="EG281" s="2111"/>
      <c r="EH281" s="2111"/>
      <c r="EI281" s="2111"/>
      <c r="EJ281" s="2111"/>
      <c r="EK281" s="2111"/>
      <c r="EL281" s="2111"/>
      <c r="EM281" s="2111"/>
      <c r="EN281" s="2111"/>
      <c r="EO281" s="2111"/>
      <c r="EP281" s="2111"/>
      <c r="EQ281" s="2111"/>
      <c r="ER281" s="2111"/>
      <c r="ES281" s="2111"/>
      <c r="ET281" s="2111"/>
      <c r="EU281" s="2111"/>
      <c r="EV281" s="2111"/>
      <c r="EW281" s="2111"/>
      <c r="EX281" s="2111"/>
      <c r="EY281" s="2111"/>
      <c r="EZ281" s="2111"/>
      <c r="FA281" s="2111"/>
      <c r="FB281" s="2111"/>
      <c r="FC281" s="2111"/>
      <c r="FD281" s="2111"/>
      <c r="FE281" s="2111"/>
      <c r="FF281" s="2111"/>
      <c r="FG281" s="2111"/>
      <c r="FH281" s="2111"/>
      <c r="FI281" s="2111"/>
      <c r="FJ281" s="2111"/>
      <c r="FK281" s="2111"/>
      <c r="FL281" s="2111"/>
      <c r="FM281" s="2111"/>
      <c r="FN281" s="2111"/>
      <c r="FO281" s="2111"/>
      <c r="FP281" s="2111"/>
      <c r="FQ281" s="2111"/>
      <c r="FR281" s="2111"/>
      <c r="FS281" s="2111"/>
      <c r="FT281" s="2111"/>
      <c r="FU281" s="2111"/>
      <c r="FV281" s="2111"/>
      <c r="FW281" s="2111"/>
      <c r="FX281" s="2111"/>
      <c r="FY281" s="2111"/>
      <c r="FZ281" s="2111"/>
      <c r="GA281" s="2111"/>
      <c r="GB281" s="2111"/>
      <c r="GC281" s="2111"/>
      <c r="GD281" s="2111"/>
      <c r="GE281" s="2111"/>
      <c r="GF281" s="2111"/>
      <c r="GG281" s="2111"/>
      <c r="GH281" s="2111"/>
      <c r="GI281" s="2111"/>
      <c r="GJ281" s="2111"/>
      <c r="GK281" s="2111"/>
      <c r="GL281" s="2111"/>
      <c r="GM281" s="2111"/>
      <c r="GN281" s="2111"/>
      <c r="GO281" s="2111"/>
      <c r="GP281" s="2111"/>
      <c r="GQ281" s="2111"/>
      <c r="GR281" s="2111"/>
      <c r="GS281" s="2111"/>
      <c r="GT281" s="2111"/>
      <c r="GU281" s="2111"/>
      <c r="GV281" s="2111"/>
      <c r="GW281" s="2111"/>
      <c r="GX281" s="2111"/>
      <c r="GY281" s="2111"/>
      <c r="GZ281" s="2111"/>
      <c r="HA281" s="2111"/>
      <c r="HB281" s="2111"/>
      <c r="HC281" s="2111"/>
      <c r="HD281" s="2111"/>
      <c r="HE281" s="2111"/>
      <c r="HF281" s="2111"/>
      <c r="HG281" s="2111"/>
      <c r="HH281" s="2111"/>
      <c r="HI281" s="2111"/>
      <c r="HJ281" s="2111"/>
      <c r="HK281" s="2111"/>
      <c r="HL281" s="2111"/>
      <c r="HM281" s="2111"/>
      <c r="HN281" s="2111"/>
      <c r="HO281" s="2111"/>
      <c r="HP281" s="2111"/>
      <c r="HQ281" s="2111"/>
      <c r="HR281" s="2111"/>
      <c r="HS281" s="2111"/>
      <c r="HT281" s="2111"/>
      <c r="HU281" s="2111"/>
      <c r="HV281" s="2111"/>
      <c r="HW281" s="2111"/>
      <c r="HX281" s="2111"/>
      <c r="HY281" s="2111"/>
      <c r="HZ281" s="2111"/>
      <c r="IA281" s="2111"/>
      <c r="IB281" s="2111"/>
      <c r="IC281" s="2111"/>
      <c r="ID281" s="2111"/>
      <c r="IE281" s="2111"/>
      <c r="IF281" s="2111"/>
      <c r="IG281" s="2111"/>
      <c r="IH281" s="2111"/>
      <c r="II281" s="2111"/>
      <c r="IJ281" s="2111"/>
      <c r="IK281" s="2111"/>
      <c r="IL281" s="2111"/>
      <c r="IM281" s="2111"/>
      <c r="IN281" s="2111"/>
      <c r="IO281" s="2111"/>
      <c r="IP281" s="2111"/>
      <c r="IQ281" s="2111"/>
      <c r="IR281" s="2111"/>
      <c r="IS281" s="2111"/>
      <c r="IT281" s="2111"/>
      <c r="IU281" s="2111"/>
      <c r="IV281" s="2111"/>
      <c r="IW281" s="2111"/>
      <c r="IX281" s="2111"/>
      <c r="IY281" s="2111"/>
      <c r="IZ281" s="2111"/>
      <c r="JA281" s="2111"/>
      <c r="JB281" s="2111"/>
      <c r="JC281" s="2111"/>
      <c r="JD281" s="2111"/>
      <c r="JE281" s="2111"/>
      <c r="JF281" s="2111"/>
      <c r="JG281" s="2111"/>
      <c r="JH281" s="2111"/>
      <c r="JI281" s="2111"/>
      <c r="JJ281" s="2111"/>
      <c r="JK281" s="2111"/>
      <c r="JL281" s="2111"/>
      <c r="JM281" s="2111"/>
      <c r="JN281" s="2111"/>
      <c r="JO281" s="2111"/>
      <c r="JP281" s="2111"/>
      <c r="JQ281" s="2111"/>
      <c r="JR281" s="2111"/>
      <c r="JS281" s="2111"/>
      <c r="JT281" s="2111"/>
      <c r="JU281" s="2111"/>
      <c r="JV281" s="2111"/>
      <c r="JW281" s="2111"/>
      <c r="JX281" s="2111"/>
      <c r="JY281" s="2111"/>
      <c r="JZ281" s="2111"/>
      <c r="KA281" s="2111"/>
      <c r="KB281" s="2111"/>
      <c r="KC281" s="2111"/>
      <c r="KD281" s="2111"/>
      <c r="KE281" s="2111"/>
      <c r="KF281" s="2111"/>
      <c r="KG281" s="2111"/>
      <c r="KH281" s="2111"/>
      <c r="KI281" s="2111"/>
      <c r="KJ281" s="2111"/>
      <c r="KK281" s="2111"/>
      <c r="KL281" s="2111"/>
      <c r="KM281" s="2111"/>
      <c r="KN281" s="2111"/>
      <c r="KO281" s="2111"/>
      <c r="KP281" s="2111"/>
      <c r="KQ281" s="2111"/>
      <c r="KR281" s="2111"/>
      <c r="KS281" s="2111"/>
      <c r="KT281" s="2111"/>
      <c r="KU281" s="2111"/>
      <c r="KV281" s="2111"/>
      <c r="KW281" s="2111"/>
      <c r="KX281" s="2111"/>
      <c r="KY281" s="2111"/>
      <c r="KZ281" s="2111"/>
      <c r="LA281" s="2111"/>
      <c r="LB281" s="2111"/>
      <c r="LC281" s="2111"/>
      <c r="LD281" s="2111"/>
      <c r="LE281" s="2111"/>
      <c r="LF281" s="2111"/>
      <c r="LG281" s="2111"/>
      <c r="LH281" s="2111"/>
      <c r="LI281" s="2111"/>
      <c r="LJ281" s="2111"/>
      <c r="LK281" s="2111"/>
      <c r="LL281" s="2111"/>
    </row>
    <row r="282" spans="1:324" s="2177" customFormat="1" ht="32.25" customHeight="1" x14ac:dyDescent="0.2">
      <c r="A282" s="2136"/>
      <c r="B282" s="2137"/>
      <c r="C282" s="2138"/>
      <c r="D282" s="2137"/>
      <c r="E282" s="2137"/>
      <c r="F282" s="2138"/>
      <c r="G282" s="2145"/>
      <c r="H282" s="2137"/>
      <c r="I282" s="2138"/>
      <c r="J282" s="5152"/>
      <c r="K282" s="5088"/>
      <c r="L282" s="5085"/>
      <c r="M282" s="5085"/>
      <c r="N282" s="5085"/>
      <c r="O282" s="5085"/>
      <c r="P282" s="5085"/>
      <c r="Q282" s="5088"/>
      <c r="R282" s="5119"/>
      <c r="S282" s="5102"/>
      <c r="T282" s="5088"/>
      <c r="U282" s="5088"/>
      <c r="V282" s="5170" t="s">
        <v>1932</v>
      </c>
      <c r="W282" s="2203">
        <f>30000000+18924714</f>
        <v>48924714</v>
      </c>
      <c r="X282" s="2203">
        <f>30000000+18924714</f>
        <v>48924714</v>
      </c>
      <c r="Y282" s="2203">
        <f>30000000+18924714</f>
        <v>48924714</v>
      </c>
      <c r="Z282" s="2143">
        <v>61</v>
      </c>
      <c r="AA282" s="5085"/>
      <c r="AB282" s="5085"/>
      <c r="AC282" s="5085"/>
      <c r="AD282" s="5085"/>
      <c r="AE282" s="5085"/>
      <c r="AF282" s="5085"/>
      <c r="AG282" s="5085"/>
      <c r="AH282" s="5085"/>
      <c r="AI282" s="5085"/>
      <c r="AJ282" s="5085"/>
      <c r="AK282" s="5085"/>
      <c r="AL282" s="5085"/>
      <c r="AM282" s="5085"/>
      <c r="AN282" s="5085"/>
      <c r="AO282" s="5085"/>
      <c r="AP282" s="5085"/>
      <c r="AQ282" s="5085"/>
      <c r="AR282" s="5085"/>
      <c r="AS282" s="5085"/>
      <c r="AT282" s="5085"/>
      <c r="AU282" s="5085"/>
      <c r="AV282" s="5085"/>
      <c r="AW282" s="5085"/>
      <c r="AX282" s="5085"/>
      <c r="AY282" s="5085"/>
      <c r="AZ282" s="5085"/>
      <c r="BA282" s="5085"/>
      <c r="BB282" s="5085"/>
      <c r="BC282" s="5085"/>
      <c r="BD282" s="5085"/>
      <c r="BE282" s="5085"/>
      <c r="BF282" s="5085"/>
      <c r="BG282" s="5085"/>
      <c r="BH282" s="5095"/>
      <c r="BI282" s="3822"/>
      <c r="BJ282" s="3822"/>
      <c r="BK282" s="5092"/>
      <c r="BL282" s="5095"/>
      <c r="BM282" s="5095"/>
      <c r="BN282" s="5079"/>
      <c r="BO282" s="5079"/>
      <c r="BP282" s="5079"/>
      <c r="BQ282" s="5079"/>
      <c r="BR282" s="5082"/>
      <c r="BS282" s="2111"/>
      <c r="BT282" s="2111"/>
      <c r="BU282" s="2111"/>
      <c r="BV282" s="2111"/>
      <c r="BW282" s="2111"/>
      <c r="BX282" s="2111"/>
      <c r="BY282" s="2111"/>
      <c r="BZ282" s="2111"/>
      <c r="CA282" s="2111"/>
      <c r="CB282" s="2111"/>
      <c r="CC282" s="2111"/>
      <c r="CD282" s="2111"/>
      <c r="CE282" s="2111"/>
      <c r="CF282" s="2111"/>
      <c r="CG282" s="2111"/>
      <c r="CH282" s="2111"/>
      <c r="CI282" s="2111"/>
      <c r="CJ282" s="2111"/>
      <c r="CK282" s="2111"/>
      <c r="CL282" s="2111"/>
      <c r="CM282" s="2111"/>
      <c r="CN282" s="2111"/>
      <c r="CO282" s="2111"/>
      <c r="CP282" s="2111"/>
      <c r="CQ282" s="2111"/>
      <c r="CR282" s="2111"/>
      <c r="CS282" s="2111"/>
      <c r="CT282" s="2111"/>
      <c r="CU282" s="2111"/>
      <c r="CV282" s="2111"/>
      <c r="CW282" s="2111"/>
      <c r="CX282" s="2111"/>
      <c r="CY282" s="2111"/>
      <c r="CZ282" s="2111"/>
      <c r="DA282" s="2111"/>
      <c r="DB282" s="2111"/>
      <c r="DC282" s="2111"/>
      <c r="DD282" s="2111"/>
      <c r="DE282" s="2111"/>
      <c r="DF282" s="2111"/>
      <c r="DG282" s="2111"/>
      <c r="DH282" s="2111"/>
      <c r="DI282" s="2111"/>
      <c r="DJ282" s="2111"/>
      <c r="DK282" s="2111"/>
      <c r="DL282" s="2111"/>
      <c r="DM282" s="2111"/>
      <c r="DN282" s="2111"/>
      <c r="DO282" s="2111"/>
      <c r="DP282" s="2111"/>
      <c r="DQ282" s="2111"/>
      <c r="DR282" s="2111"/>
      <c r="DS282" s="2111"/>
      <c r="DT282" s="2111"/>
      <c r="DU282" s="2111"/>
      <c r="DV282" s="2111"/>
      <c r="DW282" s="2111"/>
      <c r="DX282" s="2111"/>
      <c r="DY282" s="2111"/>
      <c r="DZ282" s="2111"/>
      <c r="EA282" s="2111"/>
      <c r="EB282" s="2111"/>
      <c r="EC282" s="2111"/>
      <c r="ED282" s="2111"/>
      <c r="EE282" s="2111"/>
      <c r="EF282" s="2111"/>
      <c r="EG282" s="2111"/>
      <c r="EH282" s="2111"/>
      <c r="EI282" s="2111"/>
      <c r="EJ282" s="2111"/>
      <c r="EK282" s="2111"/>
      <c r="EL282" s="2111"/>
      <c r="EM282" s="2111"/>
      <c r="EN282" s="2111"/>
      <c r="EO282" s="2111"/>
      <c r="EP282" s="2111"/>
      <c r="EQ282" s="2111"/>
      <c r="ER282" s="2111"/>
      <c r="ES282" s="2111"/>
      <c r="ET282" s="2111"/>
      <c r="EU282" s="2111"/>
      <c r="EV282" s="2111"/>
      <c r="EW282" s="2111"/>
      <c r="EX282" s="2111"/>
      <c r="EY282" s="2111"/>
      <c r="EZ282" s="2111"/>
      <c r="FA282" s="2111"/>
      <c r="FB282" s="2111"/>
      <c r="FC282" s="2111"/>
      <c r="FD282" s="2111"/>
      <c r="FE282" s="2111"/>
      <c r="FF282" s="2111"/>
      <c r="FG282" s="2111"/>
      <c r="FH282" s="2111"/>
      <c r="FI282" s="2111"/>
      <c r="FJ282" s="2111"/>
      <c r="FK282" s="2111"/>
      <c r="FL282" s="2111"/>
      <c r="FM282" s="2111"/>
      <c r="FN282" s="2111"/>
      <c r="FO282" s="2111"/>
      <c r="FP282" s="2111"/>
      <c r="FQ282" s="2111"/>
      <c r="FR282" s="2111"/>
      <c r="FS282" s="2111"/>
      <c r="FT282" s="2111"/>
      <c r="FU282" s="2111"/>
      <c r="FV282" s="2111"/>
      <c r="FW282" s="2111"/>
      <c r="FX282" s="2111"/>
      <c r="FY282" s="2111"/>
      <c r="FZ282" s="2111"/>
      <c r="GA282" s="2111"/>
      <c r="GB282" s="2111"/>
      <c r="GC282" s="2111"/>
      <c r="GD282" s="2111"/>
      <c r="GE282" s="2111"/>
      <c r="GF282" s="2111"/>
      <c r="GG282" s="2111"/>
      <c r="GH282" s="2111"/>
      <c r="GI282" s="2111"/>
      <c r="GJ282" s="2111"/>
      <c r="GK282" s="2111"/>
      <c r="GL282" s="2111"/>
      <c r="GM282" s="2111"/>
      <c r="GN282" s="2111"/>
      <c r="GO282" s="2111"/>
      <c r="GP282" s="2111"/>
      <c r="GQ282" s="2111"/>
      <c r="GR282" s="2111"/>
      <c r="GS282" s="2111"/>
      <c r="GT282" s="2111"/>
      <c r="GU282" s="2111"/>
      <c r="GV282" s="2111"/>
      <c r="GW282" s="2111"/>
      <c r="GX282" s="2111"/>
      <c r="GY282" s="2111"/>
      <c r="GZ282" s="2111"/>
      <c r="HA282" s="2111"/>
      <c r="HB282" s="2111"/>
      <c r="HC282" s="2111"/>
      <c r="HD282" s="2111"/>
      <c r="HE282" s="2111"/>
      <c r="HF282" s="2111"/>
      <c r="HG282" s="2111"/>
      <c r="HH282" s="2111"/>
      <c r="HI282" s="2111"/>
      <c r="HJ282" s="2111"/>
      <c r="HK282" s="2111"/>
      <c r="HL282" s="2111"/>
      <c r="HM282" s="2111"/>
      <c r="HN282" s="2111"/>
      <c r="HO282" s="2111"/>
      <c r="HP282" s="2111"/>
      <c r="HQ282" s="2111"/>
      <c r="HR282" s="2111"/>
      <c r="HS282" s="2111"/>
      <c r="HT282" s="2111"/>
      <c r="HU282" s="2111"/>
      <c r="HV282" s="2111"/>
      <c r="HW282" s="2111"/>
      <c r="HX282" s="2111"/>
      <c r="HY282" s="2111"/>
      <c r="HZ282" s="2111"/>
      <c r="IA282" s="2111"/>
      <c r="IB282" s="2111"/>
      <c r="IC282" s="2111"/>
      <c r="ID282" s="2111"/>
      <c r="IE282" s="2111"/>
      <c r="IF282" s="2111"/>
      <c r="IG282" s="2111"/>
      <c r="IH282" s="2111"/>
      <c r="II282" s="2111"/>
      <c r="IJ282" s="2111"/>
      <c r="IK282" s="2111"/>
      <c r="IL282" s="2111"/>
      <c r="IM282" s="2111"/>
      <c r="IN282" s="2111"/>
      <c r="IO282" s="2111"/>
      <c r="IP282" s="2111"/>
      <c r="IQ282" s="2111"/>
      <c r="IR282" s="2111"/>
      <c r="IS282" s="2111"/>
      <c r="IT282" s="2111"/>
      <c r="IU282" s="2111"/>
      <c r="IV282" s="2111"/>
      <c r="IW282" s="2111"/>
      <c r="IX282" s="2111"/>
      <c r="IY282" s="2111"/>
      <c r="IZ282" s="2111"/>
      <c r="JA282" s="2111"/>
      <c r="JB282" s="2111"/>
      <c r="JC282" s="2111"/>
      <c r="JD282" s="2111"/>
      <c r="JE282" s="2111"/>
      <c r="JF282" s="2111"/>
      <c r="JG282" s="2111"/>
      <c r="JH282" s="2111"/>
      <c r="JI282" s="2111"/>
      <c r="JJ282" s="2111"/>
      <c r="JK282" s="2111"/>
      <c r="JL282" s="2111"/>
      <c r="JM282" s="2111"/>
      <c r="JN282" s="2111"/>
      <c r="JO282" s="2111"/>
      <c r="JP282" s="2111"/>
      <c r="JQ282" s="2111"/>
      <c r="JR282" s="2111"/>
      <c r="JS282" s="2111"/>
      <c r="JT282" s="2111"/>
      <c r="JU282" s="2111"/>
      <c r="JV282" s="2111"/>
      <c r="JW282" s="2111"/>
      <c r="JX282" s="2111"/>
      <c r="JY282" s="2111"/>
      <c r="JZ282" s="2111"/>
      <c r="KA282" s="2111"/>
      <c r="KB282" s="2111"/>
      <c r="KC282" s="2111"/>
      <c r="KD282" s="2111"/>
      <c r="KE282" s="2111"/>
      <c r="KF282" s="2111"/>
      <c r="KG282" s="2111"/>
      <c r="KH282" s="2111"/>
      <c r="KI282" s="2111"/>
      <c r="KJ282" s="2111"/>
      <c r="KK282" s="2111"/>
      <c r="KL282" s="2111"/>
      <c r="KM282" s="2111"/>
      <c r="KN282" s="2111"/>
      <c r="KO282" s="2111"/>
      <c r="KP282" s="2111"/>
      <c r="KQ282" s="2111"/>
      <c r="KR282" s="2111"/>
      <c r="KS282" s="2111"/>
      <c r="KT282" s="2111"/>
      <c r="KU282" s="2111"/>
      <c r="KV282" s="2111"/>
      <c r="KW282" s="2111"/>
      <c r="KX282" s="2111"/>
      <c r="KY282" s="2111"/>
      <c r="KZ282" s="2111"/>
      <c r="LA282" s="2111"/>
      <c r="LB282" s="2111"/>
      <c r="LC282" s="2111"/>
      <c r="LD282" s="2111"/>
      <c r="LE282" s="2111"/>
      <c r="LF282" s="2111"/>
      <c r="LG282" s="2111"/>
      <c r="LH282" s="2111"/>
      <c r="LI282" s="2111"/>
      <c r="LJ282" s="2111"/>
      <c r="LK282" s="2111"/>
      <c r="LL282" s="2111"/>
    </row>
    <row r="283" spans="1:324" s="2177" customFormat="1" ht="32.25" customHeight="1" x14ac:dyDescent="0.2">
      <c r="A283" s="2137"/>
      <c r="B283" s="2137"/>
      <c r="C283" s="2138"/>
      <c r="D283" s="2137"/>
      <c r="E283" s="2137"/>
      <c r="F283" s="2138"/>
      <c r="G283" s="2145"/>
      <c r="H283" s="2137"/>
      <c r="I283" s="2138"/>
      <c r="J283" s="5152"/>
      <c r="K283" s="5088"/>
      <c r="L283" s="5085"/>
      <c r="M283" s="5085"/>
      <c r="N283" s="5085"/>
      <c r="O283" s="5085"/>
      <c r="P283" s="5085"/>
      <c r="Q283" s="5088"/>
      <c r="R283" s="5119"/>
      <c r="S283" s="5102"/>
      <c r="T283" s="5088"/>
      <c r="U283" s="5088"/>
      <c r="V283" s="5171"/>
      <c r="W283" s="2203">
        <f>5915987+20000000</f>
        <v>25915987</v>
      </c>
      <c r="X283" s="2203">
        <v>14309000</v>
      </c>
      <c r="Y283" s="2203">
        <v>0</v>
      </c>
      <c r="Z283" s="2143">
        <v>98</v>
      </c>
      <c r="AA283" s="5085"/>
      <c r="AB283" s="5085"/>
      <c r="AC283" s="5085"/>
      <c r="AD283" s="5085"/>
      <c r="AE283" s="5085"/>
      <c r="AF283" s="5085"/>
      <c r="AG283" s="5085"/>
      <c r="AH283" s="5085"/>
      <c r="AI283" s="5085"/>
      <c r="AJ283" s="5085"/>
      <c r="AK283" s="5085"/>
      <c r="AL283" s="5085"/>
      <c r="AM283" s="5085"/>
      <c r="AN283" s="5085"/>
      <c r="AO283" s="5085"/>
      <c r="AP283" s="5085"/>
      <c r="AQ283" s="5085"/>
      <c r="AR283" s="5085"/>
      <c r="AS283" s="5085"/>
      <c r="AT283" s="5085"/>
      <c r="AU283" s="5085"/>
      <c r="AV283" s="5085"/>
      <c r="AW283" s="5085"/>
      <c r="AX283" s="5085"/>
      <c r="AY283" s="5085"/>
      <c r="AZ283" s="5085"/>
      <c r="BA283" s="5085"/>
      <c r="BB283" s="5085"/>
      <c r="BC283" s="5085"/>
      <c r="BD283" s="5085"/>
      <c r="BE283" s="5085"/>
      <c r="BF283" s="5085"/>
      <c r="BG283" s="5085"/>
      <c r="BH283" s="5095"/>
      <c r="BI283" s="3822"/>
      <c r="BJ283" s="3822"/>
      <c r="BK283" s="5092"/>
      <c r="BL283" s="5095"/>
      <c r="BM283" s="5095"/>
      <c r="BN283" s="5079"/>
      <c r="BO283" s="5079"/>
      <c r="BP283" s="5079"/>
      <c r="BQ283" s="5079"/>
      <c r="BR283" s="5082"/>
      <c r="BS283" s="2111"/>
      <c r="BT283" s="2111"/>
      <c r="BU283" s="2111"/>
      <c r="BV283" s="2111"/>
      <c r="BW283" s="2111"/>
      <c r="BX283" s="2111"/>
      <c r="BY283" s="2111"/>
      <c r="BZ283" s="2111"/>
      <c r="CA283" s="2111"/>
      <c r="CB283" s="2111"/>
      <c r="CC283" s="2111"/>
      <c r="CD283" s="2111"/>
      <c r="CE283" s="2111"/>
      <c r="CF283" s="2111"/>
      <c r="CG283" s="2111"/>
      <c r="CH283" s="2111"/>
      <c r="CI283" s="2111"/>
      <c r="CJ283" s="2111"/>
      <c r="CK283" s="2111"/>
      <c r="CL283" s="2111"/>
      <c r="CM283" s="2111"/>
      <c r="CN283" s="2111"/>
      <c r="CO283" s="2111"/>
      <c r="CP283" s="2111"/>
      <c r="CQ283" s="2111"/>
      <c r="CR283" s="2111"/>
      <c r="CS283" s="2111"/>
      <c r="CT283" s="2111"/>
      <c r="CU283" s="2111"/>
      <c r="CV283" s="2111"/>
      <c r="CW283" s="2111"/>
      <c r="CX283" s="2111"/>
      <c r="CY283" s="2111"/>
      <c r="CZ283" s="2111"/>
      <c r="DA283" s="2111"/>
      <c r="DB283" s="2111"/>
      <c r="DC283" s="2111"/>
      <c r="DD283" s="2111"/>
      <c r="DE283" s="2111"/>
      <c r="DF283" s="2111"/>
      <c r="DG283" s="2111"/>
      <c r="DH283" s="2111"/>
      <c r="DI283" s="2111"/>
      <c r="DJ283" s="2111"/>
      <c r="DK283" s="2111"/>
      <c r="DL283" s="2111"/>
      <c r="DM283" s="2111"/>
      <c r="DN283" s="2111"/>
      <c r="DO283" s="2111"/>
      <c r="DP283" s="2111"/>
      <c r="DQ283" s="2111"/>
      <c r="DR283" s="2111"/>
      <c r="DS283" s="2111"/>
      <c r="DT283" s="2111"/>
      <c r="DU283" s="2111"/>
      <c r="DV283" s="2111"/>
      <c r="DW283" s="2111"/>
      <c r="DX283" s="2111"/>
      <c r="DY283" s="2111"/>
      <c r="DZ283" s="2111"/>
      <c r="EA283" s="2111"/>
      <c r="EB283" s="2111"/>
      <c r="EC283" s="2111"/>
      <c r="ED283" s="2111"/>
      <c r="EE283" s="2111"/>
      <c r="EF283" s="2111"/>
      <c r="EG283" s="2111"/>
      <c r="EH283" s="2111"/>
      <c r="EI283" s="2111"/>
      <c r="EJ283" s="2111"/>
      <c r="EK283" s="2111"/>
      <c r="EL283" s="2111"/>
      <c r="EM283" s="2111"/>
      <c r="EN283" s="2111"/>
      <c r="EO283" s="2111"/>
      <c r="EP283" s="2111"/>
      <c r="EQ283" s="2111"/>
      <c r="ER283" s="2111"/>
      <c r="ES283" s="2111"/>
      <c r="ET283" s="2111"/>
      <c r="EU283" s="2111"/>
      <c r="EV283" s="2111"/>
      <c r="EW283" s="2111"/>
      <c r="EX283" s="2111"/>
      <c r="EY283" s="2111"/>
      <c r="EZ283" s="2111"/>
      <c r="FA283" s="2111"/>
      <c r="FB283" s="2111"/>
      <c r="FC283" s="2111"/>
      <c r="FD283" s="2111"/>
      <c r="FE283" s="2111"/>
      <c r="FF283" s="2111"/>
      <c r="FG283" s="2111"/>
      <c r="FH283" s="2111"/>
      <c r="FI283" s="2111"/>
      <c r="FJ283" s="2111"/>
      <c r="FK283" s="2111"/>
      <c r="FL283" s="2111"/>
      <c r="FM283" s="2111"/>
      <c r="FN283" s="2111"/>
      <c r="FO283" s="2111"/>
      <c r="FP283" s="2111"/>
      <c r="FQ283" s="2111"/>
      <c r="FR283" s="2111"/>
      <c r="FS283" s="2111"/>
      <c r="FT283" s="2111"/>
      <c r="FU283" s="2111"/>
      <c r="FV283" s="2111"/>
      <c r="FW283" s="2111"/>
      <c r="FX283" s="2111"/>
      <c r="FY283" s="2111"/>
      <c r="FZ283" s="2111"/>
      <c r="GA283" s="2111"/>
      <c r="GB283" s="2111"/>
      <c r="GC283" s="2111"/>
      <c r="GD283" s="2111"/>
      <c r="GE283" s="2111"/>
      <c r="GF283" s="2111"/>
      <c r="GG283" s="2111"/>
      <c r="GH283" s="2111"/>
      <c r="GI283" s="2111"/>
      <c r="GJ283" s="2111"/>
      <c r="GK283" s="2111"/>
      <c r="GL283" s="2111"/>
      <c r="GM283" s="2111"/>
      <c r="GN283" s="2111"/>
      <c r="GO283" s="2111"/>
      <c r="GP283" s="2111"/>
      <c r="GQ283" s="2111"/>
      <c r="GR283" s="2111"/>
      <c r="GS283" s="2111"/>
      <c r="GT283" s="2111"/>
      <c r="GU283" s="2111"/>
      <c r="GV283" s="2111"/>
      <c r="GW283" s="2111"/>
      <c r="GX283" s="2111"/>
      <c r="GY283" s="2111"/>
      <c r="GZ283" s="2111"/>
      <c r="HA283" s="2111"/>
      <c r="HB283" s="2111"/>
      <c r="HC283" s="2111"/>
      <c r="HD283" s="2111"/>
      <c r="HE283" s="2111"/>
      <c r="HF283" s="2111"/>
      <c r="HG283" s="2111"/>
      <c r="HH283" s="2111"/>
      <c r="HI283" s="2111"/>
      <c r="HJ283" s="2111"/>
      <c r="HK283" s="2111"/>
      <c r="HL283" s="2111"/>
      <c r="HM283" s="2111"/>
      <c r="HN283" s="2111"/>
      <c r="HO283" s="2111"/>
      <c r="HP283" s="2111"/>
      <c r="HQ283" s="2111"/>
      <c r="HR283" s="2111"/>
      <c r="HS283" s="2111"/>
      <c r="HT283" s="2111"/>
      <c r="HU283" s="2111"/>
      <c r="HV283" s="2111"/>
      <c r="HW283" s="2111"/>
      <c r="HX283" s="2111"/>
      <c r="HY283" s="2111"/>
      <c r="HZ283" s="2111"/>
      <c r="IA283" s="2111"/>
      <c r="IB283" s="2111"/>
      <c r="IC283" s="2111"/>
      <c r="ID283" s="2111"/>
      <c r="IE283" s="2111"/>
      <c r="IF283" s="2111"/>
      <c r="IG283" s="2111"/>
      <c r="IH283" s="2111"/>
      <c r="II283" s="2111"/>
      <c r="IJ283" s="2111"/>
      <c r="IK283" s="2111"/>
      <c r="IL283" s="2111"/>
      <c r="IM283" s="2111"/>
      <c r="IN283" s="2111"/>
      <c r="IO283" s="2111"/>
      <c r="IP283" s="2111"/>
      <c r="IQ283" s="2111"/>
      <c r="IR283" s="2111"/>
      <c r="IS283" s="2111"/>
      <c r="IT283" s="2111"/>
      <c r="IU283" s="2111"/>
      <c r="IV283" s="2111"/>
      <c r="IW283" s="2111"/>
      <c r="IX283" s="2111"/>
      <c r="IY283" s="2111"/>
      <c r="IZ283" s="2111"/>
      <c r="JA283" s="2111"/>
      <c r="JB283" s="2111"/>
      <c r="JC283" s="2111"/>
      <c r="JD283" s="2111"/>
      <c r="JE283" s="2111"/>
      <c r="JF283" s="2111"/>
      <c r="JG283" s="2111"/>
      <c r="JH283" s="2111"/>
      <c r="JI283" s="2111"/>
      <c r="JJ283" s="2111"/>
      <c r="JK283" s="2111"/>
      <c r="JL283" s="2111"/>
      <c r="JM283" s="2111"/>
      <c r="JN283" s="2111"/>
      <c r="JO283" s="2111"/>
      <c r="JP283" s="2111"/>
      <c r="JQ283" s="2111"/>
      <c r="JR283" s="2111"/>
      <c r="JS283" s="2111"/>
      <c r="JT283" s="2111"/>
      <c r="JU283" s="2111"/>
      <c r="JV283" s="2111"/>
      <c r="JW283" s="2111"/>
      <c r="JX283" s="2111"/>
      <c r="JY283" s="2111"/>
      <c r="JZ283" s="2111"/>
      <c r="KA283" s="2111"/>
      <c r="KB283" s="2111"/>
      <c r="KC283" s="2111"/>
      <c r="KD283" s="2111"/>
      <c r="KE283" s="2111"/>
      <c r="KF283" s="2111"/>
      <c r="KG283" s="2111"/>
      <c r="KH283" s="2111"/>
      <c r="KI283" s="2111"/>
      <c r="KJ283" s="2111"/>
      <c r="KK283" s="2111"/>
      <c r="KL283" s="2111"/>
      <c r="KM283" s="2111"/>
      <c r="KN283" s="2111"/>
      <c r="KO283" s="2111"/>
      <c r="KP283" s="2111"/>
      <c r="KQ283" s="2111"/>
      <c r="KR283" s="2111"/>
      <c r="KS283" s="2111"/>
      <c r="KT283" s="2111"/>
      <c r="KU283" s="2111"/>
      <c r="KV283" s="2111"/>
      <c r="KW283" s="2111"/>
      <c r="KX283" s="2111"/>
      <c r="KY283" s="2111"/>
      <c r="KZ283" s="2111"/>
      <c r="LA283" s="2111"/>
      <c r="LB283" s="2111"/>
      <c r="LC283" s="2111"/>
      <c r="LD283" s="2111"/>
      <c r="LE283" s="2111"/>
      <c r="LF283" s="2111"/>
      <c r="LG283" s="2111"/>
      <c r="LH283" s="2111"/>
      <c r="LI283" s="2111"/>
      <c r="LJ283" s="2111"/>
      <c r="LK283" s="2111"/>
      <c r="LL283" s="2111"/>
    </row>
    <row r="284" spans="1:324" s="2177" customFormat="1" ht="49.5" customHeight="1" x14ac:dyDescent="0.2">
      <c r="A284" s="2136"/>
      <c r="B284" s="2137"/>
      <c r="C284" s="2138"/>
      <c r="D284" s="2137"/>
      <c r="E284" s="2137"/>
      <c r="F284" s="2138"/>
      <c r="G284" s="2145"/>
      <c r="H284" s="2137"/>
      <c r="I284" s="2138"/>
      <c r="J284" s="5152"/>
      <c r="K284" s="5088"/>
      <c r="L284" s="5085"/>
      <c r="M284" s="5085"/>
      <c r="N284" s="5085"/>
      <c r="O284" s="5085"/>
      <c r="P284" s="5085"/>
      <c r="Q284" s="5088"/>
      <c r="R284" s="5119"/>
      <c r="S284" s="5102"/>
      <c r="T284" s="5088"/>
      <c r="U284" s="5088"/>
      <c r="V284" s="2194" t="s">
        <v>1933</v>
      </c>
      <c r="W284" s="2203">
        <f>10000000+18924714</f>
        <v>28924714</v>
      </c>
      <c r="X284" s="2203">
        <f>10000000+18924714</f>
        <v>28924714</v>
      </c>
      <c r="Y284" s="2203">
        <f>10000000+18924714</f>
        <v>28924714</v>
      </c>
      <c r="Z284" s="2143">
        <v>61</v>
      </c>
      <c r="AA284" s="5085"/>
      <c r="AB284" s="5085"/>
      <c r="AC284" s="5085"/>
      <c r="AD284" s="5085"/>
      <c r="AE284" s="5085"/>
      <c r="AF284" s="5085"/>
      <c r="AG284" s="5085"/>
      <c r="AH284" s="5085"/>
      <c r="AI284" s="5085"/>
      <c r="AJ284" s="5085"/>
      <c r="AK284" s="5085"/>
      <c r="AL284" s="5085"/>
      <c r="AM284" s="5085"/>
      <c r="AN284" s="5085"/>
      <c r="AO284" s="5085"/>
      <c r="AP284" s="5085"/>
      <c r="AQ284" s="5085"/>
      <c r="AR284" s="5085"/>
      <c r="AS284" s="5085"/>
      <c r="AT284" s="5085"/>
      <c r="AU284" s="5085"/>
      <c r="AV284" s="5085"/>
      <c r="AW284" s="5085"/>
      <c r="AX284" s="5085"/>
      <c r="AY284" s="5085"/>
      <c r="AZ284" s="5085"/>
      <c r="BA284" s="5085"/>
      <c r="BB284" s="5085"/>
      <c r="BC284" s="5085"/>
      <c r="BD284" s="5085"/>
      <c r="BE284" s="5085"/>
      <c r="BF284" s="5085"/>
      <c r="BG284" s="5085"/>
      <c r="BH284" s="5095"/>
      <c r="BI284" s="3822"/>
      <c r="BJ284" s="3822"/>
      <c r="BK284" s="5092"/>
      <c r="BL284" s="5095"/>
      <c r="BM284" s="5095"/>
      <c r="BN284" s="5079"/>
      <c r="BO284" s="5079"/>
      <c r="BP284" s="5079"/>
      <c r="BQ284" s="5079"/>
      <c r="BR284" s="5082"/>
      <c r="BS284" s="2111"/>
      <c r="BT284" s="2111"/>
      <c r="BU284" s="2111"/>
      <c r="BV284" s="2111"/>
      <c r="BW284" s="2111"/>
      <c r="BX284" s="2111"/>
      <c r="BY284" s="2111"/>
      <c r="BZ284" s="2111"/>
      <c r="CA284" s="2111"/>
      <c r="CB284" s="2111"/>
      <c r="CC284" s="2111"/>
      <c r="CD284" s="2111"/>
      <c r="CE284" s="2111"/>
      <c r="CF284" s="2111"/>
      <c r="CG284" s="2111"/>
      <c r="CH284" s="2111"/>
      <c r="CI284" s="2111"/>
      <c r="CJ284" s="2111"/>
      <c r="CK284" s="2111"/>
      <c r="CL284" s="2111"/>
      <c r="CM284" s="2111"/>
      <c r="CN284" s="2111"/>
      <c r="CO284" s="2111"/>
      <c r="CP284" s="2111"/>
      <c r="CQ284" s="2111"/>
      <c r="CR284" s="2111"/>
      <c r="CS284" s="2111"/>
      <c r="CT284" s="2111"/>
      <c r="CU284" s="2111"/>
      <c r="CV284" s="2111"/>
      <c r="CW284" s="2111"/>
      <c r="CX284" s="2111"/>
      <c r="CY284" s="2111"/>
      <c r="CZ284" s="2111"/>
      <c r="DA284" s="2111"/>
      <c r="DB284" s="2111"/>
      <c r="DC284" s="2111"/>
      <c r="DD284" s="2111"/>
      <c r="DE284" s="2111"/>
      <c r="DF284" s="2111"/>
      <c r="DG284" s="2111"/>
      <c r="DH284" s="2111"/>
      <c r="DI284" s="2111"/>
      <c r="DJ284" s="2111"/>
      <c r="DK284" s="2111"/>
      <c r="DL284" s="2111"/>
      <c r="DM284" s="2111"/>
      <c r="DN284" s="2111"/>
      <c r="DO284" s="2111"/>
      <c r="DP284" s="2111"/>
      <c r="DQ284" s="2111"/>
      <c r="DR284" s="2111"/>
      <c r="DS284" s="2111"/>
      <c r="DT284" s="2111"/>
      <c r="DU284" s="2111"/>
      <c r="DV284" s="2111"/>
      <c r="DW284" s="2111"/>
      <c r="DX284" s="2111"/>
      <c r="DY284" s="2111"/>
      <c r="DZ284" s="2111"/>
      <c r="EA284" s="2111"/>
      <c r="EB284" s="2111"/>
      <c r="EC284" s="2111"/>
      <c r="ED284" s="2111"/>
      <c r="EE284" s="2111"/>
      <c r="EF284" s="2111"/>
      <c r="EG284" s="2111"/>
      <c r="EH284" s="2111"/>
      <c r="EI284" s="2111"/>
      <c r="EJ284" s="2111"/>
      <c r="EK284" s="2111"/>
      <c r="EL284" s="2111"/>
      <c r="EM284" s="2111"/>
      <c r="EN284" s="2111"/>
      <c r="EO284" s="2111"/>
      <c r="EP284" s="2111"/>
      <c r="EQ284" s="2111"/>
      <c r="ER284" s="2111"/>
      <c r="ES284" s="2111"/>
      <c r="ET284" s="2111"/>
      <c r="EU284" s="2111"/>
      <c r="EV284" s="2111"/>
      <c r="EW284" s="2111"/>
      <c r="EX284" s="2111"/>
      <c r="EY284" s="2111"/>
      <c r="EZ284" s="2111"/>
      <c r="FA284" s="2111"/>
      <c r="FB284" s="2111"/>
      <c r="FC284" s="2111"/>
      <c r="FD284" s="2111"/>
      <c r="FE284" s="2111"/>
      <c r="FF284" s="2111"/>
      <c r="FG284" s="2111"/>
      <c r="FH284" s="2111"/>
      <c r="FI284" s="2111"/>
      <c r="FJ284" s="2111"/>
      <c r="FK284" s="2111"/>
      <c r="FL284" s="2111"/>
      <c r="FM284" s="2111"/>
      <c r="FN284" s="2111"/>
      <c r="FO284" s="2111"/>
      <c r="FP284" s="2111"/>
      <c r="FQ284" s="2111"/>
      <c r="FR284" s="2111"/>
      <c r="FS284" s="2111"/>
      <c r="FT284" s="2111"/>
      <c r="FU284" s="2111"/>
      <c r="FV284" s="2111"/>
      <c r="FW284" s="2111"/>
      <c r="FX284" s="2111"/>
      <c r="FY284" s="2111"/>
      <c r="FZ284" s="2111"/>
      <c r="GA284" s="2111"/>
      <c r="GB284" s="2111"/>
      <c r="GC284" s="2111"/>
      <c r="GD284" s="2111"/>
      <c r="GE284" s="2111"/>
      <c r="GF284" s="2111"/>
      <c r="GG284" s="2111"/>
      <c r="GH284" s="2111"/>
      <c r="GI284" s="2111"/>
      <c r="GJ284" s="2111"/>
      <c r="GK284" s="2111"/>
      <c r="GL284" s="2111"/>
      <c r="GM284" s="2111"/>
      <c r="GN284" s="2111"/>
      <c r="GO284" s="2111"/>
      <c r="GP284" s="2111"/>
      <c r="GQ284" s="2111"/>
      <c r="GR284" s="2111"/>
      <c r="GS284" s="2111"/>
      <c r="GT284" s="2111"/>
      <c r="GU284" s="2111"/>
      <c r="GV284" s="2111"/>
      <c r="GW284" s="2111"/>
      <c r="GX284" s="2111"/>
      <c r="GY284" s="2111"/>
      <c r="GZ284" s="2111"/>
      <c r="HA284" s="2111"/>
      <c r="HB284" s="2111"/>
      <c r="HC284" s="2111"/>
      <c r="HD284" s="2111"/>
      <c r="HE284" s="2111"/>
      <c r="HF284" s="2111"/>
      <c r="HG284" s="2111"/>
      <c r="HH284" s="2111"/>
      <c r="HI284" s="2111"/>
      <c r="HJ284" s="2111"/>
      <c r="HK284" s="2111"/>
      <c r="HL284" s="2111"/>
      <c r="HM284" s="2111"/>
      <c r="HN284" s="2111"/>
      <c r="HO284" s="2111"/>
      <c r="HP284" s="2111"/>
      <c r="HQ284" s="2111"/>
      <c r="HR284" s="2111"/>
      <c r="HS284" s="2111"/>
      <c r="HT284" s="2111"/>
      <c r="HU284" s="2111"/>
      <c r="HV284" s="2111"/>
      <c r="HW284" s="2111"/>
      <c r="HX284" s="2111"/>
      <c r="HY284" s="2111"/>
      <c r="HZ284" s="2111"/>
      <c r="IA284" s="2111"/>
      <c r="IB284" s="2111"/>
      <c r="IC284" s="2111"/>
      <c r="ID284" s="2111"/>
      <c r="IE284" s="2111"/>
      <c r="IF284" s="2111"/>
      <c r="IG284" s="2111"/>
      <c r="IH284" s="2111"/>
      <c r="II284" s="2111"/>
      <c r="IJ284" s="2111"/>
      <c r="IK284" s="2111"/>
      <c r="IL284" s="2111"/>
      <c r="IM284" s="2111"/>
      <c r="IN284" s="2111"/>
      <c r="IO284" s="2111"/>
      <c r="IP284" s="2111"/>
      <c r="IQ284" s="2111"/>
      <c r="IR284" s="2111"/>
      <c r="IS284" s="2111"/>
      <c r="IT284" s="2111"/>
      <c r="IU284" s="2111"/>
      <c r="IV284" s="2111"/>
      <c r="IW284" s="2111"/>
      <c r="IX284" s="2111"/>
      <c r="IY284" s="2111"/>
      <c r="IZ284" s="2111"/>
      <c r="JA284" s="2111"/>
      <c r="JB284" s="2111"/>
      <c r="JC284" s="2111"/>
      <c r="JD284" s="2111"/>
      <c r="JE284" s="2111"/>
      <c r="JF284" s="2111"/>
      <c r="JG284" s="2111"/>
      <c r="JH284" s="2111"/>
      <c r="JI284" s="2111"/>
      <c r="JJ284" s="2111"/>
      <c r="JK284" s="2111"/>
      <c r="JL284" s="2111"/>
      <c r="JM284" s="2111"/>
      <c r="JN284" s="2111"/>
      <c r="JO284" s="2111"/>
      <c r="JP284" s="2111"/>
      <c r="JQ284" s="2111"/>
      <c r="JR284" s="2111"/>
      <c r="JS284" s="2111"/>
      <c r="JT284" s="2111"/>
      <c r="JU284" s="2111"/>
      <c r="JV284" s="2111"/>
      <c r="JW284" s="2111"/>
      <c r="JX284" s="2111"/>
      <c r="JY284" s="2111"/>
      <c r="JZ284" s="2111"/>
      <c r="KA284" s="2111"/>
      <c r="KB284" s="2111"/>
      <c r="KC284" s="2111"/>
      <c r="KD284" s="2111"/>
      <c r="KE284" s="2111"/>
      <c r="KF284" s="2111"/>
      <c r="KG284" s="2111"/>
      <c r="KH284" s="2111"/>
      <c r="KI284" s="2111"/>
      <c r="KJ284" s="2111"/>
      <c r="KK284" s="2111"/>
      <c r="KL284" s="2111"/>
      <c r="KM284" s="2111"/>
      <c r="KN284" s="2111"/>
      <c r="KO284" s="2111"/>
      <c r="KP284" s="2111"/>
      <c r="KQ284" s="2111"/>
      <c r="KR284" s="2111"/>
      <c r="KS284" s="2111"/>
      <c r="KT284" s="2111"/>
      <c r="KU284" s="2111"/>
      <c r="KV284" s="2111"/>
      <c r="KW284" s="2111"/>
      <c r="KX284" s="2111"/>
      <c r="KY284" s="2111"/>
      <c r="KZ284" s="2111"/>
      <c r="LA284" s="2111"/>
      <c r="LB284" s="2111"/>
      <c r="LC284" s="2111"/>
      <c r="LD284" s="2111"/>
      <c r="LE284" s="2111"/>
      <c r="LF284" s="2111"/>
      <c r="LG284" s="2111"/>
      <c r="LH284" s="2111"/>
      <c r="LI284" s="2111"/>
      <c r="LJ284" s="2111"/>
      <c r="LK284" s="2111"/>
      <c r="LL284" s="2111"/>
    </row>
    <row r="285" spans="1:324" s="2177" customFormat="1" ht="80.25" customHeight="1" x14ac:dyDescent="0.2">
      <c r="A285" s="2136"/>
      <c r="B285" s="2137"/>
      <c r="C285" s="2138"/>
      <c r="D285" s="2147"/>
      <c r="E285" s="2147"/>
      <c r="F285" s="2148"/>
      <c r="G285" s="2149"/>
      <c r="H285" s="2147"/>
      <c r="I285" s="2148"/>
      <c r="J285" s="5152"/>
      <c r="K285" s="5088"/>
      <c r="L285" s="5085"/>
      <c r="M285" s="5085"/>
      <c r="N285" s="5085"/>
      <c r="O285" s="5085"/>
      <c r="P285" s="5085"/>
      <c r="Q285" s="5088"/>
      <c r="R285" s="5119"/>
      <c r="S285" s="5102"/>
      <c r="T285" s="5088"/>
      <c r="U285" s="5088"/>
      <c r="V285" s="2194" t="s">
        <v>1934</v>
      </c>
      <c r="W285" s="2203">
        <v>30000000</v>
      </c>
      <c r="X285" s="2203">
        <v>30000000</v>
      </c>
      <c r="Y285" s="2203">
        <v>30000000</v>
      </c>
      <c r="Z285" s="2143">
        <v>61</v>
      </c>
      <c r="AA285" s="5086"/>
      <c r="AB285" s="5085"/>
      <c r="AC285" s="5085"/>
      <c r="AD285" s="5085"/>
      <c r="AE285" s="5085"/>
      <c r="AF285" s="5085"/>
      <c r="AG285" s="5085"/>
      <c r="AH285" s="5085"/>
      <c r="AI285" s="5085"/>
      <c r="AJ285" s="5085"/>
      <c r="AK285" s="5085"/>
      <c r="AL285" s="5085"/>
      <c r="AM285" s="5085"/>
      <c r="AN285" s="5085"/>
      <c r="AO285" s="5085"/>
      <c r="AP285" s="5085"/>
      <c r="AQ285" s="5085"/>
      <c r="AR285" s="5085"/>
      <c r="AS285" s="5085"/>
      <c r="AT285" s="5085"/>
      <c r="AU285" s="5085"/>
      <c r="AV285" s="5085"/>
      <c r="AW285" s="5085"/>
      <c r="AX285" s="5085"/>
      <c r="AY285" s="5085"/>
      <c r="AZ285" s="5085"/>
      <c r="BA285" s="5085"/>
      <c r="BB285" s="5085"/>
      <c r="BC285" s="5085"/>
      <c r="BD285" s="5085"/>
      <c r="BE285" s="5085"/>
      <c r="BF285" s="5085"/>
      <c r="BG285" s="5085"/>
      <c r="BH285" s="5095"/>
      <c r="BI285" s="3822"/>
      <c r="BJ285" s="3822"/>
      <c r="BK285" s="5092"/>
      <c r="BL285" s="5095"/>
      <c r="BM285" s="5095"/>
      <c r="BN285" s="5079"/>
      <c r="BO285" s="5079"/>
      <c r="BP285" s="5079"/>
      <c r="BQ285" s="5079"/>
      <c r="BR285" s="5082"/>
      <c r="BS285" s="2111"/>
      <c r="BT285" s="2111"/>
      <c r="BU285" s="2111"/>
      <c r="BV285" s="2111"/>
      <c r="BW285" s="2111"/>
      <c r="BX285" s="2111"/>
      <c r="BY285" s="2111"/>
      <c r="BZ285" s="2111"/>
      <c r="CA285" s="2111"/>
      <c r="CB285" s="2111"/>
      <c r="CC285" s="2111"/>
      <c r="CD285" s="2111"/>
      <c r="CE285" s="2111"/>
      <c r="CF285" s="2111"/>
      <c r="CG285" s="2111"/>
      <c r="CH285" s="2111"/>
      <c r="CI285" s="2111"/>
      <c r="CJ285" s="2111"/>
      <c r="CK285" s="2111"/>
      <c r="CL285" s="2111"/>
      <c r="CM285" s="2111"/>
      <c r="CN285" s="2111"/>
      <c r="CO285" s="2111"/>
      <c r="CP285" s="2111"/>
      <c r="CQ285" s="2111"/>
      <c r="CR285" s="2111"/>
      <c r="CS285" s="2111"/>
      <c r="CT285" s="2111"/>
      <c r="CU285" s="2111"/>
      <c r="CV285" s="2111"/>
      <c r="CW285" s="2111"/>
      <c r="CX285" s="2111"/>
      <c r="CY285" s="2111"/>
      <c r="CZ285" s="2111"/>
      <c r="DA285" s="2111"/>
      <c r="DB285" s="2111"/>
      <c r="DC285" s="2111"/>
      <c r="DD285" s="2111"/>
      <c r="DE285" s="2111"/>
      <c r="DF285" s="2111"/>
      <c r="DG285" s="2111"/>
      <c r="DH285" s="2111"/>
      <c r="DI285" s="2111"/>
      <c r="DJ285" s="2111"/>
      <c r="DK285" s="2111"/>
      <c r="DL285" s="2111"/>
      <c r="DM285" s="2111"/>
      <c r="DN285" s="2111"/>
      <c r="DO285" s="2111"/>
      <c r="DP285" s="2111"/>
      <c r="DQ285" s="2111"/>
      <c r="DR285" s="2111"/>
      <c r="DS285" s="2111"/>
      <c r="DT285" s="2111"/>
      <c r="DU285" s="2111"/>
      <c r="DV285" s="2111"/>
      <c r="DW285" s="2111"/>
      <c r="DX285" s="2111"/>
      <c r="DY285" s="2111"/>
      <c r="DZ285" s="2111"/>
      <c r="EA285" s="2111"/>
      <c r="EB285" s="2111"/>
      <c r="EC285" s="2111"/>
      <c r="ED285" s="2111"/>
      <c r="EE285" s="2111"/>
      <c r="EF285" s="2111"/>
      <c r="EG285" s="2111"/>
      <c r="EH285" s="2111"/>
      <c r="EI285" s="2111"/>
      <c r="EJ285" s="2111"/>
      <c r="EK285" s="2111"/>
      <c r="EL285" s="2111"/>
      <c r="EM285" s="2111"/>
      <c r="EN285" s="2111"/>
      <c r="EO285" s="2111"/>
      <c r="EP285" s="2111"/>
      <c r="EQ285" s="2111"/>
      <c r="ER285" s="2111"/>
      <c r="ES285" s="2111"/>
      <c r="ET285" s="2111"/>
      <c r="EU285" s="2111"/>
      <c r="EV285" s="2111"/>
      <c r="EW285" s="2111"/>
      <c r="EX285" s="2111"/>
      <c r="EY285" s="2111"/>
      <c r="EZ285" s="2111"/>
      <c r="FA285" s="2111"/>
      <c r="FB285" s="2111"/>
      <c r="FC285" s="2111"/>
      <c r="FD285" s="2111"/>
      <c r="FE285" s="2111"/>
      <c r="FF285" s="2111"/>
      <c r="FG285" s="2111"/>
      <c r="FH285" s="2111"/>
      <c r="FI285" s="2111"/>
      <c r="FJ285" s="2111"/>
      <c r="FK285" s="2111"/>
      <c r="FL285" s="2111"/>
      <c r="FM285" s="2111"/>
      <c r="FN285" s="2111"/>
      <c r="FO285" s="2111"/>
      <c r="FP285" s="2111"/>
      <c r="FQ285" s="2111"/>
      <c r="FR285" s="2111"/>
      <c r="FS285" s="2111"/>
      <c r="FT285" s="2111"/>
      <c r="FU285" s="2111"/>
      <c r="FV285" s="2111"/>
      <c r="FW285" s="2111"/>
      <c r="FX285" s="2111"/>
      <c r="FY285" s="2111"/>
      <c r="FZ285" s="2111"/>
      <c r="GA285" s="2111"/>
      <c r="GB285" s="2111"/>
      <c r="GC285" s="2111"/>
      <c r="GD285" s="2111"/>
      <c r="GE285" s="2111"/>
      <c r="GF285" s="2111"/>
      <c r="GG285" s="2111"/>
      <c r="GH285" s="2111"/>
      <c r="GI285" s="2111"/>
      <c r="GJ285" s="2111"/>
      <c r="GK285" s="2111"/>
      <c r="GL285" s="2111"/>
      <c r="GM285" s="2111"/>
      <c r="GN285" s="2111"/>
      <c r="GO285" s="2111"/>
      <c r="GP285" s="2111"/>
      <c r="GQ285" s="2111"/>
      <c r="GR285" s="2111"/>
      <c r="GS285" s="2111"/>
      <c r="GT285" s="2111"/>
      <c r="GU285" s="2111"/>
      <c r="GV285" s="2111"/>
      <c r="GW285" s="2111"/>
      <c r="GX285" s="2111"/>
      <c r="GY285" s="2111"/>
      <c r="GZ285" s="2111"/>
      <c r="HA285" s="2111"/>
      <c r="HB285" s="2111"/>
      <c r="HC285" s="2111"/>
      <c r="HD285" s="2111"/>
      <c r="HE285" s="2111"/>
      <c r="HF285" s="2111"/>
      <c r="HG285" s="2111"/>
      <c r="HH285" s="2111"/>
      <c r="HI285" s="2111"/>
      <c r="HJ285" s="2111"/>
      <c r="HK285" s="2111"/>
      <c r="HL285" s="2111"/>
      <c r="HM285" s="2111"/>
      <c r="HN285" s="2111"/>
      <c r="HO285" s="2111"/>
      <c r="HP285" s="2111"/>
      <c r="HQ285" s="2111"/>
      <c r="HR285" s="2111"/>
      <c r="HS285" s="2111"/>
      <c r="HT285" s="2111"/>
      <c r="HU285" s="2111"/>
      <c r="HV285" s="2111"/>
      <c r="HW285" s="2111"/>
      <c r="HX285" s="2111"/>
      <c r="HY285" s="2111"/>
      <c r="HZ285" s="2111"/>
      <c r="IA285" s="2111"/>
      <c r="IB285" s="2111"/>
      <c r="IC285" s="2111"/>
      <c r="ID285" s="2111"/>
      <c r="IE285" s="2111"/>
      <c r="IF285" s="2111"/>
      <c r="IG285" s="2111"/>
      <c r="IH285" s="2111"/>
      <c r="II285" s="2111"/>
      <c r="IJ285" s="2111"/>
      <c r="IK285" s="2111"/>
      <c r="IL285" s="2111"/>
      <c r="IM285" s="2111"/>
      <c r="IN285" s="2111"/>
      <c r="IO285" s="2111"/>
      <c r="IP285" s="2111"/>
      <c r="IQ285" s="2111"/>
      <c r="IR285" s="2111"/>
      <c r="IS285" s="2111"/>
      <c r="IT285" s="2111"/>
      <c r="IU285" s="2111"/>
      <c r="IV285" s="2111"/>
      <c r="IW285" s="2111"/>
      <c r="IX285" s="2111"/>
      <c r="IY285" s="2111"/>
      <c r="IZ285" s="2111"/>
      <c r="JA285" s="2111"/>
      <c r="JB285" s="2111"/>
      <c r="JC285" s="2111"/>
      <c r="JD285" s="2111"/>
      <c r="JE285" s="2111"/>
      <c r="JF285" s="2111"/>
      <c r="JG285" s="2111"/>
      <c r="JH285" s="2111"/>
      <c r="JI285" s="2111"/>
      <c r="JJ285" s="2111"/>
      <c r="JK285" s="2111"/>
      <c r="JL285" s="2111"/>
      <c r="JM285" s="2111"/>
      <c r="JN285" s="2111"/>
      <c r="JO285" s="2111"/>
      <c r="JP285" s="2111"/>
      <c r="JQ285" s="2111"/>
      <c r="JR285" s="2111"/>
      <c r="JS285" s="2111"/>
      <c r="JT285" s="2111"/>
      <c r="JU285" s="2111"/>
      <c r="JV285" s="2111"/>
      <c r="JW285" s="2111"/>
      <c r="JX285" s="2111"/>
      <c r="JY285" s="2111"/>
      <c r="JZ285" s="2111"/>
      <c r="KA285" s="2111"/>
      <c r="KB285" s="2111"/>
      <c r="KC285" s="2111"/>
      <c r="KD285" s="2111"/>
      <c r="KE285" s="2111"/>
      <c r="KF285" s="2111"/>
      <c r="KG285" s="2111"/>
      <c r="KH285" s="2111"/>
      <c r="KI285" s="2111"/>
      <c r="KJ285" s="2111"/>
      <c r="KK285" s="2111"/>
      <c r="KL285" s="2111"/>
      <c r="KM285" s="2111"/>
      <c r="KN285" s="2111"/>
      <c r="KO285" s="2111"/>
      <c r="KP285" s="2111"/>
      <c r="KQ285" s="2111"/>
      <c r="KR285" s="2111"/>
      <c r="KS285" s="2111"/>
      <c r="KT285" s="2111"/>
      <c r="KU285" s="2111"/>
      <c r="KV285" s="2111"/>
      <c r="KW285" s="2111"/>
      <c r="KX285" s="2111"/>
      <c r="KY285" s="2111"/>
      <c r="KZ285" s="2111"/>
      <c r="LA285" s="2111"/>
      <c r="LB285" s="2111"/>
      <c r="LC285" s="2111"/>
      <c r="LD285" s="2111"/>
      <c r="LE285" s="2111"/>
      <c r="LF285" s="2111"/>
      <c r="LG285" s="2111"/>
      <c r="LH285" s="2111"/>
      <c r="LI285" s="2111"/>
      <c r="LJ285" s="2111"/>
      <c r="LK285" s="2111"/>
      <c r="LL285" s="2111"/>
    </row>
    <row r="286" spans="1:324" ht="15" x14ac:dyDescent="0.2">
      <c r="A286" s="2122"/>
      <c r="C286" s="2150"/>
      <c r="D286" s="2212">
        <v>13</v>
      </c>
      <c r="E286" s="2213" t="s">
        <v>1935</v>
      </c>
      <c r="F286" s="2213"/>
      <c r="G286" s="2214"/>
      <c r="H286" s="2214"/>
      <c r="I286" s="2214"/>
      <c r="J286" s="2214"/>
      <c r="K286" s="2215"/>
      <c r="L286" s="2214"/>
      <c r="M286" s="2214"/>
      <c r="N286" s="2214"/>
      <c r="O286" s="2216"/>
      <c r="P286" s="2214"/>
      <c r="Q286" s="2215"/>
      <c r="R286" s="2214"/>
      <c r="S286" s="2217"/>
      <c r="T286" s="2215"/>
      <c r="U286" s="2215"/>
      <c r="V286" s="2215"/>
      <c r="W286" s="2218"/>
      <c r="X286" s="2218"/>
      <c r="Y286" s="2218"/>
      <c r="Z286" s="2219"/>
      <c r="AA286" s="2220"/>
      <c r="AB286" s="2216"/>
      <c r="AC286" s="2216"/>
      <c r="AD286" s="2216"/>
      <c r="AE286" s="2216"/>
      <c r="AF286" s="2216"/>
      <c r="AG286" s="2216"/>
      <c r="AH286" s="2216"/>
      <c r="AI286" s="2216"/>
      <c r="AJ286" s="2216"/>
      <c r="AK286" s="2216"/>
      <c r="AL286" s="2216"/>
      <c r="AM286" s="2216"/>
      <c r="AN286" s="2216"/>
      <c r="AO286" s="2216"/>
      <c r="AP286" s="2216"/>
      <c r="AQ286" s="2216"/>
      <c r="AR286" s="2216"/>
      <c r="AS286" s="2216"/>
      <c r="AT286" s="2216"/>
      <c r="AU286" s="2216"/>
      <c r="AV286" s="2216"/>
      <c r="AW286" s="2216"/>
      <c r="AX286" s="2216"/>
      <c r="AY286" s="2216"/>
      <c r="AZ286" s="2216"/>
      <c r="BA286" s="2216"/>
      <c r="BB286" s="2216"/>
      <c r="BC286" s="2216"/>
      <c r="BD286" s="2216"/>
      <c r="BE286" s="2216"/>
      <c r="BF286" s="2216"/>
      <c r="BG286" s="2216"/>
      <c r="BH286" s="2216"/>
      <c r="BI286" s="2216"/>
      <c r="BJ286" s="2216"/>
      <c r="BK286" s="2216"/>
      <c r="BL286" s="2216"/>
      <c r="BM286" s="2216"/>
      <c r="BN286" s="2214"/>
      <c r="BO286" s="2214"/>
      <c r="BP286" s="2214"/>
      <c r="BQ286" s="2214"/>
      <c r="BR286" s="2221"/>
    </row>
    <row r="287" spans="1:324" ht="15" x14ac:dyDescent="0.2">
      <c r="A287" s="2122"/>
      <c r="B287" s="2123"/>
      <c r="C287" s="2124"/>
      <c r="D287" s="5172"/>
      <c r="E287" s="5173"/>
      <c r="F287" s="5173"/>
      <c r="G287" s="2158">
        <v>47</v>
      </c>
      <c r="H287" s="2128" t="s">
        <v>1936</v>
      </c>
      <c r="I287" s="2128"/>
      <c r="J287" s="2128"/>
      <c r="K287" s="2129"/>
      <c r="L287" s="2128"/>
      <c r="M287" s="2128"/>
      <c r="N287" s="2128"/>
      <c r="O287" s="2130"/>
      <c r="P287" s="2128"/>
      <c r="Q287" s="2129"/>
      <c r="R287" s="2128"/>
      <c r="S287" s="2159"/>
      <c r="T287" s="2129"/>
      <c r="U287" s="2129"/>
      <c r="V287" s="2129"/>
      <c r="W287" s="2204"/>
      <c r="X287" s="2204"/>
      <c r="Y287" s="2204"/>
      <c r="Z287" s="2200"/>
      <c r="AA287" s="2201"/>
      <c r="AB287" s="2130"/>
      <c r="AC287" s="2130"/>
      <c r="AD287" s="2130"/>
      <c r="AE287" s="2130"/>
      <c r="AF287" s="2130"/>
      <c r="AG287" s="2130"/>
      <c r="AH287" s="2130"/>
      <c r="AI287" s="2130"/>
      <c r="AJ287" s="2130"/>
      <c r="AK287" s="2130"/>
      <c r="AL287" s="2130"/>
      <c r="AM287" s="2130"/>
      <c r="AN287" s="2130"/>
      <c r="AO287" s="2130"/>
      <c r="AP287" s="2130"/>
      <c r="AQ287" s="2130"/>
      <c r="AR287" s="2130"/>
      <c r="AS287" s="2130"/>
      <c r="AT287" s="2130"/>
      <c r="AU287" s="2130"/>
      <c r="AV287" s="2130"/>
      <c r="AW287" s="2130"/>
      <c r="AX287" s="2130"/>
      <c r="AY287" s="2130"/>
      <c r="AZ287" s="2130"/>
      <c r="BA287" s="2130"/>
      <c r="BB287" s="2130"/>
      <c r="BC287" s="2130"/>
      <c r="BD287" s="2130"/>
      <c r="BE287" s="2130"/>
      <c r="BF287" s="2130"/>
      <c r="BG287" s="2130"/>
      <c r="BH287" s="2130"/>
      <c r="BI287" s="2130"/>
      <c r="BJ287" s="2130"/>
      <c r="BK287" s="2130"/>
      <c r="BL287" s="2130"/>
      <c r="BM287" s="2130"/>
      <c r="BN287" s="2128"/>
      <c r="BO287" s="2128"/>
      <c r="BP287" s="2128"/>
      <c r="BQ287" s="2128"/>
      <c r="BR287" s="2135"/>
    </row>
    <row r="288" spans="1:324" ht="48" customHeight="1" x14ac:dyDescent="0.2">
      <c r="A288" s="2122"/>
      <c r="B288" s="2123"/>
      <c r="C288" s="2124"/>
      <c r="D288" s="5174"/>
      <c r="E288" s="5175"/>
      <c r="F288" s="5175"/>
      <c r="G288" s="5151"/>
      <c r="H288" s="5151"/>
      <c r="I288" s="5151"/>
      <c r="J288" s="5152">
        <v>163</v>
      </c>
      <c r="K288" s="5178" t="s">
        <v>1937</v>
      </c>
      <c r="L288" s="5151" t="s">
        <v>1581</v>
      </c>
      <c r="M288" s="5151">
        <v>12</v>
      </c>
      <c r="N288" s="5151">
        <v>7</v>
      </c>
      <c r="O288" s="5180" t="s">
        <v>1938</v>
      </c>
      <c r="P288" s="5151" t="s">
        <v>1939</v>
      </c>
      <c r="Q288" s="5072" t="s">
        <v>1940</v>
      </c>
      <c r="R288" s="5167">
        <f>(W288+W289)/S288</f>
        <v>1.415969296187247E-3</v>
      </c>
      <c r="S288" s="5116">
        <f>SUM(W288:W298)</f>
        <v>21751884086</v>
      </c>
      <c r="T288" s="5168" t="s">
        <v>1941</v>
      </c>
      <c r="U288" s="5087" t="s">
        <v>1942</v>
      </c>
      <c r="V288" s="2222" t="s">
        <v>1943</v>
      </c>
      <c r="W288" s="2203">
        <v>15400000</v>
      </c>
      <c r="X288" s="2203">
        <v>15400000</v>
      </c>
      <c r="Y288" s="2203">
        <v>14270500</v>
      </c>
      <c r="Z288" s="2223">
        <v>20</v>
      </c>
      <c r="AA288" s="5084" t="s">
        <v>1944</v>
      </c>
      <c r="AB288" s="5084">
        <v>292684</v>
      </c>
      <c r="AC288" s="5084">
        <f>SUM(AB288*0.12)</f>
        <v>35122.080000000002</v>
      </c>
      <c r="AD288" s="5084">
        <v>282326</v>
      </c>
      <c r="AE288" s="5084">
        <f t="shared" ref="AE288" si="85">SUM(AD288*0.12)</f>
        <v>33879.119999999995</v>
      </c>
      <c r="AF288" s="5084">
        <v>135912</v>
      </c>
      <c r="AG288" s="5084">
        <f t="shared" ref="AG288" si="86">SUM(AF288*0.12)</f>
        <v>16309.439999999999</v>
      </c>
      <c r="AH288" s="5084">
        <v>45122</v>
      </c>
      <c r="AI288" s="5084">
        <f t="shared" ref="AI288" si="87">SUM(AH288*0.12)</f>
        <v>5414.6399999999994</v>
      </c>
      <c r="AJ288" s="5084">
        <v>307101</v>
      </c>
      <c r="AK288" s="5084">
        <v>36852.119999999995</v>
      </c>
      <c r="AL288" s="5084">
        <v>86875</v>
      </c>
      <c r="AM288" s="5084">
        <v>10425</v>
      </c>
      <c r="AN288" s="5084">
        <v>2145</v>
      </c>
      <c r="AO288" s="5084">
        <f t="shared" ref="AO288" si="88">SUM(AN288*0.12)</f>
        <v>257.39999999999998</v>
      </c>
      <c r="AP288" s="5084">
        <v>12718</v>
      </c>
      <c r="AQ288" s="5084">
        <f t="shared" ref="AQ288" si="89">SUM(AP288*0.12)</f>
        <v>1526.1599999999999</v>
      </c>
      <c r="AR288" s="5084">
        <v>26</v>
      </c>
      <c r="AS288" s="5084">
        <f t="shared" ref="AS288" si="90">SUM(AR288*0.12)</f>
        <v>3.12</v>
      </c>
      <c r="AT288" s="5084">
        <v>37</v>
      </c>
      <c r="AU288" s="5084">
        <f t="shared" ref="AU288" si="91">SUM(AT288*0.12)</f>
        <v>4.4399999999999995</v>
      </c>
      <c r="AV288" s="5084" t="s">
        <v>1588</v>
      </c>
      <c r="AW288" s="5084" t="s">
        <v>1588</v>
      </c>
      <c r="AX288" s="5084" t="s">
        <v>1588</v>
      </c>
      <c r="AY288" s="5084" t="s">
        <v>1588</v>
      </c>
      <c r="AZ288" s="5084">
        <v>53164</v>
      </c>
      <c r="BA288" s="5084">
        <f t="shared" ref="BA288" si="92">SUM(AZ288*0.12)</f>
        <v>6379.6799999999994</v>
      </c>
      <c r="BB288" s="5084">
        <v>16982</v>
      </c>
      <c r="BC288" s="5084">
        <f t="shared" ref="BC288" si="93">SUM(BB288*0.12)</f>
        <v>2037.84</v>
      </c>
      <c r="BD288" s="5084">
        <v>60013</v>
      </c>
      <c r="BE288" s="5084">
        <f t="shared" ref="BE288" si="94">SUM(BD288*0.12)</f>
        <v>7201.5599999999995</v>
      </c>
      <c r="BF288" s="5084">
        <v>575010</v>
      </c>
      <c r="BG288" s="5084">
        <f t="shared" ref="BG288" si="95">SUM(BF288*0.12)</f>
        <v>69001.2</v>
      </c>
      <c r="BH288" s="5164">
        <v>10</v>
      </c>
      <c r="BI288" s="3809">
        <f>SUM(X288:X298)</f>
        <v>18583085520</v>
      </c>
      <c r="BJ288" s="3809">
        <f>SUM(Y288:Y298)</f>
        <v>11652348485</v>
      </c>
      <c r="BK288" s="3792">
        <f>+BJ288/BI288</f>
        <v>0.62704056721146706</v>
      </c>
      <c r="BL288" s="5164" t="s">
        <v>1945</v>
      </c>
      <c r="BM288" s="5164" t="s">
        <v>1946</v>
      </c>
      <c r="BN288" s="5139">
        <v>43467</v>
      </c>
      <c r="BO288" s="5078">
        <v>43830</v>
      </c>
      <c r="BP288" s="5139">
        <v>43830</v>
      </c>
      <c r="BQ288" s="5078">
        <v>43830</v>
      </c>
      <c r="BR288" s="5081" t="s">
        <v>1591</v>
      </c>
    </row>
    <row r="289" spans="1:195" ht="63.75" customHeight="1" x14ac:dyDescent="0.2">
      <c r="A289" s="2122"/>
      <c r="B289" s="2123"/>
      <c r="C289" s="2124"/>
      <c r="D289" s="5174"/>
      <c r="E289" s="5175"/>
      <c r="F289" s="5175"/>
      <c r="G289" s="5084"/>
      <c r="H289" s="5084"/>
      <c r="I289" s="5084"/>
      <c r="J289" s="5152"/>
      <c r="K289" s="5179"/>
      <c r="L289" s="5151"/>
      <c r="M289" s="5151"/>
      <c r="N289" s="5151"/>
      <c r="O289" s="5181"/>
      <c r="P289" s="5151"/>
      <c r="Q289" s="5072"/>
      <c r="R289" s="5167"/>
      <c r="S289" s="5116"/>
      <c r="T289" s="5122"/>
      <c r="U289" s="5089"/>
      <c r="V289" s="2222" t="s">
        <v>1947</v>
      </c>
      <c r="W289" s="2203">
        <v>15400000</v>
      </c>
      <c r="X289" s="2203">
        <v>15400000</v>
      </c>
      <c r="Y289" s="2203">
        <v>14270500</v>
      </c>
      <c r="Z289" s="2223">
        <v>20</v>
      </c>
      <c r="AA289" s="5086"/>
      <c r="AB289" s="5085"/>
      <c r="AC289" s="5085"/>
      <c r="AD289" s="5085"/>
      <c r="AE289" s="5085"/>
      <c r="AF289" s="5085"/>
      <c r="AG289" s="5085"/>
      <c r="AH289" s="5085"/>
      <c r="AI289" s="5085"/>
      <c r="AJ289" s="5085"/>
      <c r="AK289" s="5085"/>
      <c r="AL289" s="5085"/>
      <c r="AM289" s="5085"/>
      <c r="AN289" s="5085"/>
      <c r="AO289" s="5085"/>
      <c r="AP289" s="5085"/>
      <c r="AQ289" s="5085"/>
      <c r="AR289" s="5085"/>
      <c r="AS289" s="5085"/>
      <c r="AT289" s="5085"/>
      <c r="AU289" s="5085"/>
      <c r="AV289" s="5085"/>
      <c r="AW289" s="5085"/>
      <c r="AX289" s="5085"/>
      <c r="AY289" s="5085"/>
      <c r="AZ289" s="5085"/>
      <c r="BA289" s="5085"/>
      <c r="BB289" s="5085"/>
      <c r="BC289" s="5085"/>
      <c r="BD289" s="5085"/>
      <c r="BE289" s="5085"/>
      <c r="BF289" s="5085"/>
      <c r="BG289" s="5085"/>
      <c r="BH289" s="5165"/>
      <c r="BI289" s="3810"/>
      <c r="BJ289" s="3810"/>
      <c r="BK289" s="3793"/>
      <c r="BL289" s="5165"/>
      <c r="BM289" s="5165"/>
      <c r="BN289" s="5139"/>
      <c r="BO289" s="5079"/>
      <c r="BP289" s="5139"/>
      <c r="BQ289" s="5079"/>
      <c r="BR289" s="5082"/>
    </row>
    <row r="290" spans="1:195" ht="35.1" customHeight="1" x14ac:dyDescent="0.2">
      <c r="A290" s="2122"/>
      <c r="B290" s="2123"/>
      <c r="C290" s="2124"/>
      <c r="D290" s="5174"/>
      <c r="E290" s="5175"/>
      <c r="F290" s="5175"/>
      <c r="G290" s="2224">
        <v>48</v>
      </c>
      <c r="H290" s="2225" t="s">
        <v>1948</v>
      </c>
      <c r="I290" s="2225"/>
      <c r="J290" s="2226"/>
      <c r="K290" s="2227"/>
      <c r="L290" s="2128"/>
      <c r="M290" s="2128"/>
      <c r="N290" s="2128"/>
      <c r="O290" s="2130"/>
      <c r="P290" s="5151"/>
      <c r="Q290" s="5072"/>
      <c r="R290" s="2228"/>
      <c r="S290" s="5116"/>
      <c r="T290" s="5122"/>
      <c r="U290" s="2227"/>
      <c r="V290" s="2227"/>
      <c r="W290" s="2204"/>
      <c r="X290" s="2204"/>
      <c r="Y290" s="2204"/>
      <c r="Z290" s="2229"/>
      <c r="AA290" s="2201"/>
      <c r="AB290" s="5085"/>
      <c r="AC290" s="5085"/>
      <c r="AD290" s="5085"/>
      <c r="AE290" s="5085"/>
      <c r="AF290" s="5085"/>
      <c r="AG290" s="5085"/>
      <c r="AH290" s="5085"/>
      <c r="AI290" s="5085"/>
      <c r="AJ290" s="5085"/>
      <c r="AK290" s="5085"/>
      <c r="AL290" s="5085"/>
      <c r="AM290" s="5085"/>
      <c r="AN290" s="5085"/>
      <c r="AO290" s="5085"/>
      <c r="AP290" s="5085"/>
      <c r="AQ290" s="5085"/>
      <c r="AR290" s="5085"/>
      <c r="AS290" s="5085"/>
      <c r="AT290" s="5085"/>
      <c r="AU290" s="5085"/>
      <c r="AV290" s="5085"/>
      <c r="AW290" s="5085"/>
      <c r="AX290" s="5085"/>
      <c r="AY290" s="5085"/>
      <c r="AZ290" s="5085"/>
      <c r="BA290" s="5085"/>
      <c r="BB290" s="5085"/>
      <c r="BC290" s="5085"/>
      <c r="BD290" s="5085"/>
      <c r="BE290" s="5085"/>
      <c r="BF290" s="5085"/>
      <c r="BG290" s="5085"/>
      <c r="BH290" s="5165"/>
      <c r="BI290" s="3810"/>
      <c r="BJ290" s="3810"/>
      <c r="BK290" s="3793"/>
      <c r="BL290" s="5165"/>
      <c r="BM290" s="5165"/>
      <c r="BN290" s="5139"/>
      <c r="BO290" s="5079"/>
      <c r="BP290" s="5139"/>
      <c r="BQ290" s="5079"/>
      <c r="BR290" s="5082"/>
    </row>
    <row r="291" spans="1:195" ht="35.1" customHeight="1" x14ac:dyDescent="0.2">
      <c r="A291" s="2122"/>
      <c r="B291" s="2123"/>
      <c r="C291" s="2124"/>
      <c r="D291" s="5174"/>
      <c r="E291" s="5175"/>
      <c r="F291" s="5175"/>
      <c r="G291" s="5153"/>
      <c r="H291" s="5153"/>
      <c r="I291" s="5153"/>
      <c r="J291" s="5154">
        <v>164</v>
      </c>
      <c r="K291" s="5125" t="s">
        <v>1949</v>
      </c>
      <c r="L291" s="5155" t="s">
        <v>1581</v>
      </c>
      <c r="M291" s="5151">
        <v>12</v>
      </c>
      <c r="N291" s="5151">
        <v>5</v>
      </c>
      <c r="O291" s="5158" t="s">
        <v>1950</v>
      </c>
      <c r="P291" s="5151"/>
      <c r="Q291" s="5072"/>
      <c r="R291" s="5161">
        <f>(W291+W293+W292)/S288</f>
        <v>0.99522799957973263</v>
      </c>
      <c r="S291" s="5116"/>
      <c r="T291" s="5122"/>
      <c r="U291" s="5125" t="s">
        <v>1951</v>
      </c>
      <c r="V291" s="5169" t="s">
        <v>1952</v>
      </c>
      <c r="W291" s="2203">
        <f>21153943161-78204383+314128486</f>
        <v>21389867264</v>
      </c>
      <c r="X291" s="2203">
        <v>18481032520</v>
      </c>
      <c r="Y291" s="2203">
        <v>11591630485</v>
      </c>
      <c r="Z291" s="2230">
        <v>154</v>
      </c>
      <c r="AA291" s="2848" t="s">
        <v>1953</v>
      </c>
      <c r="AB291" s="5085"/>
      <c r="AC291" s="5085"/>
      <c r="AD291" s="5085"/>
      <c r="AE291" s="5085"/>
      <c r="AF291" s="5085"/>
      <c r="AG291" s="5085"/>
      <c r="AH291" s="5085"/>
      <c r="AI291" s="5085"/>
      <c r="AJ291" s="5085"/>
      <c r="AK291" s="5085"/>
      <c r="AL291" s="5085"/>
      <c r="AM291" s="5085"/>
      <c r="AN291" s="5085"/>
      <c r="AO291" s="5085"/>
      <c r="AP291" s="5085"/>
      <c r="AQ291" s="5085"/>
      <c r="AR291" s="5085"/>
      <c r="AS291" s="5085"/>
      <c r="AT291" s="5085"/>
      <c r="AU291" s="5085"/>
      <c r="AV291" s="5085"/>
      <c r="AW291" s="5085"/>
      <c r="AX291" s="5085"/>
      <c r="AY291" s="5085"/>
      <c r="AZ291" s="5085"/>
      <c r="BA291" s="5085"/>
      <c r="BB291" s="5085"/>
      <c r="BC291" s="5085"/>
      <c r="BD291" s="5085"/>
      <c r="BE291" s="5085"/>
      <c r="BF291" s="5085"/>
      <c r="BG291" s="5085"/>
      <c r="BH291" s="5165"/>
      <c r="BI291" s="3810"/>
      <c r="BJ291" s="3810"/>
      <c r="BK291" s="3793"/>
      <c r="BL291" s="5165"/>
      <c r="BM291" s="5165"/>
      <c r="BN291" s="5139"/>
      <c r="BO291" s="5079"/>
      <c r="BP291" s="5139"/>
      <c r="BQ291" s="5079"/>
      <c r="BR291" s="5082"/>
    </row>
    <row r="292" spans="1:195" ht="35.1" customHeight="1" x14ac:dyDescent="0.2">
      <c r="A292" s="2122"/>
      <c r="B292" s="2123"/>
      <c r="C292" s="2124"/>
      <c r="D292" s="5174"/>
      <c r="E292" s="5175"/>
      <c r="F292" s="5175"/>
      <c r="G292" s="5153"/>
      <c r="H292" s="5153"/>
      <c r="I292" s="5153"/>
      <c r="J292" s="5154"/>
      <c r="K292" s="5125"/>
      <c r="L292" s="5156"/>
      <c r="M292" s="5151"/>
      <c r="N292" s="5151"/>
      <c r="O292" s="5159"/>
      <c r="P292" s="5151"/>
      <c r="Q292" s="5072"/>
      <c r="R292" s="5162"/>
      <c r="S292" s="5116"/>
      <c r="T292" s="5122"/>
      <c r="U292" s="5125"/>
      <c r="V292" s="5169"/>
      <c r="W292" s="2203">
        <v>78204383</v>
      </c>
      <c r="X292" s="2203">
        <v>0</v>
      </c>
      <c r="Y292" s="2203">
        <v>0</v>
      </c>
      <c r="Z292" s="2230">
        <v>154</v>
      </c>
      <c r="AA292" s="2848" t="s">
        <v>1954</v>
      </c>
      <c r="AB292" s="5085"/>
      <c r="AC292" s="5085"/>
      <c r="AD292" s="5085"/>
      <c r="AE292" s="5085"/>
      <c r="AF292" s="5085"/>
      <c r="AG292" s="5085"/>
      <c r="AH292" s="5085"/>
      <c r="AI292" s="5085"/>
      <c r="AJ292" s="5085"/>
      <c r="AK292" s="5085"/>
      <c r="AL292" s="5085"/>
      <c r="AM292" s="5085"/>
      <c r="AN292" s="5085"/>
      <c r="AO292" s="5085"/>
      <c r="AP292" s="5085"/>
      <c r="AQ292" s="5085"/>
      <c r="AR292" s="5085"/>
      <c r="AS292" s="5085"/>
      <c r="AT292" s="5085"/>
      <c r="AU292" s="5085"/>
      <c r="AV292" s="5085"/>
      <c r="AW292" s="5085"/>
      <c r="AX292" s="5085"/>
      <c r="AY292" s="5085"/>
      <c r="AZ292" s="5085"/>
      <c r="BA292" s="5085"/>
      <c r="BB292" s="5085"/>
      <c r="BC292" s="5085"/>
      <c r="BD292" s="5085"/>
      <c r="BE292" s="5085"/>
      <c r="BF292" s="5085"/>
      <c r="BG292" s="5085"/>
      <c r="BH292" s="5165"/>
      <c r="BI292" s="3810"/>
      <c r="BJ292" s="3810"/>
      <c r="BK292" s="3793"/>
      <c r="BL292" s="5165"/>
      <c r="BM292" s="5165"/>
      <c r="BN292" s="5139"/>
      <c r="BO292" s="5079"/>
      <c r="BP292" s="5139"/>
      <c r="BQ292" s="5079"/>
      <c r="BR292" s="5082"/>
    </row>
    <row r="293" spans="1:195" ht="48.75" customHeight="1" x14ac:dyDescent="0.2">
      <c r="A293" s="2122"/>
      <c r="B293" s="2123"/>
      <c r="C293" s="2124"/>
      <c r="D293" s="5174"/>
      <c r="E293" s="5175"/>
      <c r="F293" s="5175"/>
      <c r="G293" s="5153"/>
      <c r="H293" s="5153"/>
      <c r="I293" s="5153"/>
      <c r="J293" s="5154"/>
      <c r="K293" s="5125"/>
      <c r="L293" s="5157"/>
      <c r="M293" s="5151"/>
      <c r="N293" s="5151"/>
      <c r="O293" s="5160"/>
      <c r="P293" s="5151"/>
      <c r="Q293" s="5072"/>
      <c r="R293" s="5163"/>
      <c r="S293" s="5116"/>
      <c r="T293" s="5122"/>
      <c r="U293" s="5125"/>
      <c r="V293" s="5169"/>
      <c r="W293" s="2203">
        <v>180012439</v>
      </c>
      <c r="X293" s="2203">
        <v>0</v>
      </c>
      <c r="Y293" s="2203">
        <v>0</v>
      </c>
      <c r="Z293" s="2230">
        <v>148</v>
      </c>
      <c r="AA293" s="2848" t="s">
        <v>1955</v>
      </c>
      <c r="AB293" s="5085"/>
      <c r="AC293" s="5085"/>
      <c r="AD293" s="5085"/>
      <c r="AE293" s="5085"/>
      <c r="AF293" s="5085"/>
      <c r="AG293" s="5085"/>
      <c r="AH293" s="5085"/>
      <c r="AI293" s="5085"/>
      <c r="AJ293" s="5085"/>
      <c r="AK293" s="5085"/>
      <c r="AL293" s="5085"/>
      <c r="AM293" s="5085"/>
      <c r="AN293" s="5085"/>
      <c r="AO293" s="5085"/>
      <c r="AP293" s="5085"/>
      <c r="AQ293" s="5085"/>
      <c r="AR293" s="5085"/>
      <c r="AS293" s="5085"/>
      <c r="AT293" s="5085"/>
      <c r="AU293" s="5085"/>
      <c r="AV293" s="5085"/>
      <c r="AW293" s="5085"/>
      <c r="AX293" s="5085"/>
      <c r="AY293" s="5085"/>
      <c r="AZ293" s="5085"/>
      <c r="BA293" s="5085"/>
      <c r="BB293" s="5085"/>
      <c r="BC293" s="5085"/>
      <c r="BD293" s="5085"/>
      <c r="BE293" s="5085"/>
      <c r="BF293" s="5085"/>
      <c r="BG293" s="5085"/>
      <c r="BH293" s="5165"/>
      <c r="BI293" s="3810"/>
      <c r="BJ293" s="3810"/>
      <c r="BK293" s="3793"/>
      <c r="BL293" s="5165"/>
      <c r="BM293" s="5165"/>
      <c r="BN293" s="5139"/>
      <c r="BO293" s="5079"/>
      <c r="BP293" s="5139"/>
      <c r="BQ293" s="5079"/>
      <c r="BR293" s="5082"/>
    </row>
    <row r="294" spans="1:195" ht="35.1" customHeight="1" x14ac:dyDescent="0.2">
      <c r="A294" s="2122"/>
      <c r="B294" s="2123"/>
      <c r="C294" s="2124"/>
      <c r="D294" s="5174"/>
      <c r="E294" s="5175"/>
      <c r="F294" s="5175"/>
      <c r="G294" s="2231">
        <v>49</v>
      </c>
      <c r="H294" s="2198" t="s">
        <v>1956</v>
      </c>
      <c r="I294" s="2198"/>
      <c r="J294" s="2198"/>
      <c r="K294" s="2232"/>
      <c r="L294" s="2128"/>
      <c r="M294" s="2128"/>
      <c r="N294" s="2128"/>
      <c r="O294" s="2130"/>
      <c r="P294" s="5151"/>
      <c r="Q294" s="5072"/>
      <c r="R294" s="2228"/>
      <c r="S294" s="5116"/>
      <c r="T294" s="5122"/>
      <c r="U294" s="2233"/>
      <c r="V294" s="2232"/>
      <c r="W294" s="2204"/>
      <c r="X294" s="2204"/>
      <c r="Y294" s="2204"/>
      <c r="Z294" s="2229"/>
      <c r="AA294" s="2229"/>
      <c r="AB294" s="5085"/>
      <c r="AC294" s="5085"/>
      <c r="AD294" s="5085"/>
      <c r="AE294" s="5085"/>
      <c r="AF294" s="5085"/>
      <c r="AG294" s="5085"/>
      <c r="AH294" s="5085"/>
      <c r="AI294" s="5085"/>
      <c r="AJ294" s="5085"/>
      <c r="AK294" s="5085"/>
      <c r="AL294" s="5085"/>
      <c r="AM294" s="5085"/>
      <c r="AN294" s="5085"/>
      <c r="AO294" s="5085"/>
      <c r="AP294" s="5085"/>
      <c r="AQ294" s="5085"/>
      <c r="AR294" s="5085"/>
      <c r="AS294" s="5085"/>
      <c r="AT294" s="5085"/>
      <c r="AU294" s="5085"/>
      <c r="AV294" s="5085"/>
      <c r="AW294" s="5085"/>
      <c r="AX294" s="5085"/>
      <c r="AY294" s="5085"/>
      <c r="AZ294" s="5085"/>
      <c r="BA294" s="5085"/>
      <c r="BB294" s="5085"/>
      <c r="BC294" s="5085"/>
      <c r="BD294" s="5085"/>
      <c r="BE294" s="5085"/>
      <c r="BF294" s="5085"/>
      <c r="BG294" s="5085"/>
      <c r="BH294" s="5165"/>
      <c r="BI294" s="3810"/>
      <c r="BJ294" s="3810"/>
      <c r="BK294" s="3793"/>
      <c r="BL294" s="5165"/>
      <c r="BM294" s="5165"/>
      <c r="BN294" s="5139"/>
      <c r="BO294" s="5079"/>
      <c r="BP294" s="5139"/>
      <c r="BQ294" s="5079"/>
      <c r="BR294" s="5082"/>
    </row>
    <row r="295" spans="1:195" ht="35.25" customHeight="1" x14ac:dyDescent="0.2">
      <c r="A295" s="2122"/>
      <c r="B295" s="2123"/>
      <c r="C295" s="2124"/>
      <c r="D295" s="5174"/>
      <c r="E295" s="5175"/>
      <c r="F295" s="5175"/>
      <c r="G295" s="5151"/>
      <c r="H295" s="5151"/>
      <c r="I295" s="5151"/>
      <c r="J295" s="5152">
        <v>165</v>
      </c>
      <c r="K295" s="5072" t="s">
        <v>1957</v>
      </c>
      <c r="L295" s="5151" t="s">
        <v>1581</v>
      </c>
      <c r="M295" s="5151">
        <v>12</v>
      </c>
      <c r="N295" s="5151">
        <v>6</v>
      </c>
      <c r="O295" s="5151" t="s">
        <v>1958</v>
      </c>
      <c r="P295" s="5151"/>
      <c r="Q295" s="5072"/>
      <c r="R295" s="5167">
        <f>SUM(W295:W298)/S288</f>
        <v>3.3560311240801634E-3</v>
      </c>
      <c r="S295" s="5116"/>
      <c r="T295" s="5122"/>
      <c r="U295" s="5125" t="s">
        <v>1959</v>
      </c>
      <c r="V295" s="5149" t="s">
        <v>1960</v>
      </c>
      <c r="W295" s="2203">
        <v>10500000</v>
      </c>
      <c r="X295" s="2203">
        <v>10492500</v>
      </c>
      <c r="Y295" s="2203">
        <v>10492500</v>
      </c>
      <c r="Z295" s="2230">
        <v>20</v>
      </c>
      <c r="AA295" s="2848" t="s">
        <v>1944</v>
      </c>
      <c r="AB295" s="5085"/>
      <c r="AC295" s="5085"/>
      <c r="AD295" s="5085"/>
      <c r="AE295" s="5085"/>
      <c r="AF295" s="5085"/>
      <c r="AG295" s="5085"/>
      <c r="AH295" s="5085"/>
      <c r="AI295" s="5085"/>
      <c r="AJ295" s="5085"/>
      <c r="AK295" s="5085"/>
      <c r="AL295" s="5085"/>
      <c r="AM295" s="5085"/>
      <c r="AN295" s="5085"/>
      <c r="AO295" s="5085"/>
      <c r="AP295" s="5085"/>
      <c r="AQ295" s="5085"/>
      <c r="AR295" s="5085"/>
      <c r="AS295" s="5085"/>
      <c r="AT295" s="5085"/>
      <c r="AU295" s="5085"/>
      <c r="AV295" s="5085"/>
      <c r="AW295" s="5085"/>
      <c r="AX295" s="5085"/>
      <c r="AY295" s="5085"/>
      <c r="AZ295" s="5085"/>
      <c r="BA295" s="5085"/>
      <c r="BB295" s="5085"/>
      <c r="BC295" s="5085"/>
      <c r="BD295" s="5085"/>
      <c r="BE295" s="5085"/>
      <c r="BF295" s="5085"/>
      <c r="BG295" s="5085"/>
      <c r="BH295" s="5165"/>
      <c r="BI295" s="3810"/>
      <c r="BJ295" s="3810"/>
      <c r="BK295" s="3793"/>
      <c r="BL295" s="5165"/>
      <c r="BM295" s="5165"/>
      <c r="BN295" s="5139"/>
      <c r="BO295" s="5079"/>
      <c r="BP295" s="5139"/>
      <c r="BQ295" s="5079"/>
      <c r="BR295" s="5082"/>
    </row>
    <row r="296" spans="1:195" ht="30" customHeight="1" x14ac:dyDescent="0.2">
      <c r="A296" s="2122"/>
      <c r="B296" s="2123"/>
      <c r="C296" s="2124"/>
      <c r="D296" s="5174"/>
      <c r="E296" s="5175"/>
      <c r="F296" s="5175"/>
      <c r="G296" s="5151"/>
      <c r="H296" s="5151"/>
      <c r="I296" s="5151"/>
      <c r="J296" s="5152"/>
      <c r="K296" s="5072"/>
      <c r="L296" s="5151"/>
      <c r="M296" s="5151"/>
      <c r="N296" s="5151"/>
      <c r="O296" s="5151"/>
      <c r="P296" s="5151"/>
      <c r="Q296" s="5072"/>
      <c r="R296" s="5167"/>
      <c r="S296" s="5116"/>
      <c r="T296" s="5122"/>
      <c r="U296" s="5125"/>
      <c r="V296" s="5150"/>
      <c r="W296" s="2203">
        <v>26000000</v>
      </c>
      <c r="X296" s="2203">
        <v>25134000</v>
      </c>
      <c r="Y296" s="2203">
        <v>5596000</v>
      </c>
      <c r="Z296" s="2230">
        <v>96</v>
      </c>
      <c r="AA296" s="2848" t="s">
        <v>1961</v>
      </c>
      <c r="AB296" s="5085"/>
      <c r="AC296" s="5085"/>
      <c r="AD296" s="5085"/>
      <c r="AE296" s="5085"/>
      <c r="AF296" s="5085"/>
      <c r="AG296" s="5085"/>
      <c r="AH296" s="5085"/>
      <c r="AI296" s="5085"/>
      <c r="AJ296" s="5085"/>
      <c r="AK296" s="5085"/>
      <c r="AL296" s="5085"/>
      <c r="AM296" s="5085"/>
      <c r="AN296" s="5085"/>
      <c r="AO296" s="5085"/>
      <c r="AP296" s="5085"/>
      <c r="AQ296" s="5085"/>
      <c r="AR296" s="5085"/>
      <c r="AS296" s="5085"/>
      <c r="AT296" s="5085"/>
      <c r="AU296" s="5085"/>
      <c r="AV296" s="5085"/>
      <c r="AW296" s="5085"/>
      <c r="AX296" s="5085"/>
      <c r="AY296" s="5085"/>
      <c r="AZ296" s="5085"/>
      <c r="BA296" s="5085"/>
      <c r="BB296" s="5085"/>
      <c r="BC296" s="5085"/>
      <c r="BD296" s="5085"/>
      <c r="BE296" s="5085"/>
      <c r="BF296" s="5085"/>
      <c r="BG296" s="5085"/>
      <c r="BH296" s="5165"/>
      <c r="BI296" s="3810"/>
      <c r="BJ296" s="3810"/>
      <c r="BK296" s="3793"/>
      <c r="BL296" s="5165"/>
      <c r="BM296" s="5165"/>
      <c r="BN296" s="5139"/>
      <c r="BO296" s="5079"/>
      <c r="BP296" s="5139"/>
      <c r="BQ296" s="5079"/>
      <c r="BR296" s="5082"/>
    </row>
    <row r="297" spans="1:195" ht="33.75" customHeight="1" x14ac:dyDescent="0.2">
      <c r="A297" s="2122"/>
      <c r="B297" s="2123"/>
      <c r="C297" s="2124"/>
      <c r="D297" s="5174"/>
      <c r="E297" s="5175"/>
      <c r="F297" s="5175"/>
      <c r="G297" s="5151"/>
      <c r="H297" s="5151"/>
      <c r="I297" s="5151"/>
      <c r="J297" s="5152"/>
      <c r="K297" s="5072"/>
      <c r="L297" s="5151"/>
      <c r="M297" s="5151"/>
      <c r="N297" s="5151"/>
      <c r="O297" s="5151"/>
      <c r="P297" s="5151"/>
      <c r="Q297" s="5072"/>
      <c r="R297" s="5167"/>
      <c r="S297" s="5116"/>
      <c r="T297" s="5122"/>
      <c r="U297" s="5125"/>
      <c r="V297" s="5149" t="s">
        <v>1962</v>
      </c>
      <c r="W297" s="2203">
        <v>10500000</v>
      </c>
      <c r="X297" s="2203">
        <v>10492500</v>
      </c>
      <c r="Y297" s="2203">
        <v>10492500</v>
      </c>
      <c r="Z297" s="2230">
        <v>20</v>
      </c>
      <c r="AA297" s="2848" t="s">
        <v>1944</v>
      </c>
      <c r="AB297" s="5085"/>
      <c r="AC297" s="5085"/>
      <c r="AD297" s="5085"/>
      <c r="AE297" s="5085"/>
      <c r="AF297" s="5085"/>
      <c r="AG297" s="5085"/>
      <c r="AH297" s="5085"/>
      <c r="AI297" s="5085"/>
      <c r="AJ297" s="5085"/>
      <c r="AK297" s="5085"/>
      <c r="AL297" s="5085"/>
      <c r="AM297" s="5085"/>
      <c r="AN297" s="5085"/>
      <c r="AO297" s="5085"/>
      <c r="AP297" s="5085"/>
      <c r="AQ297" s="5085"/>
      <c r="AR297" s="5085"/>
      <c r="AS297" s="5085"/>
      <c r="AT297" s="5085"/>
      <c r="AU297" s="5085"/>
      <c r="AV297" s="5085"/>
      <c r="AW297" s="5085"/>
      <c r="AX297" s="5085"/>
      <c r="AY297" s="5085"/>
      <c r="AZ297" s="5085"/>
      <c r="BA297" s="5085"/>
      <c r="BB297" s="5085"/>
      <c r="BC297" s="5085"/>
      <c r="BD297" s="5085"/>
      <c r="BE297" s="5085"/>
      <c r="BF297" s="5085"/>
      <c r="BG297" s="5085"/>
      <c r="BH297" s="5165"/>
      <c r="BI297" s="3810"/>
      <c r="BJ297" s="3810"/>
      <c r="BK297" s="3793"/>
      <c r="BL297" s="5165"/>
      <c r="BM297" s="5165"/>
      <c r="BN297" s="5139"/>
      <c r="BO297" s="5079"/>
      <c r="BP297" s="5139"/>
      <c r="BQ297" s="5079"/>
      <c r="BR297" s="5082"/>
    </row>
    <row r="298" spans="1:195" ht="39.75" customHeight="1" x14ac:dyDescent="0.2">
      <c r="A298" s="2122"/>
      <c r="B298" s="2123"/>
      <c r="C298" s="2124"/>
      <c r="D298" s="5176"/>
      <c r="E298" s="5177"/>
      <c r="F298" s="5177"/>
      <c r="G298" s="5151"/>
      <c r="H298" s="5151"/>
      <c r="I298" s="5151"/>
      <c r="J298" s="5152"/>
      <c r="K298" s="5072"/>
      <c r="L298" s="5151"/>
      <c r="M298" s="5151"/>
      <c r="N298" s="5151"/>
      <c r="O298" s="5151"/>
      <c r="P298" s="5151"/>
      <c r="Q298" s="5072"/>
      <c r="R298" s="5167"/>
      <c r="S298" s="5116"/>
      <c r="T298" s="5123"/>
      <c r="U298" s="5125"/>
      <c r="V298" s="5150"/>
      <c r="W298" s="2203">
        <v>26000000</v>
      </c>
      <c r="X298" s="2203">
        <v>25134000</v>
      </c>
      <c r="Y298" s="2203">
        <v>5596000</v>
      </c>
      <c r="Z298" s="2230">
        <v>96</v>
      </c>
      <c r="AA298" s="2848" t="s">
        <v>1961</v>
      </c>
      <c r="AB298" s="5086"/>
      <c r="AC298" s="5086"/>
      <c r="AD298" s="5086"/>
      <c r="AE298" s="5086"/>
      <c r="AF298" s="5086"/>
      <c r="AG298" s="5086"/>
      <c r="AH298" s="5086"/>
      <c r="AI298" s="5086"/>
      <c r="AJ298" s="5086"/>
      <c r="AK298" s="5086"/>
      <c r="AL298" s="5086"/>
      <c r="AM298" s="5086"/>
      <c r="AN298" s="5086"/>
      <c r="AO298" s="5086"/>
      <c r="AP298" s="5086"/>
      <c r="AQ298" s="5086"/>
      <c r="AR298" s="5086"/>
      <c r="AS298" s="5086"/>
      <c r="AT298" s="5086"/>
      <c r="AU298" s="5086"/>
      <c r="AV298" s="5086"/>
      <c r="AW298" s="5086"/>
      <c r="AX298" s="5086"/>
      <c r="AY298" s="5086"/>
      <c r="AZ298" s="5086"/>
      <c r="BA298" s="5086"/>
      <c r="BB298" s="5086"/>
      <c r="BC298" s="5086"/>
      <c r="BD298" s="5086"/>
      <c r="BE298" s="5086"/>
      <c r="BF298" s="5086"/>
      <c r="BG298" s="5086"/>
      <c r="BH298" s="5166"/>
      <c r="BI298" s="3811"/>
      <c r="BJ298" s="3811"/>
      <c r="BK298" s="3794"/>
      <c r="BL298" s="5166"/>
      <c r="BM298" s="5166"/>
      <c r="BN298" s="5139"/>
      <c r="BO298" s="5117"/>
      <c r="BP298" s="5139"/>
      <c r="BQ298" s="5117"/>
      <c r="BR298" s="5098"/>
    </row>
    <row r="299" spans="1:195" ht="36" customHeight="1" x14ac:dyDescent="0.2">
      <c r="A299" s="2122"/>
      <c r="C299" s="2150"/>
      <c r="D299" s="2234">
        <v>14</v>
      </c>
      <c r="E299" s="2113" t="s">
        <v>1963</v>
      </c>
      <c r="F299" s="2113"/>
      <c r="G299" s="2114"/>
      <c r="H299" s="2114"/>
      <c r="I299" s="2114"/>
      <c r="J299" s="2114"/>
      <c r="K299" s="2115"/>
      <c r="L299" s="2114"/>
      <c r="M299" s="2114"/>
      <c r="N299" s="2114"/>
      <c r="O299" s="2116"/>
      <c r="P299" s="2114"/>
      <c r="Q299" s="2115"/>
      <c r="R299" s="2114"/>
      <c r="S299" s="2154"/>
      <c r="T299" s="2115"/>
      <c r="U299" s="2215"/>
      <c r="V299" s="2115"/>
      <c r="W299" s="2218"/>
      <c r="X299" s="2218"/>
      <c r="Y299" s="2218"/>
      <c r="Z299" s="2219"/>
      <c r="AA299" s="2220"/>
      <c r="AB299" s="2116"/>
      <c r="AC299" s="2116"/>
      <c r="AD299" s="2116"/>
      <c r="AE299" s="2116"/>
      <c r="AF299" s="2116"/>
      <c r="AG299" s="2116"/>
      <c r="AH299" s="2116"/>
      <c r="AI299" s="2116"/>
      <c r="AJ299" s="2116"/>
      <c r="AK299" s="2116"/>
      <c r="AL299" s="2116"/>
      <c r="AM299" s="2116"/>
      <c r="AN299" s="2116"/>
      <c r="AO299" s="2116"/>
      <c r="AP299" s="2116"/>
      <c r="AQ299" s="2116"/>
      <c r="AR299" s="2116"/>
      <c r="AS299" s="2116"/>
      <c r="AT299" s="2116"/>
      <c r="AU299" s="2116"/>
      <c r="AV299" s="2116"/>
      <c r="AW299" s="2116"/>
      <c r="AX299" s="2116"/>
      <c r="AY299" s="2116"/>
      <c r="AZ299" s="2116"/>
      <c r="BA299" s="2116"/>
      <c r="BB299" s="2116"/>
      <c r="BC299" s="2116"/>
      <c r="BD299" s="2116"/>
      <c r="BE299" s="2116"/>
      <c r="BF299" s="2116"/>
      <c r="BG299" s="2116"/>
      <c r="BH299" s="2116"/>
      <c r="BI299" s="2157"/>
      <c r="BJ299" s="2157"/>
      <c r="BK299" s="2116"/>
      <c r="BL299" s="2116"/>
      <c r="BM299" s="2116"/>
      <c r="BN299" s="2114"/>
      <c r="BO299" s="2114"/>
      <c r="BP299" s="2114"/>
      <c r="BQ299" s="2114"/>
      <c r="BR299" s="2121"/>
    </row>
    <row r="300" spans="1:195" ht="36" customHeight="1" x14ac:dyDescent="0.2">
      <c r="A300" s="2122"/>
      <c r="B300" s="2123"/>
      <c r="C300" s="2124"/>
      <c r="D300" s="2125"/>
      <c r="E300" s="2125"/>
      <c r="F300" s="2126"/>
      <c r="G300" s="2235">
        <v>50</v>
      </c>
      <c r="H300" s="2226" t="s">
        <v>1964</v>
      </c>
      <c r="I300" s="2226"/>
      <c r="J300" s="2226"/>
      <c r="K300" s="2227"/>
      <c r="L300" s="2226"/>
      <c r="M300" s="2226"/>
      <c r="N300" s="2226"/>
      <c r="O300" s="2179"/>
      <c r="P300" s="2226"/>
      <c r="Q300" s="2227"/>
      <c r="R300" s="2226"/>
      <c r="S300" s="2236"/>
      <c r="T300" s="2227"/>
      <c r="U300" s="2227"/>
      <c r="V300" s="2227"/>
      <c r="W300" s="2204"/>
      <c r="X300" s="2204"/>
      <c r="Y300" s="2204"/>
      <c r="Z300" s="2200"/>
      <c r="AA300" s="2201"/>
      <c r="AB300" s="2179"/>
      <c r="AC300" s="2179"/>
      <c r="AD300" s="2179"/>
      <c r="AE300" s="2179"/>
      <c r="AF300" s="2179"/>
      <c r="AG300" s="2179"/>
      <c r="AH300" s="2179"/>
      <c r="AI300" s="2179"/>
      <c r="AJ300" s="2179"/>
      <c r="AK300" s="2179"/>
      <c r="AL300" s="2179"/>
      <c r="AM300" s="2179"/>
      <c r="AN300" s="2179"/>
      <c r="AO300" s="2179"/>
      <c r="AP300" s="2179"/>
      <c r="AQ300" s="2179"/>
      <c r="AR300" s="2179"/>
      <c r="AS300" s="2179"/>
      <c r="AT300" s="2179"/>
      <c r="AU300" s="2179"/>
      <c r="AV300" s="2179"/>
      <c r="AW300" s="2179"/>
      <c r="AX300" s="2179"/>
      <c r="AY300" s="2179"/>
      <c r="AZ300" s="2179"/>
      <c r="BA300" s="2179"/>
      <c r="BB300" s="2179"/>
      <c r="BC300" s="2179"/>
      <c r="BD300" s="2179"/>
      <c r="BE300" s="2179"/>
      <c r="BF300" s="2179"/>
      <c r="BG300" s="2179"/>
      <c r="BH300" s="2179"/>
      <c r="BI300" s="2237"/>
      <c r="BJ300" s="2237"/>
      <c r="BK300" s="2179"/>
      <c r="BL300" s="2179"/>
      <c r="BM300" s="2179"/>
      <c r="BN300" s="2226"/>
      <c r="BO300" s="2226"/>
      <c r="BP300" s="2226"/>
      <c r="BQ300" s="2226"/>
      <c r="BR300" s="2238"/>
    </row>
    <row r="301" spans="1:195" s="2240" customFormat="1" ht="105.75" customHeight="1" x14ac:dyDescent="0.2">
      <c r="A301" s="2122"/>
      <c r="B301" s="2123"/>
      <c r="C301" s="2124"/>
      <c r="D301" s="2123"/>
      <c r="E301" s="2123"/>
      <c r="F301" s="2124"/>
      <c r="G301" s="2125"/>
      <c r="H301" s="2125"/>
      <c r="I301" s="2126"/>
      <c r="J301" s="2840">
        <v>166</v>
      </c>
      <c r="K301" s="2838" t="s">
        <v>1965</v>
      </c>
      <c r="L301" s="2833" t="s">
        <v>1581</v>
      </c>
      <c r="M301" s="2847">
        <v>1</v>
      </c>
      <c r="N301" s="2211">
        <v>0.4</v>
      </c>
      <c r="O301" s="5084" t="s">
        <v>1966</v>
      </c>
      <c r="P301" s="5084" t="s">
        <v>1967</v>
      </c>
      <c r="Q301" s="5087" t="s">
        <v>1968</v>
      </c>
      <c r="R301" s="2829">
        <v>0</v>
      </c>
      <c r="S301" s="5101">
        <f>SUM(W301:W316)</f>
        <v>16115096017</v>
      </c>
      <c r="T301" s="5087" t="s">
        <v>1969</v>
      </c>
      <c r="U301" s="2852" t="s">
        <v>1970</v>
      </c>
      <c r="V301" s="2222" t="s">
        <v>1971</v>
      </c>
      <c r="W301" s="2203">
        <v>0</v>
      </c>
      <c r="X301" s="2203" t="s">
        <v>565</v>
      </c>
      <c r="Y301" s="2203">
        <v>0</v>
      </c>
      <c r="Z301" s="2223"/>
      <c r="AA301" s="2239"/>
      <c r="AB301" s="5084">
        <v>292684</v>
      </c>
      <c r="AC301" s="5084">
        <f>SUM(AB301*0.37)</f>
        <v>108293.08</v>
      </c>
      <c r="AD301" s="5084">
        <v>282326</v>
      </c>
      <c r="AE301" s="5084">
        <f t="shared" ref="AE301" si="96">SUM(AD301*0.37)</f>
        <v>104460.62</v>
      </c>
      <c r="AF301" s="5084">
        <v>135912</v>
      </c>
      <c r="AG301" s="5084">
        <f t="shared" ref="AG301" si="97">SUM(AF301*0.37)</f>
        <v>50287.44</v>
      </c>
      <c r="AH301" s="5084">
        <v>45122</v>
      </c>
      <c r="AI301" s="5084">
        <f t="shared" ref="AI301" si="98">SUM(AH301*0.37)</f>
        <v>16695.14</v>
      </c>
      <c r="AJ301" s="5084">
        <v>307101</v>
      </c>
      <c r="AK301" s="5084">
        <v>113627.37</v>
      </c>
      <c r="AL301" s="5084">
        <v>86875</v>
      </c>
      <c r="AM301" s="5084">
        <v>32143.75</v>
      </c>
      <c r="AN301" s="5084">
        <v>2145</v>
      </c>
      <c r="AO301" s="5084">
        <f t="shared" ref="AO301" si="99">SUM(AN301*0.37)</f>
        <v>793.65</v>
      </c>
      <c r="AP301" s="5084">
        <v>12718</v>
      </c>
      <c r="AQ301" s="5084">
        <f t="shared" ref="AQ301" si="100">SUM(AP301*0.37)</f>
        <v>4705.66</v>
      </c>
      <c r="AR301" s="5084">
        <v>26</v>
      </c>
      <c r="AS301" s="5084">
        <f t="shared" ref="AS301" si="101">SUM(AR301*0.37)</f>
        <v>9.6199999999999992</v>
      </c>
      <c r="AT301" s="5084">
        <v>37</v>
      </c>
      <c r="AU301" s="5084">
        <f t="shared" ref="AU301" si="102">SUM(AT301*0.37)</f>
        <v>13.69</v>
      </c>
      <c r="AV301" s="5084" t="s">
        <v>1588</v>
      </c>
      <c r="AW301" s="5084" t="s">
        <v>1588</v>
      </c>
      <c r="AX301" s="5084" t="s">
        <v>1588</v>
      </c>
      <c r="AY301" s="5084" t="s">
        <v>1588</v>
      </c>
      <c r="AZ301" s="5084">
        <v>53164</v>
      </c>
      <c r="BA301" s="5084">
        <f t="shared" ref="BA301" si="103">SUM(AZ301*0.37)</f>
        <v>19670.68</v>
      </c>
      <c r="BB301" s="5084">
        <v>16982</v>
      </c>
      <c r="BC301" s="5084">
        <f t="shared" ref="BC301" si="104">SUM(BB301*0.37)</f>
        <v>6283.34</v>
      </c>
      <c r="BD301" s="5084">
        <v>60013</v>
      </c>
      <c r="BE301" s="5084">
        <f t="shared" ref="BE301" si="105">SUM(BD301*0.37)</f>
        <v>22204.81</v>
      </c>
      <c r="BF301" s="5084">
        <v>575010</v>
      </c>
      <c r="BG301" s="5084">
        <f t="shared" ref="BG301" si="106">SUM(BF301*0.37)</f>
        <v>212753.7</v>
      </c>
      <c r="BH301" s="5094">
        <v>67</v>
      </c>
      <c r="BI301" s="3821">
        <f>SUM(X301:X316)</f>
        <v>10509406756</v>
      </c>
      <c r="BJ301" s="3821">
        <f>SUM(Y301:Y316)</f>
        <v>4977830513</v>
      </c>
      <c r="BK301" s="5091">
        <f>+BJ301/BI301</f>
        <v>0.47365475792989659</v>
      </c>
      <c r="BL301" s="5094" t="s">
        <v>1972</v>
      </c>
      <c r="BM301" s="5094" t="s">
        <v>1946</v>
      </c>
      <c r="BN301" s="5078">
        <v>43467</v>
      </c>
      <c r="BO301" s="5078">
        <v>43830</v>
      </c>
      <c r="BP301" s="5078">
        <v>43830</v>
      </c>
      <c r="BQ301" s="5078">
        <v>43830</v>
      </c>
      <c r="BR301" s="5081" t="s">
        <v>1591</v>
      </c>
      <c r="BS301" s="2111"/>
      <c r="BT301" s="2111"/>
      <c r="BU301" s="2111"/>
      <c r="BV301" s="2111"/>
      <c r="BW301" s="2111"/>
      <c r="BX301" s="2111"/>
      <c r="BY301" s="2111"/>
      <c r="BZ301" s="2111"/>
      <c r="CA301" s="2111"/>
      <c r="CB301" s="2111"/>
      <c r="CC301" s="2111"/>
      <c r="CD301" s="2111"/>
      <c r="CE301" s="2111"/>
      <c r="CF301" s="2111"/>
      <c r="CG301" s="2111"/>
      <c r="CH301" s="2111"/>
      <c r="CI301" s="2111"/>
      <c r="CJ301" s="2111"/>
      <c r="CK301" s="2111"/>
      <c r="CL301" s="2111"/>
      <c r="CM301" s="2111"/>
      <c r="CN301" s="2111"/>
      <c r="CO301" s="2111"/>
      <c r="CP301" s="2111"/>
      <c r="CQ301" s="2111"/>
      <c r="CR301" s="2111"/>
      <c r="CS301" s="2111"/>
      <c r="CT301" s="2111"/>
      <c r="CU301" s="2111"/>
      <c r="CV301" s="2111"/>
      <c r="CW301" s="2111"/>
      <c r="CX301" s="2111"/>
      <c r="CY301" s="2111"/>
      <c r="CZ301" s="2111"/>
      <c r="DA301" s="2111"/>
      <c r="DB301" s="2111"/>
      <c r="DC301" s="2111"/>
      <c r="DD301" s="2111"/>
      <c r="DE301" s="2111"/>
      <c r="DF301" s="2111"/>
      <c r="DG301" s="2111"/>
      <c r="DH301" s="2111"/>
      <c r="DI301" s="2111"/>
      <c r="DJ301" s="2111"/>
      <c r="DK301" s="2111"/>
      <c r="DL301" s="2111"/>
      <c r="DM301" s="2111"/>
      <c r="DN301" s="2111"/>
      <c r="DO301" s="2111"/>
      <c r="DP301" s="2111"/>
      <c r="DQ301" s="2111"/>
      <c r="DR301" s="2111"/>
      <c r="DS301" s="2111"/>
      <c r="DT301" s="2111"/>
      <c r="DU301" s="2111"/>
      <c r="DV301" s="2111"/>
      <c r="DW301" s="2111"/>
      <c r="DX301" s="2111"/>
      <c r="DY301" s="2111"/>
      <c r="DZ301" s="2111"/>
      <c r="EA301" s="2111"/>
      <c r="EB301" s="2111"/>
      <c r="EC301" s="2111"/>
      <c r="ED301" s="2111"/>
      <c r="EE301" s="2111"/>
      <c r="EF301" s="2111"/>
      <c r="EG301" s="2111"/>
      <c r="EH301" s="2111"/>
      <c r="EI301" s="2111"/>
      <c r="EJ301" s="2111"/>
      <c r="EK301" s="2111"/>
      <c r="EL301" s="2111"/>
      <c r="EM301" s="2111"/>
      <c r="EN301" s="2111"/>
      <c r="EO301" s="2111"/>
      <c r="EP301" s="2111"/>
      <c r="EQ301" s="2111"/>
      <c r="ER301" s="2111"/>
      <c r="ES301" s="2111"/>
      <c r="ET301" s="2111"/>
      <c r="EU301" s="2111"/>
      <c r="EV301" s="2111"/>
      <c r="EW301" s="2111"/>
      <c r="EX301" s="2111"/>
      <c r="EY301" s="2111"/>
      <c r="EZ301" s="2111"/>
      <c r="FA301" s="2111"/>
      <c r="FB301" s="2111"/>
      <c r="FC301" s="2111"/>
      <c r="FD301" s="2111"/>
      <c r="FE301" s="2111"/>
      <c r="FF301" s="2111"/>
      <c r="FG301" s="2111"/>
      <c r="FH301" s="2111"/>
      <c r="FI301" s="2111"/>
      <c r="FJ301" s="2111"/>
      <c r="FK301" s="2111"/>
      <c r="FL301" s="2111"/>
      <c r="FM301" s="2111"/>
      <c r="FN301" s="2111"/>
      <c r="FO301" s="2111"/>
      <c r="FP301" s="2111"/>
      <c r="FQ301" s="2111"/>
      <c r="FR301" s="2111"/>
      <c r="FS301" s="2111"/>
      <c r="FT301" s="2111"/>
      <c r="FU301" s="2111"/>
      <c r="FV301" s="2111"/>
      <c r="FW301" s="2111"/>
      <c r="FX301" s="2111"/>
      <c r="FY301" s="2111"/>
      <c r="FZ301" s="2111"/>
      <c r="GA301" s="2111"/>
      <c r="GB301" s="2111"/>
      <c r="GC301" s="2111"/>
      <c r="GD301" s="2111"/>
      <c r="GE301" s="2111"/>
      <c r="GF301" s="2111"/>
      <c r="GG301" s="2111"/>
      <c r="GH301" s="2111"/>
      <c r="GI301" s="2111"/>
      <c r="GJ301" s="2111"/>
      <c r="GK301" s="2111"/>
      <c r="GL301" s="2111"/>
      <c r="GM301" s="2111"/>
    </row>
    <row r="302" spans="1:195" s="2241" customFormat="1" ht="54" customHeight="1" x14ac:dyDescent="0.2">
      <c r="A302" s="2122"/>
      <c r="B302" s="2123"/>
      <c r="C302" s="2124"/>
      <c r="D302" s="2123"/>
      <c r="E302" s="2123"/>
      <c r="F302" s="2124"/>
      <c r="G302" s="2123"/>
      <c r="H302" s="2123"/>
      <c r="I302" s="2124"/>
      <c r="J302" s="5110">
        <v>167</v>
      </c>
      <c r="K302" s="5113" t="s">
        <v>1973</v>
      </c>
      <c r="L302" s="5084" t="s">
        <v>1581</v>
      </c>
      <c r="M302" s="5143">
        <v>15</v>
      </c>
      <c r="N302" s="5143">
        <v>14</v>
      </c>
      <c r="O302" s="5085"/>
      <c r="P302" s="5085"/>
      <c r="Q302" s="5088"/>
      <c r="R302" s="5118">
        <v>1</v>
      </c>
      <c r="S302" s="5102"/>
      <c r="T302" s="5088"/>
      <c r="U302" s="5087" t="s">
        <v>1974</v>
      </c>
      <c r="V302" s="5146" t="s">
        <v>1975</v>
      </c>
      <c r="W302" s="2210">
        <f>1097554095+290726109+155203905</f>
        <v>1543484109</v>
      </c>
      <c r="X302" s="2203">
        <v>1535946738</v>
      </c>
      <c r="Y302" s="2203">
        <v>1008591966</v>
      </c>
      <c r="Z302" s="2230">
        <v>110</v>
      </c>
      <c r="AA302" s="2852" t="s">
        <v>1976</v>
      </c>
      <c r="AB302" s="5085"/>
      <c r="AC302" s="5085"/>
      <c r="AD302" s="5085"/>
      <c r="AE302" s="5085"/>
      <c r="AF302" s="5085"/>
      <c r="AG302" s="5085"/>
      <c r="AH302" s="5085"/>
      <c r="AI302" s="5085"/>
      <c r="AJ302" s="5085"/>
      <c r="AK302" s="5085"/>
      <c r="AL302" s="5085"/>
      <c r="AM302" s="5085"/>
      <c r="AN302" s="5085"/>
      <c r="AO302" s="5085"/>
      <c r="AP302" s="5085"/>
      <c r="AQ302" s="5085"/>
      <c r="AR302" s="5085"/>
      <c r="AS302" s="5085"/>
      <c r="AT302" s="5085"/>
      <c r="AU302" s="5085"/>
      <c r="AV302" s="5085"/>
      <c r="AW302" s="5085"/>
      <c r="AX302" s="5085"/>
      <c r="AY302" s="5085"/>
      <c r="AZ302" s="5085"/>
      <c r="BA302" s="5085"/>
      <c r="BB302" s="5085"/>
      <c r="BC302" s="5085"/>
      <c r="BD302" s="5085"/>
      <c r="BE302" s="5085"/>
      <c r="BF302" s="5085"/>
      <c r="BG302" s="5085"/>
      <c r="BH302" s="5095"/>
      <c r="BI302" s="3822"/>
      <c r="BJ302" s="3822"/>
      <c r="BK302" s="5092"/>
      <c r="BL302" s="5095"/>
      <c r="BM302" s="5095"/>
      <c r="BN302" s="5079"/>
      <c r="BO302" s="5079"/>
      <c r="BP302" s="5079"/>
      <c r="BQ302" s="5079"/>
      <c r="BR302" s="5082"/>
      <c r="BS302" s="2111"/>
      <c r="BT302" s="2111"/>
      <c r="BU302" s="2111"/>
      <c r="BV302" s="2111"/>
      <c r="BW302" s="2111"/>
      <c r="BX302" s="2111"/>
      <c r="BY302" s="2111"/>
      <c r="BZ302" s="2111"/>
      <c r="CA302" s="2111"/>
      <c r="CB302" s="2111"/>
      <c r="CC302" s="2111"/>
      <c r="CD302" s="2111"/>
      <c r="CE302" s="2111"/>
      <c r="CF302" s="2111"/>
      <c r="CG302" s="2111"/>
      <c r="CH302" s="2111"/>
      <c r="CI302" s="2111"/>
      <c r="CJ302" s="2111"/>
      <c r="CK302" s="2111"/>
      <c r="CL302" s="2111"/>
      <c r="CM302" s="2111"/>
      <c r="CN302" s="2111"/>
      <c r="CO302" s="2111"/>
      <c r="CP302" s="2111"/>
      <c r="CQ302" s="2111"/>
      <c r="CR302" s="2111"/>
      <c r="CS302" s="2111"/>
      <c r="CT302" s="2111"/>
      <c r="CU302" s="2111"/>
      <c r="CV302" s="2111"/>
      <c r="CW302" s="2111"/>
      <c r="CX302" s="2111"/>
      <c r="CY302" s="2111"/>
      <c r="CZ302" s="2111"/>
      <c r="DA302" s="2111"/>
      <c r="DB302" s="2111"/>
      <c r="DC302" s="2111"/>
      <c r="DD302" s="2111"/>
      <c r="DE302" s="2111"/>
      <c r="DF302" s="2111"/>
      <c r="DG302" s="2111"/>
      <c r="DH302" s="2111"/>
      <c r="DI302" s="2111"/>
      <c r="DJ302" s="2111"/>
      <c r="DK302" s="2111"/>
      <c r="DL302" s="2111"/>
      <c r="DM302" s="2111"/>
      <c r="DN302" s="2111"/>
      <c r="DO302" s="2111"/>
      <c r="DP302" s="2111"/>
      <c r="DQ302" s="2111"/>
      <c r="DR302" s="2111"/>
      <c r="DS302" s="2111"/>
      <c r="DT302" s="2111"/>
      <c r="DU302" s="2111"/>
      <c r="DV302" s="2111"/>
      <c r="DW302" s="2111"/>
      <c r="DX302" s="2111"/>
      <c r="DY302" s="2111"/>
      <c r="DZ302" s="2111"/>
      <c r="EA302" s="2111"/>
      <c r="EB302" s="2111"/>
      <c r="EC302" s="2111"/>
      <c r="ED302" s="2111"/>
      <c r="EE302" s="2111"/>
      <c r="EF302" s="2111"/>
      <c r="EG302" s="2111"/>
      <c r="EH302" s="2111"/>
      <c r="EI302" s="2111"/>
      <c r="EJ302" s="2111"/>
      <c r="EK302" s="2111"/>
      <c r="EL302" s="2111"/>
      <c r="EM302" s="2111"/>
      <c r="EN302" s="2111"/>
      <c r="EO302" s="2111"/>
      <c r="EP302" s="2111"/>
      <c r="EQ302" s="2111"/>
      <c r="ER302" s="2111"/>
      <c r="ES302" s="2111"/>
      <c r="ET302" s="2111"/>
      <c r="EU302" s="2111"/>
      <c r="EV302" s="2111"/>
      <c r="EW302" s="2111"/>
      <c r="EX302" s="2111"/>
      <c r="EY302" s="2111"/>
      <c r="EZ302" s="2111"/>
      <c r="FA302" s="2111"/>
      <c r="FB302" s="2111"/>
      <c r="FC302" s="2111"/>
      <c r="FD302" s="2111"/>
      <c r="FE302" s="2111"/>
      <c r="FF302" s="2111"/>
      <c r="FG302" s="2111"/>
      <c r="FH302" s="2111"/>
      <c r="FI302" s="2111"/>
      <c r="FJ302" s="2111"/>
      <c r="FK302" s="2111"/>
      <c r="FL302" s="2111"/>
      <c r="FM302" s="2111"/>
      <c r="FN302" s="2111"/>
      <c r="FO302" s="2111"/>
      <c r="FP302" s="2111"/>
      <c r="FQ302" s="2111"/>
      <c r="FR302" s="2111"/>
      <c r="FS302" s="2111"/>
      <c r="FT302" s="2111"/>
      <c r="FU302" s="2111"/>
      <c r="FV302" s="2111"/>
      <c r="FW302" s="2111"/>
      <c r="FX302" s="2111"/>
      <c r="FY302" s="2111"/>
      <c r="FZ302" s="2111"/>
      <c r="GA302" s="2111"/>
      <c r="GB302" s="2111"/>
      <c r="GC302" s="2111"/>
      <c r="GD302" s="2111"/>
      <c r="GE302" s="2111"/>
      <c r="GF302" s="2111"/>
      <c r="GG302" s="2111"/>
      <c r="GH302" s="2111"/>
      <c r="GI302" s="2111"/>
      <c r="GJ302" s="2111"/>
      <c r="GK302" s="2111"/>
      <c r="GL302" s="2111"/>
      <c r="GM302" s="2111"/>
    </row>
    <row r="303" spans="1:195" s="2241" customFormat="1" ht="45" customHeight="1" x14ac:dyDescent="0.2">
      <c r="A303" s="2122"/>
      <c r="B303" s="2123"/>
      <c r="C303" s="2124"/>
      <c r="D303" s="2123"/>
      <c r="E303" s="2123"/>
      <c r="F303" s="2124"/>
      <c r="G303" s="2123"/>
      <c r="H303" s="2123"/>
      <c r="I303" s="2124"/>
      <c r="J303" s="5111"/>
      <c r="K303" s="5114"/>
      <c r="L303" s="5085"/>
      <c r="M303" s="5144"/>
      <c r="N303" s="5144"/>
      <c r="O303" s="5085"/>
      <c r="P303" s="5085"/>
      <c r="Q303" s="5088"/>
      <c r="R303" s="5119"/>
      <c r="S303" s="5102"/>
      <c r="T303" s="5088"/>
      <c r="U303" s="5088"/>
      <c r="V303" s="5147"/>
      <c r="W303" s="2210">
        <f>3195802120-81073317</f>
        <v>3114728803</v>
      </c>
      <c r="X303" s="2203">
        <v>257661883</v>
      </c>
      <c r="Y303" s="2203">
        <v>257661883</v>
      </c>
      <c r="Z303" s="2230">
        <v>58</v>
      </c>
      <c r="AA303" s="2852" t="s">
        <v>1977</v>
      </c>
      <c r="AB303" s="5085"/>
      <c r="AC303" s="5085"/>
      <c r="AD303" s="5085"/>
      <c r="AE303" s="5085"/>
      <c r="AF303" s="5085"/>
      <c r="AG303" s="5085"/>
      <c r="AH303" s="5085"/>
      <c r="AI303" s="5085"/>
      <c r="AJ303" s="5085"/>
      <c r="AK303" s="5085"/>
      <c r="AL303" s="5085"/>
      <c r="AM303" s="5085"/>
      <c r="AN303" s="5085"/>
      <c r="AO303" s="5085"/>
      <c r="AP303" s="5085"/>
      <c r="AQ303" s="5085"/>
      <c r="AR303" s="5085"/>
      <c r="AS303" s="5085"/>
      <c r="AT303" s="5085"/>
      <c r="AU303" s="5085"/>
      <c r="AV303" s="5085"/>
      <c r="AW303" s="5085"/>
      <c r="AX303" s="5085"/>
      <c r="AY303" s="5085"/>
      <c r="AZ303" s="5085"/>
      <c r="BA303" s="5085"/>
      <c r="BB303" s="5085"/>
      <c r="BC303" s="5085"/>
      <c r="BD303" s="5085"/>
      <c r="BE303" s="5085"/>
      <c r="BF303" s="5085"/>
      <c r="BG303" s="5085"/>
      <c r="BH303" s="5095"/>
      <c r="BI303" s="3822"/>
      <c r="BJ303" s="3822"/>
      <c r="BK303" s="5092"/>
      <c r="BL303" s="5095"/>
      <c r="BM303" s="5095"/>
      <c r="BN303" s="5079"/>
      <c r="BO303" s="5079"/>
      <c r="BP303" s="5079"/>
      <c r="BQ303" s="5079"/>
      <c r="BR303" s="5082"/>
      <c r="BS303" s="2111"/>
      <c r="BT303" s="2111"/>
      <c r="BU303" s="2111"/>
      <c r="BV303" s="2111"/>
      <c r="BW303" s="2111"/>
      <c r="BX303" s="2111"/>
      <c r="BY303" s="2111"/>
      <c r="BZ303" s="2111"/>
      <c r="CA303" s="2111"/>
      <c r="CB303" s="2111"/>
      <c r="CC303" s="2111"/>
      <c r="CD303" s="2111"/>
      <c r="CE303" s="2111"/>
      <c r="CF303" s="2111"/>
      <c r="CG303" s="2111"/>
      <c r="CH303" s="2111"/>
      <c r="CI303" s="2111"/>
      <c r="CJ303" s="2111"/>
      <c r="CK303" s="2111"/>
      <c r="CL303" s="2111"/>
      <c r="CM303" s="2111"/>
      <c r="CN303" s="2111"/>
      <c r="CO303" s="2111"/>
      <c r="CP303" s="2111"/>
      <c r="CQ303" s="2111"/>
      <c r="CR303" s="2111"/>
      <c r="CS303" s="2111"/>
      <c r="CT303" s="2111"/>
      <c r="CU303" s="2111"/>
      <c r="CV303" s="2111"/>
      <c r="CW303" s="2111"/>
      <c r="CX303" s="2111"/>
      <c r="CY303" s="2111"/>
      <c r="CZ303" s="2111"/>
      <c r="DA303" s="2111"/>
      <c r="DB303" s="2111"/>
      <c r="DC303" s="2111"/>
      <c r="DD303" s="2111"/>
      <c r="DE303" s="2111"/>
      <c r="DF303" s="2111"/>
      <c r="DG303" s="2111"/>
      <c r="DH303" s="2111"/>
      <c r="DI303" s="2111"/>
      <c r="DJ303" s="2111"/>
      <c r="DK303" s="2111"/>
      <c r="DL303" s="2111"/>
      <c r="DM303" s="2111"/>
      <c r="DN303" s="2111"/>
      <c r="DO303" s="2111"/>
      <c r="DP303" s="2111"/>
      <c r="DQ303" s="2111"/>
      <c r="DR303" s="2111"/>
      <c r="DS303" s="2111"/>
      <c r="DT303" s="2111"/>
      <c r="DU303" s="2111"/>
      <c r="DV303" s="2111"/>
      <c r="DW303" s="2111"/>
      <c r="DX303" s="2111"/>
      <c r="DY303" s="2111"/>
      <c r="DZ303" s="2111"/>
      <c r="EA303" s="2111"/>
      <c r="EB303" s="2111"/>
      <c r="EC303" s="2111"/>
      <c r="ED303" s="2111"/>
      <c r="EE303" s="2111"/>
      <c r="EF303" s="2111"/>
      <c r="EG303" s="2111"/>
      <c r="EH303" s="2111"/>
      <c r="EI303" s="2111"/>
      <c r="EJ303" s="2111"/>
      <c r="EK303" s="2111"/>
      <c r="EL303" s="2111"/>
      <c r="EM303" s="2111"/>
      <c r="EN303" s="2111"/>
      <c r="EO303" s="2111"/>
      <c r="EP303" s="2111"/>
      <c r="EQ303" s="2111"/>
      <c r="ER303" s="2111"/>
      <c r="ES303" s="2111"/>
      <c r="ET303" s="2111"/>
      <c r="EU303" s="2111"/>
      <c r="EV303" s="2111"/>
      <c r="EW303" s="2111"/>
      <c r="EX303" s="2111"/>
      <c r="EY303" s="2111"/>
      <c r="EZ303" s="2111"/>
      <c r="FA303" s="2111"/>
      <c r="FB303" s="2111"/>
      <c r="FC303" s="2111"/>
      <c r="FD303" s="2111"/>
      <c r="FE303" s="2111"/>
      <c r="FF303" s="2111"/>
      <c r="FG303" s="2111"/>
      <c r="FH303" s="2111"/>
      <c r="FI303" s="2111"/>
      <c r="FJ303" s="2111"/>
      <c r="FK303" s="2111"/>
      <c r="FL303" s="2111"/>
      <c r="FM303" s="2111"/>
      <c r="FN303" s="2111"/>
      <c r="FO303" s="2111"/>
      <c r="FP303" s="2111"/>
      <c r="FQ303" s="2111"/>
      <c r="FR303" s="2111"/>
      <c r="FS303" s="2111"/>
      <c r="FT303" s="2111"/>
      <c r="FU303" s="2111"/>
      <c r="FV303" s="2111"/>
      <c r="FW303" s="2111"/>
      <c r="FX303" s="2111"/>
      <c r="FY303" s="2111"/>
      <c r="FZ303" s="2111"/>
      <c r="GA303" s="2111"/>
      <c r="GB303" s="2111"/>
      <c r="GC303" s="2111"/>
      <c r="GD303" s="2111"/>
      <c r="GE303" s="2111"/>
      <c r="GF303" s="2111"/>
      <c r="GG303" s="2111"/>
      <c r="GH303" s="2111"/>
      <c r="GI303" s="2111"/>
      <c r="GJ303" s="2111"/>
      <c r="GK303" s="2111"/>
      <c r="GL303" s="2111"/>
      <c r="GM303" s="2111"/>
    </row>
    <row r="304" spans="1:195" s="2241" customFormat="1" ht="45" customHeight="1" x14ac:dyDescent="0.2">
      <c r="A304" s="2122"/>
      <c r="B304" s="2123"/>
      <c r="C304" s="2124"/>
      <c r="D304" s="2123"/>
      <c r="E304" s="2123"/>
      <c r="F304" s="2124"/>
      <c r="G304" s="2123"/>
      <c r="H304" s="2123"/>
      <c r="I304" s="2124"/>
      <c r="J304" s="5111"/>
      <c r="K304" s="5114"/>
      <c r="L304" s="5085"/>
      <c r="M304" s="5144"/>
      <c r="N304" s="5144"/>
      <c r="O304" s="5085"/>
      <c r="P304" s="5085"/>
      <c r="Q304" s="5088"/>
      <c r="R304" s="5119"/>
      <c r="S304" s="5102"/>
      <c r="T304" s="5088"/>
      <c r="U304" s="5088"/>
      <c r="V304" s="5147"/>
      <c r="W304" s="2210">
        <v>81073317</v>
      </c>
      <c r="X304" s="2203">
        <v>4410000</v>
      </c>
      <c r="Y304" s="2203">
        <v>4410000</v>
      </c>
      <c r="Z304" s="2230">
        <v>58</v>
      </c>
      <c r="AA304" s="2852" t="s">
        <v>1978</v>
      </c>
      <c r="AB304" s="5085"/>
      <c r="AC304" s="5085"/>
      <c r="AD304" s="5085"/>
      <c r="AE304" s="5085"/>
      <c r="AF304" s="5085"/>
      <c r="AG304" s="5085"/>
      <c r="AH304" s="5085"/>
      <c r="AI304" s="5085"/>
      <c r="AJ304" s="5085"/>
      <c r="AK304" s="5085"/>
      <c r="AL304" s="5085"/>
      <c r="AM304" s="5085"/>
      <c r="AN304" s="5085"/>
      <c r="AO304" s="5085"/>
      <c r="AP304" s="5085"/>
      <c r="AQ304" s="5085"/>
      <c r="AR304" s="5085"/>
      <c r="AS304" s="5085"/>
      <c r="AT304" s="5085"/>
      <c r="AU304" s="5085"/>
      <c r="AV304" s="5085"/>
      <c r="AW304" s="5085"/>
      <c r="AX304" s="5085"/>
      <c r="AY304" s="5085"/>
      <c r="AZ304" s="5085"/>
      <c r="BA304" s="5085"/>
      <c r="BB304" s="5085"/>
      <c r="BC304" s="5085"/>
      <c r="BD304" s="5085"/>
      <c r="BE304" s="5085"/>
      <c r="BF304" s="5085"/>
      <c r="BG304" s="5085"/>
      <c r="BH304" s="5095"/>
      <c r="BI304" s="3822"/>
      <c r="BJ304" s="3822"/>
      <c r="BK304" s="5092"/>
      <c r="BL304" s="5095"/>
      <c r="BM304" s="5095"/>
      <c r="BN304" s="5079"/>
      <c r="BO304" s="5079"/>
      <c r="BP304" s="5079"/>
      <c r="BQ304" s="5079"/>
      <c r="BR304" s="5082"/>
      <c r="BS304" s="2111"/>
      <c r="BT304" s="2111"/>
      <c r="BU304" s="2111"/>
      <c r="BV304" s="2111"/>
      <c r="BW304" s="2111"/>
      <c r="BX304" s="2111"/>
      <c r="BY304" s="2111"/>
      <c r="BZ304" s="2111"/>
      <c r="CA304" s="2111"/>
      <c r="CB304" s="2111"/>
      <c r="CC304" s="2111"/>
      <c r="CD304" s="2111"/>
      <c r="CE304" s="2111"/>
      <c r="CF304" s="2111"/>
      <c r="CG304" s="2111"/>
      <c r="CH304" s="2111"/>
      <c r="CI304" s="2111"/>
      <c r="CJ304" s="2111"/>
      <c r="CK304" s="2111"/>
      <c r="CL304" s="2111"/>
      <c r="CM304" s="2111"/>
      <c r="CN304" s="2111"/>
      <c r="CO304" s="2111"/>
      <c r="CP304" s="2111"/>
      <c r="CQ304" s="2111"/>
      <c r="CR304" s="2111"/>
      <c r="CS304" s="2111"/>
      <c r="CT304" s="2111"/>
      <c r="CU304" s="2111"/>
      <c r="CV304" s="2111"/>
      <c r="CW304" s="2111"/>
      <c r="CX304" s="2111"/>
      <c r="CY304" s="2111"/>
      <c r="CZ304" s="2111"/>
      <c r="DA304" s="2111"/>
      <c r="DB304" s="2111"/>
      <c r="DC304" s="2111"/>
      <c r="DD304" s="2111"/>
      <c r="DE304" s="2111"/>
      <c r="DF304" s="2111"/>
      <c r="DG304" s="2111"/>
      <c r="DH304" s="2111"/>
      <c r="DI304" s="2111"/>
      <c r="DJ304" s="2111"/>
      <c r="DK304" s="2111"/>
      <c r="DL304" s="2111"/>
      <c r="DM304" s="2111"/>
      <c r="DN304" s="2111"/>
      <c r="DO304" s="2111"/>
      <c r="DP304" s="2111"/>
      <c r="DQ304" s="2111"/>
      <c r="DR304" s="2111"/>
      <c r="DS304" s="2111"/>
      <c r="DT304" s="2111"/>
      <c r="DU304" s="2111"/>
      <c r="DV304" s="2111"/>
      <c r="DW304" s="2111"/>
      <c r="DX304" s="2111"/>
      <c r="DY304" s="2111"/>
      <c r="DZ304" s="2111"/>
      <c r="EA304" s="2111"/>
      <c r="EB304" s="2111"/>
      <c r="EC304" s="2111"/>
      <c r="ED304" s="2111"/>
      <c r="EE304" s="2111"/>
      <c r="EF304" s="2111"/>
      <c r="EG304" s="2111"/>
      <c r="EH304" s="2111"/>
      <c r="EI304" s="2111"/>
      <c r="EJ304" s="2111"/>
      <c r="EK304" s="2111"/>
      <c r="EL304" s="2111"/>
      <c r="EM304" s="2111"/>
      <c r="EN304" s="2111"/>
      <c r="EO304" s="2111"/>
      <c r="EP304" s="2111"/>
      <c r="EQ304" s="2111"/>
      <c r="ER304" s="2111"/>
      <c r="ES304" s="2111"/>
      <c r="ET304" s="2111"/>
      <c r="EU304" s="2111"/>
      <c r="EV304" s="2111"/>
      <c r="EW304" s="2111"/>
      <c r="EX304" s="2111"/>
      <c r="EY304" s="2111"/>
      <c r="EZ304" s="2111"/>
      <c r="FA304" s="2111"/>
      <c r="FB304" s="2111"/>
      <c r="FC304" s="2111"/>
      <c r="FD304" s="2111"/>
      <c r="FE304" s="2111"/>
      <c r="FF304" s="2111"/>
      <c r="FG304" s="2111"/>
      <c r="FH304" s="2111"/>
      <c r="FI304" s="2111"/>
      <c r="FJ304" s="2111"/>
      <c r="FK304" s="2111"/>
      <c r="FL304" s="2111"/>
      <c r="FM304" s="2111"/>
      <c r="FN304" s="2111"/>
      <c r="FO304" s="2111"/>
      <c r="FP304" s="2111"/>
      <c r="FQ304" s="2111"/>
      <c r="FR304" s="2111"/>
      <c r="FS304" s="2111"/>
      <c r="FT304" s="2111"/>
      <c r="FU304" s="2111"/>
      <c r="FV304" s="2111"/>
      <c r="FW304" s="2111"/>
      <c r="FX304" s="2111"/>
      <c r="FY304" s="2111"/>
      <c r="FZ304" s="2111"/>
      <c r="GA304" s="2111"/>
      <c r="GB304" s="2111"/>
      <c r="GC304" s="2111"/>
      <c r="GD304" s="2111"/>
      <c r="GE304" s="2111"/>
      <c r="GF304" s="2111"/>
      <c r="GG304" s="2111"/>
      <c r="GH304" s="2111"/>
      <c r="GI304" s="2111"/>
      <c r="GJ304" s="2111"/>
      <c r="GK304" s="2111"/>
      <c r="GL304" s="2111"/>
      <c r="GM304" s="2111"/>
    </row>
    <row r="305" spans="1:195" s="2241" customFormat="1" ht="45" customHeight="1" x14ac:dyDescent="0.2">
      <c r="A305" s="2122"/>
      <c r="B305" s="2123"/>
      <c r="C305" s="2124"/>
      <c r="D305" s="2123"/>
      <c r="E305" s="2123"/>
      <c r="F305" s="2124"/>
      <c r="G305" s="2123"/>
      <c r="H305" s="2123"/>
      <c r="I305" s="2124"/>
      <c r="J305" s="5111"/>
      <c r="K305" s="5114"/>
      <c r="L305" s="5085"/>
      <c r="M305" s="5144"/>
      <c r="N305" s="5144"/>
      <c r="O305" s="5085"/>
      <c r="P305" s="5085"/>
      <c r="Q305" s="5088"/>
      <c r="R305" s="5119"/>
      <c r="S305" s="5102"/>
      <c r="T305" s="5088"/>
      <c r="U305" s="5088"/>
      <c r="V305" s="5147"/>
      <c r="W305" s="2210">
        <f>4163056704+1353644949</f>
        <v>5516701653</v>
      </c>
      <c r="X305" s="2203">
        <v>3926166379</v>
      </c>
      <c r="Y305" s="2203">
        <v>1374797861</v>
      </c>
      <c r="Z305" s="2230">
        <v>59</v>
      </c>
      <c r="AA305" s="2852" t="s">
        <v>1979</v>
      </c>
      <c r="AB305" s="5085"/>
      <c r="AC305" s="5085"/>
      <c r="AD305" s="5085"/>
      <c r="AE305" s="5085"/>
      <c r="AF305" s="5085"/>
      <c r="AG305" s="5085"/>
      <c r="AH305" s="5085"/>
      <c r="AI305" s="5085"/>
      <c r="AJ305" s="5085"/>
      <c r="AK305" s="5085"/>
      <c r="AL305" s="5085"/>
      <c r="AM305" s="5085"/>
      <c r="AN305" s="5085"/>
      <c r="AO305" s="5085"/>
      <c r="AP305" s="5085"/>
      <c r="AQ305" s="5085"/>
      <c r="AR305" s="5085"/>
      <c r="AS305" s="5085"/>
      <c r="AT305" s="5085"/>
      <c r="AU305" s="5085"/>
      <c r="AV305" s="5085"/>
      <c r="AW305" s="5085"/>
      <c r="AX305" s="5085"/>
      <c r="AY305" s="5085"/>
      <c r="AZ305" s="5085"/>
      <c r="BA305" s="5085"/>
      <c r="BB305" s="5085"/>
      <c r="BC305" s="5085"/>
      <c r="BD305" s="5085"/>
      <c r="BE305" s="5085"/>
      <c r="BF305" s="5085"/>
      <c r="BG305" s="5085"/>
      <c r="BH305" s="5095"/>
      <c r="BI305" s="3822"/>
      <c r="BJ305" s="3822"/>
      <c r="BK305" s="5092"/>
      <c r="BL305" s="5095"/>
      <c r="BM305" s="5095"/>
      <c r="BN305" s="5079"/>
      <c r="BO305" s="5079"/>
      <c r="BP305" s="5079"/>
      <c r="BQ305" s="5079"/>
      <c r="BR305" s="5082"/>
      <c r="BS305" s="2111"/>
      <c r="BT305" s="2111"/>
      <c r="BU305" s="2111"/>
      <c r="BV305" s="2111"/>
      <c r="BW305" s="2111"/>
      <c r="BX305" s="2111"/>
      <c r="BY305" s="2111"/>
      <c r="BZ305" s="2111"/>
      <c r="CA305" s="2111"/>
      <c r="CB305" s="2111"/>
      <c r="CC305" s="2111"/>
      <c r="CD305" s="2111"/>
      <c r="CE305" s="2111"/>
      <c r="CF305" s="2111"/>
      <c r="CG305" s="2111"/>
      <c r="CH305" s="2111"/>
      <c r="CI305" s="2111"/>
      <c r="CJ305" s="2111"/>
      <c r="CK305" s="2111"/>
      <c r="CL305" s="2111"/>
      <c r="CM305" s="2111"/>
      <c r="CN305" s="2111"/>
      <c r="CO305" s="2111"/>
      <c r="CP305" s="2111"/>
      <c r="CQ305" s="2111"/>
      <c r="CR305" s="2111"/>
      <c r="CS305" s="2111"/>
      <c r="CT305" s="2111"/>
      <c r="CU305" s="2111"/>
      <c r="CV305" s="2111"/>
      <c r="CW305" s="2111"/>
      <c r="CX305" s="2111"/>
      <c r="CY305" s="2111"/>
      <c r="CZ305" s="2111"/>
      <c r="DA305" s="2111"/>
      <c r="DB305" s="2111"/>
      <c r="DC305" s="2111"/>
      <c r="DD305" s="2111"/>
      <c r="DE305" s="2111"/>
      <c r="DF305" s="2111"/>
      <c r="DG305" s="2111"/>
      <c r="DH305" s="2111"/>
      <c r="DI305" s="2111"/>
      <c r="DJ305" s="2111"/>
      <c r="DK305" s="2111"/>
      <c r="DL305" s="2111"/>
      <c r="DM305" s="2111"/>
      <c r="DN305" s="2111"/>
      <c r="DO305" s="2111"/>
      <c r="DP305" s="2111"/>
      <c r="DQ305" s="2111"/>
      <c r="DR305" s="2111"/>
      <c r="DS305" s="2111"/>
      <c r="DT305" s="2111"/>
      <c r="DU305" s="2111"/>
      <c r="DV305" s="2111"/>
      <c r="DW305" s="2111"/>
      <c r="DX305" s="2111"/>
      <c r="DY305" s="2111"/>
      <c r="DZ305" s="2111"/>
      <c r="EA305" s="2111"/>
      <c r="EB305" s="2111"/>
      <c r="EC305" s="2111"/>
      <c r="ED305" s="2111"/>
      <c r="EE305" s="2111"/>
      <c r="EF305" s="2111"/>
      <c r="EG305" s="2111"/>
      <c r="EH305" s="2111"/>
      <c r="EI305" s="2111"/>
      <c r="EJ305" s="2111"/>
      <c r="EK305" s="2111"/>
      <c r="EL305" s="2111"/>
      <c r="EM305" s="2111"/>
      <c r="EN305" s="2111"/>
      <c r="EO305" s="2111"/>
      <c r="EP305" s="2111"/>
      <c r="EQ305" s="2111"/>
      <c r="ER305" s="2111"/>
      <c r="ES305" s="2111"/>
      <c r="ET305" s="2111"/>
      <c r="EU305" s="2111"/>
      <c r="EV305" s="2111"/>
      <c r="EW305" s="2111"/>
      <c r="EX305" s="2111"/>
      <c r="EY305" s="2111"/>
      <c r="EZ305" s="2111"/>
      <c r="FA305" s="2111"/>
      <c r="FB305" s="2111"/>
      <c r="FC305" s="2111"/>
      <c r="FD305" s="2111"/>
      <c r="FE305" s="2111"/>
      <c r="FF305" s="2111"/>
      <c r="FG305" s="2111"/>
      <c r="FH305" s="2111"/>
      <c r="FI305" s="2111"/>
      <c r="FJ305" s="2111"/>
      <c r="FK305" s="2111"/>
      <c r="FL305" s="2111"/>
      <c r="FM305" s="2111"/>
      <c r="FN305" s="2111"/>
      <c r="FO305" s="2111"/>
      <c r="FP305" s="2111"/>
      <c r="FQ305" s="2111"/>
      <c r="FR305" s="2111"/>
      <c r="FS305" s="2111"/>
      <c r="FT305" s="2111"/>
      <c r="FU305" s="2111"/>
      <c r="FV305" s="2111"/>
      <c r="FW305" s="2111"/>
      <c r="FX305" s="2111"/>
      <c r="FY305" s="2111"/>
      <c r="FZ305" s="2111"/>
      <c r="GA305" s="2111"/>
      <c r="GB305" s="2111"/>
      <c r="GC305" s="2111"/>
      <c r="GD305" s="2111"/>
      <c r="GE305" s="2111"/>
      <c r="GF305" s="2111"/>
      <c r="GG305" s="2111"/>
      <c r="GH305" s="2111"/>
      <c r="GI305" s="2111"/>
      <c r="GJ305" s="2111"/>
      <c r="GK305" s="2111"/>
      <c r="GL305" s="2111"/>
      <c r="GM305" s="2111"/>
    </row>
    <row r="306" spans="1:195" s="2241" customFormat="1" ht="45" customHeight="1" x14ac:dyDescent="0.2">
      <c r="A306" s="2122"/>
      <c r="B306" s="2123"/>
      <c r="C306" s="2124"/>
      <c r="D306" s="2123"/>
      <c r="E306" s="2123"/>
      <c r="F306" s="2124"/>
      <c r="G306" s="2123"/>
      <c r="H306" s="2123"/>
      <c r="I306" s="2124"/>
      <c r="J306" s="5111"/>
      <c r="K306" s="5114"/>
      <c r="L306" s="5085"/>
      <c r="M306" s="5144"/>
      <c r="N306" s="5144"/>
      <c r="O306" s="5085"/>
      <c r="P306" s="5085"/>
      <c r="Q306" s="5088"/>
      <c r="R306" s="5119"/>
      <c r="S306" s="5102"/>
      <c r="T306" s="5088"/>
      <c r="U306" s="5088"/>
      <c r="V306" s="5147"/>
      <c r="W306" s="2210">
        <v>3888000000</v>
      </c>
      <c r="X306" s="2203">
        <v>3775114443</v>
      </c>
      <c r="Y306" s="2203">
        <v>1322261490</v>
      </c>
      <c r="Z306" s="2230">
        <v>60</v>
      </c>
      <c r="AA306" s="2852" t="s">
        <v>1980</v>
      </c>
      <c r="AB306" s="5085"/>
      <c r="AC306" s="5085"/>
      <c r="AD306" s="5085"/>
      <c r="AE306" s="5085"/>
      <c r="AF306" s="5085"/>
      <c r="AG306" s="5085"/>
      <c r="AH306" s="5085"/>
      <c r="AI306" s="5085"/>
      <c r="AJ306" s="5085"/>
      <c r="AK306" s="5085"/>
      <c r="AL306" s="5085"/>
      <c r="AM306" s="5085"/>
      <c r="AN306" s="5085"/>
      <c r="AO306" s="5085"/>
      <c r="AP306" s="5085"/>
      <c r="AQ306" s="5085"/>
      <c r="AR306" s="5085"/>
      <c r="AS306" s="5085"/>
      <c r="AT306" s="5085"/>
      <c r="AU306" s="5085"/>
      <c r="AV306" s="5085"/>
      <c r="AW306" s="5085"/>
      <c r="AX306" s="5085"/>
      <c r="AY306" s="5085"/>
      <c r="AZ306" s="5085"/>
      <c r="BA306" s="5085"/>
      <c r="BB306" s="5085"/>
      <c r="BC306" s="5085"/>
      <c r="BD306" s="5085"/>
      <c r="BE306" s="5085"/>
      <c r="BF306" s="5085"/>
      <c r="BG306" s="5085"/>
      <c r="BH306" s="5095"/>
      <c r="BI306" s="3822"/>
      <c r="BJ306" s="3822"/>
      <c r="BK306" s="5092"/>
      <c r="BL306" s="5095"/>
      <c r="BM306" s="5095"/>
      <c r="BN306" s="5079"/>
      <c r="BO306" s="5079"/>
      <c r="BP306" s="5079"/>
      <c r="BQ306" s="5079"/>
      <c r="BR306" s="5082"/>
      <c r="BS306" s="2111"/>
      <c r="BT306" s="2111"/>
      <c r="BU306" s="2111"/>
      <c r="BV306" s="2111"/>
      <c r="BW306" s="2111"/>
      <c r="BX306" s="2111"/>
      <c r="BY306" s="2111"/>
      <c r="BZ306" s="2111"/>
      <c r="CA306" s="2111"/>
      <c r="CB306" s="2111"/>
      <c r="CC306" s="2111"/>
      <c r="CD306" s="2111"/>
      <c r="CE306" s="2111"/>
      <c r="CF306" s="2111"/>
      <c r="CG306" s="2111"/>
      <c r="CH306" s="2111"/>
      <c r="CI306" s="2111"/>
      <c r="CJ306" s="2111"/>
      <c r="CK306" s="2111"/>
      <c r="CL306" s="2111"/>
      <c r="CM306" s="2111"/>
      <c r="CN306" s="2111"/>
      <c r="CO306" s="2111"/>
      <c r="CP306" s="2111"/>
      <c r="CQ306" s="2111"/>
      <c r="CR306" s="2111"/>
      <c r="CS306" s="2111"/>
      <c r="CT306" s="2111"/>
      <c r="CU306" s="2111"/>
      <c r="CV306" s="2111"/>
      <c r="CW306" s="2111"/>
      <c r="CX306" s="2111"/>
      <c r="CY306" s="2111"/>
      <c r="CZ306" s="2111"/>
      <c r="DA306" s="2111"/>
      <c r="DB306" s="2111"/>
      <c r="DC306" s="2111"/>
      <c r="DD306" s="2111"/>
      <c r="DE306" s="2111"/>
      <c r="DF306" s="2111"/>
      <c r="DG306" s="2111"/>
      <c r="DH306" s="2111"/>
      <c r="DI306" s="2111"/>
      <c r="DJ306" s="2111"/>
      <c r="DK306" s="2111"/>
      <c r="DL306" s="2111"/>
      <c r="DM306" s="2111"/>
      <c r="DN306" s="2111"/>
      <c r="DO306" s="2111"/>
      <c r="DP306" s="2111"/>
      <c r="DQ306" s="2111"/>
      <c r="DR306" s="2111"/>
      <c r="DS306" s="2111"/>
      <c r="DT306" s="2111"/>
      <c r="DU306" s="2111"/>
      <c r="DV306" s="2111"/>
      <c r="DW306" s="2111"/>
      <c r="DX306" s="2111"/>
      <c r="DY306" s="2111"/>
      <c r="DZ306" s="2111"/>
      <c r="EA306" s="2111"/>
      <c r="EB306" s="2111"/>
      <c r="EC306" s="2111"/>
      <c r="ED306" s="2111"/>
      <c r="EE306" s="2111"/>
      <c r="EF306" s="2111"/>
      <c r="EG306" s="2111"/>
      <c r="EH306" s="2111"/>
      <c r="EI306" s="2111"/>
      <c r="EJ306" s="2111"/>
      <c r="EK306" s="2111"/>
      <c r="EL306" s="2111"/>
      <c r="EM306" s="2111"/>
      <c r="EN306" s="2111"/>
      <c r="EO306" s="2111"/>
      <c r="EP306" s="2111"/>
      <c r="EQ306" s="2111"/>
      <c r="ER306" s="2111"/>
      <c r="ES306" s="2111"/>
      <c r="ET306" s="2111"/>
      <c r="EU306" s="2111"/>
      <c r="EV306" s="2111"/>
      <c r="EW306" s="2111"/>
      <c r="EX306" s="2111"/>
      <c r="EY306" s="2111"/>
      <c r="EZ306" s="2111"/>
      <c r="FA306" s="2111"/>
      <c r="FB306" s="2111"/>
      <c r="FC306" s="2111"/>
      <c r="FD306" s="2111"/>
      <c r="FE306" s="2111"/>
      <c r="FF306" s="2111"/>
      <c r="FG306" s="2111"/>
      <c r="FH306" s="2111"/>
      <c r="FI306" s="2111"/>
      <c r="FJ306" s="2111"/>
      <c r="FK306" s="2111"/>
      <c r="FL306" s="2111"/>
      <c r="FM306" s="2111"/>
      <c r="FN306" s="2111"/>
      <c r="FO306" s="2111"/>
      <c r="FP306" s="2111"/>
      <c r="FQ306" s="2111"/>
      <c r="FR306" s="2111"/>
      <c r="FS306" s="2111"/>
      <c r="FT306" s="2111"/>
      <c r="FU306" s="2111"/>
      <c r="FV306" s="2111"/>
      <c r="FW306" s="2111"/>
      <c r="FX306" s="2111"/>
      <c r="FY306" s="2111"/>
      <c r="FZ306" s="2111"/>
      <c r="GA306" s="2111"/>
      <c r="GB306" s="2111"/>
      <c r="GC306" s="2111"/>
      <c r="GD306" s="2111"/>
      <c r="GE306" s="2111"/>
      <c r="GF306" s="2111"/>
      <c r="GG306" s="2111"/>
      <c r="GH306" s="2111"/>
      <c r="GI306" s="2111"/>
      <c r="GJ306" s="2111"/>
      <c r="GK306" s="2111"/>
      <c r="GL306" s="2111"/>
      <c r="GM306" s="2111"/>
    </row>
    <row r="307" spans="1:195" s="2241" customFormat="1" ht="45" customHeight="1" x14ac:dyDescent="0.2">
      <c r="A307" s="2122"/>
      <c r="B307" s="2123"/>
      <c r="C307" s="2124"/>
      <c r="D307" s="2123"/>
      <c r="E307" s="2123"/>
      <c r="F307" s="2124"/>
      <c r="G307" s="2123"/>
      <c r="H307" s="2123"/>
      <c r="I307" s="2124"/>
      <c r="J307" s="5111"/>
      <c r="K307" s="5114"/>
      <c r="L307" s="5085"/>
      <c r="M307" s="5144"/>
      <c r="N307" s="5144"/>
      <c r="O307" s="5085"/>
      <c r="P307" s="5085"/>
      <c r="Q307" s="5088"/>
      <c r="R307" s="5119"/>
      <c r="S307" s="5102"/>
      <c r="T307" s="5088"/>
      <c r="U307" s="5088"/>
      <c r="V307" s="5147"/>
      <c r="W307" s="2210">
        <v>905255315</v>
      </c>
      <c r="X307" s="2203">
        <v>875979053</v>
      </c>
      <c r="Y307" s="2203">
        <v>875979053</v>
      </c>
      <c r="Z307" s="2230">
        <v>96</v>
      </c>
      <c r="AA307" s="2852" t="s">
        <v>1981</v>
      </c>
      <c r="AB307" s="5085"/>
      <c r="AC307" s="5085"/>
      <c r="AD307" s="5085"/>
      <c r="AE307" s="5085"/>
      <c r="AF307" s="5085"/>
      <c r="AG307" s="5085"/>
      <c r="AH307" s="5085"/>
      <c r="AI307" s="5085"/>
      <c r="AJ307" s="5085"/>
      <c r="AK307" s="5085"/>
      <c r="AL307" s="5085"/>
      <c r="AM307" s="5085"/>
      <c r="AN307" s="5085"/>
      <c r="AO307" s="5085"/>
      <c r="AP307" s="5085"/>
      <c r="AQ307" s="5085"/>
      <c r="AR307" s="5085"/>
      <c r="AS307" s="5085"/>
      <c r="AT307" s="5085"/>
      <c r="AU307" s="5085"/>
      <c r="AV307" s="5085"/>
      <c r="AW307" s="5085"/>
      <c r="AX307" s="5085"/>
      <c r="AY307" s="5085"/>
      <c r="AZ307" s="5085"/>
      <c r="BA307" s="5085"/>
      <c r="BB307" s="5085"/>
      <c r="BC307" s="5085"/>
      <c r="BD307" s="5085"/>
      <c r="BE307" s="5085"/>
      <c r="BF307" s="5085"/>
      <c r="BG307" s="5085"/>
      <c r="BH307" s="5095"/>
      <c r="BI307" s="3822"/>
      <c r="BJ307" s="3822"/>
      <c r="BK307" s="5092"/>
      <c r="BL307" s="5095"/>
      <c r="BM307" s="5095"/>
      <c r="BN307" s="5079"/>
      <c r="BO307" s="5079"/>
      <c r="BP307" s="5079"/>
      <c r="BQ307" s="5079"/>
      <c r="BR307" s="5082"/>
      <c r="BS307" s="2111"/>
      <c r="BT307" s="2111"/>
      <c r="BU307" s="2111"/>
      <c r="BV307" s="2111"/>
      <c r="BW307" s="2111"/>
      <c r="BX307" s="2111"/>
      <c r="BY307" s="2111"/>
      <c r="BZ307" s="2111"/>
      <c r="CA307" s="2111"/>
      <c r="CB307" s="2111"/>
      <c r="CC307" s="2111"/>
      <c r="CD307" s="2111"/>
      <c r="CE307" s="2111"/>
      <c r="CF307" s="2111"/>
      <c r="CG307" s="2111"/>
      <c r="CH307" s="2111"/>
      <c r="CI307" s="2111"/>
      <c r="CJ307" s="2111"/>
      <c r="CK307" s="2111"/>
      <c r="CL307" s="2111"/>
      <c r="CM307" s="2111"/>
      <c r="CN307" s="2111"/>
      <c r="CO307" s="2111"/>
      <c r="CP307" s="2111"/>
      <c r="CQ307" s="2111"/>
      <c r="CR307" s="2111"/>
      <c r="CS307" s="2111"/>
      <c r="CT307" s="2111"/>
      <c r="CU307" s="2111"/>
      <c r="CV307" s="2111"/>
      <c r="CW307" s="2111"/>
      <c r="CX307" s="2111"/>
      <c r="CY307" s="2111"/>
      <c r="CZ307" s="2111"/>
      <c r="DA307" s="2111"/>
      <c r="DB307" s="2111"/>
      <c r="DC307" s="2111"/>
      <c r="DD307" s="2111"/>
      <c r="DE307" s="2111"/>
      <c r="DF307" s="2111"/>
      <c r="DG307" s="2111"/>
      <c r="DH307" s="2111"/>
      <c r="DI307" s="2111"/>
      <c r="DJ307" s="2111"/>
      <c r="DK307" s="2111"/>
      <c r="DL307" s="2111"/>
      <c r="DM307" s="2111"/>
      <c r="DN307" s="2111"/>
      <c r="DO307" s="2111"/>
      <c r="DP307" s="2111"/>
      <c r="DQ307" s="2111"/>
      <c r="DR307" s="2111"/>
      <c r="DS307" s="2111"/>
      <c r="DT307" s="2111"/>
      <c r="DU307" s="2111"/>
      <c r="DV307" s="2111"/>
      <c r="DW307" s="2111"/>
      <c r="DX307" s="2111"/>
      <c r="DY307" s="2111"/>
      <c r="DZ307" s="2111"/>
      <c r="EA307" s="2111"/>
      <c r="EB307" s="2111"/>
      <c r="EC307" s="2111"/>
      <c r="ED307" s="2111"/>
      <c r="EE307" s="2111"/>
      <c r="EF307" s="2111"/>
      <c r="EG307" s="2111"/>
      <c r="EH307" s="2111"/>
      <c r="EI307" s="2111"/>
      <c r="EJ307" s="2111"/>
      <c r="EK307" s="2111"/>
      <c r="EL307" s="2111"/>
      <c r="EM307" s="2111"/>
      <c r="EN307" s="2111"/>
      <c r="EO307" s="2111"/>
      <c r="EP307" s="2111"/>
      <c r="EQ307" s="2111"/>
      <c r="ER307" s="2111"/>
      <c r="ES307" s="2111"/>
      <c r="ET307" s="2111"/>
      <c r="EU307" s="2111"/>
      <c r="EV307" s="2111"/>
      <c r="EW307" s="2111"/>
      <c r="EX307" s="2111"/>
      <c r="EY307" s="2111"/>
      <c r="EZ307" s="2111"/>
      <c r="FA307" s="2111"/>
      <c r="FB307" s="2111"/>
      <c r="FC307" s="2111"/>
      <c r="FD307" s="2111"/>
      <c r="FE307" s="2111"/>
      <c r="FF307" s="2111"/>
      <c r="FG307" s="2111"/>
      <c r="FH307" s="2111"/>
      <c r="FI307" s="2111"/>
      <c r="FJ307" s="2111"/>
      <c r="FK307" s="2111"/>
      <c r="FL307" s="2111"/>
      <c r="FM307" s="2111"/>
      <c r="FN307" s="2111"/>
      <c r="FO307" s="2111"/>
      <c r="FP307" s="2111"/>
      <c r="FQ307" s="2111"/>
      <c r="FR307" s="2111"/>
      <c r="FS307" s="2111"/>
      <c r="FT307" s="2111"/>
      <c r="FU307" s="2111"/>
      <c r="FV307" s="2111"/>
      <c r="FW307" s="2111"/>
      <c r="FX307" s="2111"/>
      <c r="FY307" s="2111"/>
      <c r="FZ307" s="2111"/>
      <c r="GA307" s="2111"/>
      <c r="GB307" s="2111"/>
      <c r="GC307" s="2111"/>
      <c r="GD307" s="2111"/>
      <c r="GE307" s="2111"/>
      <c r="GF307" s="2111"/>
      <c r="GG307" s="2111"/>
      <c r="GH307" s="2111"/>
      <c r="GI307" s="2111"/>
      <c r="GJ307" s="2111"/>
      <c r="GK307" s="2111"/>
      <c r="GL307" s="2111"/>
      <c r="GM307" s="2111"/>
    </row>
    <row r="308" spans="1:195" s="2241" customFormat="1" ht="45" customHeight="1" x14ac:dyDescent="0.2">
      <c r="A308" s="2122"/>
      <c r="B308" s="2123"/>
      <c r="C308" s="2124"/>
      <c r="D308" s="2123"/>
      <c r="E308" s="2123"/>
      <c r="F308" s="2124"/>
      <c r="G308" s="2123"/>
      <c r="H308" s="2123"/>
      <c r="I308" s="2124"/>
      <c r="J308" s="5111"/>
      <c r="K308" s="5114"/>
      <c r="L308" s="5085"/>
      <c r="M308" s="5144"/>
      <c r="N308" s="5144"/>
      <c r="O308" s="5085"/>
      <c r="P308" s="5085"/>
      <c r="Q308" s="5088"/>
      <c r="R308" s="5119"/>
      <c r="S308" s="5102"/>
      <c r="T308" s="5088"/>
      <c r="U308" s="5088"/>
      <c r="V308" s="5147"/>
      <c r="W308" s="2210">
        <v>573833621</v>
      </c>
      <c r="X308" s="2203">
        <v>0</v>
      </c>
      <c r="Y308" s="2203">
        <v>0</v>
      </c>
      <c r="Z308" s="2230">
        <v>97</v>
      </c>
      <c r="AA308" s="2852" t="s">
        <v>1982</v>
      </c>
      <c r="AB308" s="5085"/>
      <c r="AC308" s="5085"/>
      <c r="AD308" s="5085"/>
      <c r="AE308" s="5085"/>
      <c r="AF308" s="5085"/>
      <c r="AG308" s="5085"/>
      <c r="AH308" s="5085"/>
      <c r="AI308" s="5085"/>
      <c r="AJ308" s="5085"/>
      <c r="AK308" s="5085"/>
      <c r="AL308" s="5085"/>
      <c r="AM308" s="5085"/>
      <c r="AN308" s="5085"/>
      <c r="AO308" s="5085"/>
      <c r="AP308" s="5085"/>
      <c r="AQ308" s="5085"/>
      <c r="AR308" s="5085"/>
      <c r="AS308" s="5085"/>
      <c r="AT308" s="5085"/>
      <c r="AU308" s="5085"/>
      <c r="AV308" s="5085"/>
      <c r="AW308" s="5085"/>
      <c r="AX308" s="5085"/>
      <c r="AY308" s="5085"/>
      <c r="AZ308" s="5085"/>
      <c r="BA308" s="5085"/>
      <c r="BB308" s="5085"/>
      <c r="BC308" s="5085"/>
      <c r="BD308" s="5085"/>
      <c r="BE308" s="5085"/>
      <c r="BF308" s="5085"/>
      <c r="BG308" s="5085"/>
      <c r="BH308" s="5095"/>
      <c r="BI308" s="3822"/>
      <c r="BJ308" s="3822"/>
      <c r="BK308" s="5092"/>
      <c r="BL308" s="5095"/>
      <c r="BM308" s="5095"/>
      <c r="BN308" s="5079"/>
      <c r="BO308" s="5079"/>
      <c r="BP308" s="5079"/>
      <c r="BQ308" s="5079"/>
      <c r="BR308" s="5082"/>
      <c r="BS308" s="2111"/>
      <c r="BT308" s="2111"/>
      <c r="BU308" s="2111"/>
      <c r="BV308" s="2111"/>
      <c r="BW308" s="2111"/>
      <c r="BX308" s="2111"/>
      <c r="BY308" s="2111"/>
      <c r="BZ308" s="2111"/>
      <c r="CA308" s="2111"/>
      <c r="CB308" s="2111"/>
      <c r="CC308" s="2111"/>
      <c r="CD308" s="2111"/>
      <c r="CE308" s="2111"/>
      <c r="CF308" s="2111"/>
      <c r="CG308" s="2111"/>
      <c r="CH308" s="2111"/>
      <c r="CI308" s="2111"/>
      <c r="CJ308" s="2111"/>
      <c r="CK308" s="2111"/>
      <c r="CL308" s="2111"/>
      <c r="CM308" s="2111"/>
      <c r="CN308" s="2111"/>
      <c r="CO308" s="2111"/>
      <c r="CP308" s="2111"/>
      <c r="CQ308" s="2111"/>
      <c r="CR308" s="2111"/>
      <c r="CS308" s="2111"/>
      <c r="CT308" s="2111"/>
      <c r="CU308" s="2111"/>
      <c r="CV308" s="2111"/>
      <c r="CW308" s="2111"/>
      <c r="CX308" s="2111"/>
      <c r="CY308" s="2111"/>
      <c r="CZ308" s="2111"/>
      <c r="DA308" s="2111"/>
      <c r="DB308" s="2111"/>
      <c r="DC308" s="2111"/>
      <c r="DD308" s="2111"/>
      <c r="DE308" s="2111"/>
      <c r="DF308" s="2111"/>
      <c r="DG308" s="2111"/>
      <c r="DH308" s="2111"/>
      <c r="DI308" s="2111"/>
      <c r="DJ308" s="2111"/>
      <c r="DK308" s="2111"/>
      <c r="DL308" s="2111"/>
      <c r="DM308" s="2111"/>
      <c r="DN308" s="2111"/>
      <c r="DO308" s="2111"/>
      <c r="DP308" s="2111"/>
      <c r="DQ308" s="2111"/>
      <c r="DR308" s="2111"/>
      <c r="DS308" s="2111"/>
      <c r="DT308" s="2111"/>
      <c r="DU308" s="2111"/>
      <c r="DV308" s="2111"/>
      <c r="DW308" s="2111"/>
      <c r="DX308" s="2111"/>
      <c r="DY308" s="2111"/>
      <c r="DZ308" s="2111"/>
      <c r="EA308" s="2111"/>
      <c r="EB308" s="2111"/>
      <c r="EC308" s="2111"/>
      <c r="ED308" s="2111"/>
      <c r="EE308" s="2111"/>
      <c r="EF308" s="2111"/>
      <c r="EG308" s="2111"/>
      <c r="EH308" s="2111"/>
      <c r="EI308" s="2111"/>
      <c r="EJ308" s="2111"/>
      <c r="EK308" s="2111"/>
      <c r="EL308" s="2111"/>
      <c r="EM308" s="2111"/>
      <c r="EN308" s="2111"/>
      <c r="EO308" s="2111"/>
      <c r="EP308" s="2111"/>
      <c r="EQ308" s="2111"/>
      <c r="ER308" s="2111"/>
      <c r="ES308" s="2111"/>
      <c r="ET308" s="2111"/>
      <c r="EU308" s="2111"/>
      <c r="EV308" s="2111"/>
      <c r="EW308" s="2111"/>
      <c r="EX308" s="2111"/>
      <c r="EY308" s="2111"/>
      <c r="EZ308" s="2111"/>
      <c r="FA308" s="2111"/>
      <c r="FB308" s="2111"/>
      <c r="FC308" s="2111"/>
      <c r="FD308" s="2111"/>
      <c r="FE308" s="2111"/>
      <c r="FF308" s="2111"/>
      <c r="FG308" s="2111"/>
      <c r="FH308" s="2111"/>
      <c r="FI308" s="2111"/>
      <c r="FJ308" s="2111"/>
      <c r="FK308" s="2111"/>
      <c r="FL308" s="2111"/>
      <c r="FM308" s="2111"/>
      <c r="FN308" s="2111"/>
      <c r="FO308" s="2111"/>
      <c r="FP308" s="2111"/>
      <c r="FQ308" s="2111"/>
      <c r="FR308" s="2111"/>
      <c r="FS308" s="2111"/>
      <c r="FT308" s="2111"/>
      <c r="FU308" s="2111"/>
      <c r="FV308" s="2111"/>
      <c r="FW308" s="2111"/>
      <c r="FX308" s="2111"/>
      <c r="FY308" s="2111"/>
      <c r="FZ308" s="2111"/>
      <c r="GA308" s="2111"/>
      <c r="GB308" s="2111"/>
      <c r="GC308" s="2111"/>
      <c r="GD308" s="2111"/>
      <c r="GE308" s="2111"/>
      <c r="GF308" s="2111"/>
      <c r="GG308" s="2111"/>
      <c r="GH308" s="2111"/>
      <c r="GI308" s="2111"/>
      <c r="GJ308" s="2111"/>
      <c r="GK308" s="2111"/>
      <c r="GL308" s="2111"/>
      <c r="GM308" s="2111"/>
    </row>
    <row r="309" spans="1:195" s="2241" customFormat="1" ht="45" customHeight="1" x14ac:dyDescent="0.2">
      <c r="A309" s="2122"/>
      <c r="B309" s="2123"/>
      <c r="C309" s="2124"/>
      <c r="D309" s="2123"/>
      <c r="E309" s="2123"/>
      <c r="F309" s="2124"/>
      <c r="G309" s="2123"/>
      <c r="H309" s="2123"/>
      <c r="I309" s="2124"/>
      <c r="J309" s="5111"/>
      <c r="K309" s="5114"/>
      <c r="L309" s="5085"/>
      <c r="M309" s="5144"/>
      <c r="N309" s="5144"/>
      <c r="O309" s="5085"/>
      <c r="P309" s="5085"/>
      <c r="Q309" s="5088"/>
      <c r="R309" s="5119"/>
      <c r="S309" s="5102"/>
      <c r="T309" s="5088"/>
      <c r="U309" s="5088"/>
      <c r="V309" s="5147"/>
      <c r="W309" s="2210">
        <v>6866202</v>
      </c>
      <c r="X309" s="2203">
        <v>0</v>
      </c>
      <c r="Y309" s="2203">
        <v>0</v>
      </c>
      <c r="Z309" s="2230">
        <v>65</v>
      </c>
      <c r="AA309" s="2852" t="s">
        <v>1983</v>
      </c>
      <c r="AB309" s="5085"/>
      <c r="AC309" s="5085"/>
      <c r="AD309" s="5085"/>
      <c r="AE309" s="5085"/>
      <c r="AF309" s="5085"/>
      <c r="AG309" s="5085"/>
      <c r="AH309" s="5085"/>
      <c r="AI309" s="5085"/>
      <c r="AJ309" s="5085"/>
      <c r="AK309" s="5085"/>
      <c r="AL309" s="5085"/>
      <c r="AM309" s="5085"/>
      <c r="AN309" s="5085"/>
      <c r="AO309" s="5085"/>
      <c r="AP309" s="5085"/>
      <c r="AQ309" s="5085"/>
      <c r="AR309" s="5085"/>
      <c r="AS309" s="5085"/>
      <c r="AT309" s="5085"/>
      <c r="AU309" s="5085"/>
      <c r="AV309" s="5085"/>
      <c r="AW309" s="5085"/>
      <c r="AX309" s="5085"/>
      <c r="AY309" s="5085"/>
      <c r="AZ309" s="5085"/>
      <c r="BA309" s="5085"/>
      <c r="BB309" s="5085"/>
      <c r="BC309" s="5085"/>
      <c r="BD309" s="5085"/>
      <c r="BE309" s="5085"/>
      <c r="BF309" s="5085"/>
      <c r="BG309" s="5085"/>
      <c r="BH309" s="5095"/>
      <c r="BI309" s="3822"/>
      <c r="BJ309" s="3822"/>
      <c r="BK309" s="5092"/>
      <c r="BL309" s="5095"/>
      <c r="BM309" s="5095"/>
      <c r="BN309" s="5079"/>
      <c r="BO309" s="5079"/>
      <c r="BP309" s="5079"/>
      <c r="BQ309" s="5079"/>
      <c r="BR309" s="5082"/>
      <c r="BS309" s="2111"/>
      <c r="BT309" s="2111"/>
      <c r="BU309" s="2111"/>
      <c r="BV309" s="2111"/>
      <c r="BW309" s="2111"/>
      <c r="BX309" s="2111"/>
      <c r="BY309" s="2111"/>
      <c r="BZ309" s="2111"/>
      <c r="CA309" s="2111"/>
      <c r="CB309" s="2111"/>
      <c r="CC309" s="2111"/>
      <c r="CD309" s="2111"/>
      <c r="CE309" s="2111"/>
      <c r="CF309" s="2111"/>
      <c r="CG309" s="2111"/>
      <c r="CH309" s="2111"/>
      <c r="CI309" s="2111"/>
      <c r="CJ309" s="2111"/>
      <c r="CK309" s="2111"/>
      <c r="CL309" s="2111"/>
      <c r="CM309" s="2111"/>
      <c r="CN309" s="2111"/>
      <c r="CO309" s="2111"/>
      <c r="CP309" s="2111"/>
      <c r="CQ309" s="2111"/>
      <c r="CR309" s="2111"/>
      <c r="CS309" s="2111"/>
      <c r="CT309" s="2111"/>
      <c r="CU309" s="2111"/>
      <c r="CV309" s="2111"/>
      <c r="CW309" s="2111"/>
      <c r="CX309" s="2111"/>
      <c r="CY309" s="2111"/>
      <c r="CZ309" s="2111"/>
      <c r="DA309" s="2111"/>
      <c r="DB309" s="2111"/>
      <c r="DC309" s="2111"/>
      <c r="DD309" s="2111"/>
      <c r="DE309" s="2111"/>
      <c r="DF309" s="2111"/>
      <c r="DG309" s="2111"/>
      <c r="DH309" s="2111"/>
      <c r="DI309" s="2111"/>
      <c r="DJ309" s="2111"/>
      <c r="DK309" s="2111"/>
      <c r="DL309" s="2111"/>
      <c r="DM309" s="2111"/>
      <c r="DN309" s="2111"/>
      <c r="DO309" s="2111"/>
      <c r="DP309" s="2111"/>
      <c r="DQ309" s="2111"/>
      <c r="DR309" s="2111"/>
      <c r="DS309" s="2111"/>
      <c r="DT309" s="2111"/>
      <c r="DU309" s="2111"/>
      <c r="DV309" s="2111"/>
      <c r="DW309" s="2111"/>
      <c r="DX309" s="2111"/>
      <c r="DY309" s="2111"/>
      <c r="DZ309" s="2111"/>
      <c r="EA309" s="2111"/>
      <c r="EB309" s="2111"/>
      <c r="EC309" s="2111"/>
      <c r="ED309" s="2111"/>
      <c r="EE309" s="2111"/>
      <c r="EF309" s="2111"/>
      <c r="EG309" s="2111"/>
      <c r="EH309" s="2111"/>
      <c r="EI309" s="2111"/>
      <c r="EJ309" s="2111"/>
      <c r="EK309" s="2111"/>
      <c r="EL309" s="2111"/>
      <c r="EM309" s="2111"/>
      <c r="EN309" s="2111"/>
      <c r="EO309" s="2111"/>
      <c r="EP309" s="2111"/>
      <c r="EQ309" s="2111"/>
      <c r="ER309" s="2111"/>
      <c r="ES309" s="2111"/>
      <c r="ET309" s="2111"/>
      <c r="EU309" s="2111"/>
      <c r="EV309" s="2111"/>
      <c r="EW309" s="2111"/>
      <c r="EX309" s="2111"/>
      <c r="EY309" s="2111"/>
      <c r="EZ309" s="2111"/>
      <c r="FA309" s="2111"/>
      <c r="FB309" s="2111"/>
      <c r="FC309" s="2111"/>
      <c r="FD309" s="2111"/>
      <c r="FE309" s="2111"/>
      <c r="FF309" s="2111"/>
      <c r="FG309" s="2111"/>
      <c r="FH309" s="2111"/>
      <c r="FI309" s="2111"/>
      <c r="FJ309" s="2111"/>
      <c r="FK309" s="2111"/>
      <c r="FL309" s="2111"/>
      <c r="FM309" s="2111"/>
      <c r="FN309" s="2111"/>
      <c r="FO309" s="2111"/>
      <c r="FP309" s="2111"/>
      <c r="FQ309" s="2111"/>
      <c r="FR309" s="2111"/>
      <c r="FS309" s="2111"/>
      <c r="FT309" s="2111"/>
      <c r="FU309" s="2111"/>
      <c r="FV309" s="2111"/>
      <c r="FW309" s="2111"/>
      <c r="FX309" s="2111"/>
      <c r="FY309" s="2111"/>
      <c r="FZ309" s="2111"/>
      <c r="GA309" s="2111"/>
      <c r="GB309" s="2111"/>
      <c r="GC309" s="2111"/>
      <c r="GD309" s="2111"/>
      <c r="GE309" s="2111"/>
      <c r="GF309" s="2111"/>
      <c r="GG309" s="2111"/>
      <c r="GH309" s="2111"/>
      <c r="GI309" s="2111"/>
      <c r="GJ309" s="2111"/>
      <c r="GK309" s="2111"/>
      <c r="GL309" s="2111"/>
      <c r="GM309" s="2111"/>
    </row>
    <row r="310" spans="1:195" s="2241" customFormat="1" ht="45" customHeight="1" x14ac:dyDescent="0.2">
      <c r="A310" s="2122"/>
      <c r="B310" s="2123"/>
      <c r="C310" s="2124"/>
      <c r="D310" s="2123"/>
      <c r="E310" s="2123"/>
      <c r="F310" s="2124"/>
      <c r="G310" s="2123"/>
      <c r="H310" s="2123"/>
      <c r="I310" s="2124"/>
      <c r="J310" s="5111"/>
      <c r="K310" s="5114"/>
      <c r="L310" s="5085"/>
      <c r="M310" s="5144"/>
      <c r="N310" s="5144"/>
      <c r="O310" s="5085"/>
      <c r="P310" s="5085"/>
      <c r="Q310" s="5088"/>
      <c r="R310" s="5119"/>
      <c r="S310" s="5102"/>
      <c r="T310" s="5088"/>
      <c r="U310" s="5088"/>
      <c r="V310" s="5147"/>
      <c r="W310" s="2210">
        <v>134128260</v>
      </c>
      <c r="X310" s="2203">
        <v>134128260</v>
      </c>
      <c r="Y310" s="2203">
        <v>134128260</v>
      </c>
      <c r="Z310" s="2230">
        <v>156</v>
      </c>
      <c r="AA310" s="2852" t="s">
        <v>1984</v>
      </c>
      <c r="AB310" s="5085"/>
      <c r="AC310" s="5085"/>
      <c r="AD310" s="5085"/>
      <c r="AE310" s="5085"/>
      <c r="AF310" s="5085"/>
      <c r="AG310" s="5085"/>
      <c r="AH310" s="5085"/>
      <c r="AI310" s="5085"/>
      <c r="AJ310" s="5085"/>
      <c r="AK310" s="5085"/>
      <c r="AL310" s="5085"/>
      <c r="AM310" s="5085"/>
      <c r="AN310" s="5085"/>
      <c r="AO310" s="5085"/>
      <c r="AP310" s="5085"/>
      <c r="AQ310" s="5085"/>
      <c r="AR310" s="5085"/>
      <c r="AS310" s="5085"/>
      <c r="AT310" s="5085"/>
      <c r="AU310" s="5085"/>
      <c r="AV310" s="5085"/>
      <c r="AW310" s="5085"/>
      <c r="AX310" s="5085"/>
      <c r="AY310" s="5085"/>
      <c r="AZ310" s="5085"/>
      <c r="BA310" s="5085"/>
      <c r="BB310" s="5085"/>
      <c r="BC310" s="5085"/>
      <c r="BD310" s="5085"/>
      <c r="BE310" s="5085"/>
      <c r="BF310" s="5085"/>
      <c r="BG310" s="5085"/>
      <c r="BH310" s="5095"/>
      <c r="BI310" s="3822"/>
      <c r="BJ310" s="3822"/>
      <c r="BK310" s="5092"/>
      <c r="BL310" s="5095"/>
      <c r="BM310" s="5095"/>
      <c r="BN310" s="5079"/>
      <c r="BO310" s="5079"/>
      <c r="BP310" s="5079"/>
      <c r="BQ310" s="5079"/>
      <c r="BR310" s="5082"/>
      <c r="BS310" s="2111"/>
      <c r="BT310" s="2111"/>
      <c r="BU310" s="2111"/>
      <c r="BV310" s="2111"/>
      <c r="BW310" s="2111"/>
      <c r="BX310" s="2111"/>
      <c r="BY310" s="2111"/>
      <c r="BZ310" s="2111"/>
      <c r="CA310" s="2111"/>
      <c r="CB310" s="2111"/>
      <c r="CC310" s="2111"/>
      <c r="CD310" s="2111"/>
      <c r="CE310" s="2111"/>
      <c r="CF310" s="2111"/>
      <c r="CG310" s="2111"/>
      <c r="CH310" s="2111"/>
      <c r="CI310" s="2111"/>
      <c r="CJ310" s="2111"/>
      <c r="CK310" s="2111"/>
      <c r="CL310" s="2111"/>
      <c r="CM310" s="2111"/>
      <c r="CN310" s="2111"/>
      <c r="CO310" s="2111"/>
      <c r="CP310" s="2111"/>
      <c r="CQ310" s="2111"/>
      <c r="CR310" s="2111"/>
      <c r="CS310" s="2111"/>
      <c r="CT310" s="2111"/>
      <c r="CU310" s="2111"/>
      <c r="CV310" s="2111"/>
      <c r="CW310" s="2111"/>
      <c r="CX310" s="2111"/>
      <c r="CY310" s="2111"/>
      <c r="CZ310" s="2111"/>
      <c r="DA310" s="2111"/>
      <c r="DB310" s="2111"/>
      <c r="DC310" s="2111"/>
      <c r="DD310" s="2111"/>
      <c r="DE310" s="2111"/>
      <c r="DF310" s="2111"/>
      <c r="DG310" s="2111"/>
      <c r="DH310" s="2111"/>
      <c r="DI310" s="2111"/>
      <c r="DJ310" s="2111"/>
      <c r="DK310" s="2111"/>
      <c r="DL310" s="2111"/>
      <c r="DM310" s="2111"/>
      <c r="DN310" s="2111"/>
      <c r="DO310" s="2111"/>
      <c r="DP310" s="2111"/>
      <c r="DQ310" s="2111"/>
      <c r="DR310" s="2111"/>
      <c r="DS310" s="2111"/>
      <c r="DT310" s="2111"/>
      <c r="DU310" s="2111"/>
      <c r="DV310" s="2111"/>
      <c r="DW310" s="2111"/>
      <c r="DX310" s="2111"/>
      <c r="DY310" s="2111"/>
      <c r="DZ310" s="2111"/>
      <c r="EA310" s="2111"/>
      <c r="EB310" s="2111"/>
      <c r="EC310" s="2111"/>
      <c r="ED310" s="2111"/>
      <c r="EE310" s="2111"/>
      <c r="EF310" s="2111"/>
      <c r="EG310" s="2111"/>
      <c r="EH310" s="2111"/>
      <c r="EI310" s="2111"/>
      <c r="EJ310" s="2111"/>
      <c r="EK310" s="2111"/>
      <c r="EL310" s="2111"/>
      <c r="EM310" s="2111"/>
      <c r="EN310" s="2111"/>
      <c r="EO310" s="2111"/>
      <c r="EP310" s="2111"/>
      <c r="EQ310" s="2111"/>
      <c r="ER310" s="2111"/>
      <c r="ES310" s="2111"/>
      <c r="ET310" s="2111"/>
      <c r="EU310" s="2111"/>
      <c r="EV310" s="2111"/>
      <c r="EW310" s="2111"/>
      <c r="EX310" s="2111"/>
      <c r="EY310" s="2111"/>
      <c r="EZ310" s="2111"/>
      <c r="FA310" s="2111"/>
      <c r="FB310" s="2111"/>
      <c r="FC310" s="2111"/>
      <c r="FD310" s="2111"/>
      <c r="FE310" s="2111"/>
      <c r="FF310" s="2111"/>
      <c r="FG310" s="2111"/>
      <c r="FH310" s="2111"/>
      <c r="FI310" s="2111"/>
      <c r="FJ310" s="2111"/>
      <c r="FK310" s="2111"/>
      <c r="FL310" s="2111"/>
      <c r="FM310" s="2111"/>
      <c r="FN310" s="2111"/>
      <c r="FO310" s="2111"/>
      <c r="FP310" s="2111"/>
      <c r="FQ310" s="2111"/>
      <c r="FR310" s="2111"/>
      <c r="FS310" s="2111"/>
      <c r="FT310" s="2111"/>
      <c r="FU310" s="2111"/>
      <c r="FV310" s="2111"/>
      <c r="FW310" s="2111"/>
      <c r="FX310" s="2111"/>
      <c r="FY310" s="2111"/>
      <c r="FZ310" s="2111"/>
      <c r="GA310" s="2111"/>
      <c r="GB310" s="2111"/>
      <c r="GC310" s="2111"/>
      <c r="GD310" s="2111"/>
      <c r="GE310" s="2111"/>
      <c r="GF310" s="2111"/>
      <c r="GG310" s="2111"/>
      <c r="GH310" s="2111"/>
      <c r="GI310" s="2111"/>
      <c r="GJ310" s="2111"/>
      <c r="GK310" s="2111"/>
      <c r="GL310" s="2111"/>
      <c r="GM310" s="2111"/>
    </row>
    <row r="311" spans="1:195" s="2241" customFormat="1" ht="51.75" customHeight="1" x14ac:dyDescent="0.2">
      <c r="A311" s="2122"/>
      <c r="B311" s="2123"/>
      <c r="C311" s="2124"/>
      <c r="D311" s="2123"/>
      <c r="E311" s="2123"/>
      <c r="F311" s="2124"/>
      <c r="G311" s="2123"/>
      <c r="H311" s="2123"/>
      <c r="I311" s="2124"/>
      <c r="J311" s="5111"/>
      <c r="K311" s="5114"/>
      <c r="L311" s="5085"/>
      <c r="M311" s="5144"/>
      <c r="N311" s="5144"/>
      <c r="O311" s="5085"/>
      <c r="P311" s="5085"/>
      <c r="Q311" s="5088"/>
      <c r="R311" s="5119"/>
      <c r="S311" s="5102"/>
      <c r="T311" s="5088"/>
      <c r="U311" s="5088"/>
      <c r="V311" s="5147"/>
      <c r="W311" s="2210">
        <v>68256639</v>
      </c>
      <c r="X311" s="2203">
        <v>0</v>
      </c>
      <c r="Y311" s="2203">
        <v>0</v>
      </c>
      <c r="Z311" s="2230">
        <v>102</v>
      </c>
      <c r="AA311" s="2852" t="s">
        <v>1985</v>
      </c>
      <c r="AB311" s="5085"/>
      <c r="AC311" s="5085"/>
      <c r="AD311" s="5085"/>
      <c r="AE311" s="5085"/>
      <c r="AF311" s="5085"/>
      <c r="AG311" s="5085"/>
      <c r="AH311" s="5085"/>
      <c r="AI311" s="5085"/>
      <c r="AJ311" s="5085"/>
      <c r="AK311" s="5085"/>
      <c r="AL311" s="5085"/>
      <c r="AM311" s="5085"/>
      <c r="AN311" s="5085"/>
      <c r="AO311" s="5085"/>
      <c r="AP311" s="5085"/>
      <c r="AQ311" s="5085"/>
      <c r="AR311" s="5085"/>
      <c r="AS311" s="5085"/>
      <c r="AT311" s="5085"/>
      <c r="AU311" s="5085"/>
      <c r="AV311" s="5085"/>
      <c r="AW311" s="5085"/>
      <c r="AX311" s="5085"/>
      <c r="AY311" s="5085"/>
      <c r="AZ311" s="5085"/>
      <c r="BA311" s="5085"/>
      <c r="BB311" s="5085"/>
      <c r="BC311" s="5085"/>
      <c r="BD311" s="5085"/>
      <c r="BE311" s="5085"/>
      <c r="BF311" s="5085"/>
      <c r="BG311" s="5085"/>
      <c r="BH311" s="5095"/>
      <c r="BI311" s="3822"/>
      <c r="BJ311" s="3822"/>
      <c r="BK311" s="5092"/>
      <c r="BL311" s="5095"/>
      <c r="BM311" s="5095"/>
      <c r="BN311" s="5079"/>
      <c r="BO311" s="5079"/>
      <c r="BP311" s="5079"/>
      <c r="BQ311" s="5079"/>
      <c r="BR311" s="5082"/>
      <c r="BS311" s="2111"/>
      <c r="BT311" s="2111"/>
      <c r="BU311" s="2111"/>
      <c r="BV311" s="2111"/>
      <c r="BW311" s="2111"/>
      <c r="BX311" s="2111"/>
      <c r="BY311" s="2111"/>
      <c r="BZ311" s="2111"/>
      <c r="CA311" s="2111"/>
      <c r="CB311" s="2111"/>
      <c r="CC311" s="2111"/>
      <c r="CD311" s="2111"/>
      <c r="CE311" s="2111"/>
      <c r="CF311" s="2111"/>
      <c r="CG311" s="2111"/>
      <c r="CH311" s="2111"/>
      <c r="CI311" s="2111"/>
      <c r="CJ311" s="2111"/>
      <c r="CK311" s="2111"/>
      <c r="CL311" s="2111"/>
      <c r="CM311" s="2111"/>
      <c r="CN311" s="2111"/>
      <c r="CO311" s="2111"/>
      <c r="CP311" s="2111"/>
      <c r="CQ311" s="2111"/>
      <c r="CR311" s="2111"/>
      <c r="CS311" s="2111"/>
      <c r="CT311" s="2111"/>
      <c r="CU311" s="2111"/>
      <c r="CV311" s="2111"/>
      <c r="CW311" s="2111"/>
      <c r="CX311" s="2111"/>
      <c r="CY311" s="2111"/>
      <c r="CZ311" s="2111"/>
      <c r="DA311" s="2111"/>
      <c r="DB311" s="2111"/>
      <c r="DC311" s="2111"/>
      <c r="DD311" s="2111"/>
      <c r="DE311" s="2111"/>
      <c r="DF311" s="2111"/>
      <c r="DG311" s="2111"/>
      <c r="DH311" s="2111"/>
      <c r="DI311" s="2111"/>
      <c r="DJ311" s="2111"/>
      <c r="DK311" s="2111"/>
      <c r="DL311" s="2111"/>
      <c r="DM311" s="2111"/>
      <c r="DN311" s="2111"/>
      <c r="DO311" s="2111"/>
      <c r="DP311" s="2111"/>
      <c r="DQ311" s="2111"/>
      <c r="DR311" s="2111"/>
      <c r="DS311" s="2111"/>
      <c r="DT311" s="2111"/>
      <c r="DU311" s="2111"/>
      <c r="DV311" s="2111"/>
      <c r="DW311" s="2111"/>
      <c r="DX311" s="2111"/>
      <c r="DY311" s="2111"/>
      <c r="DZ311" s="2111"/>
      <c r="EA311" s="2111"/>
      <c r="EB311" s="2111"/>
      <c r="EC311" s="2111"/>
      <c r="ED311" s="2111"/>
      <c r="EE311" s="2111"/>
      <c r="EF311" s="2111"/>
      <c r="EG311" s="2111"/>
      <c r="EH311" s="2111"/>
      <c r="EI311" s="2111"/>
      <c r="EJ311" s="2111"/>
      <c r="EK311" s="2111"/>
      <c r="EL311" s="2111"/>
      <c r="EM311" s="2111"/>
      <c r="EN311" s="2111"/>
      <c r="EO311" s="2111"/>
      <c r="EP311" s="2111"/>
      <c r="EQ311" s="2111"/>
      <c r="ER311" s="2111"/>
      <c r="ES311" s="2111"/>
      <c r="ET311" s="2111"/>
      <c r="EU311" s="2111"/>
      <c r="EV311" s="2111"/>
      <c r="EW311" s="2111"/>
      <c r="EX311" s="2111"/>
      <c r="EY311" s="2111"/>
      <c r="EZ311" s="2111"/>
      <c r="FA311" s="2111"/>
      <c r="FB311" s="2111"/>
      <c r="FC311" s="2111"/>
      <c r="FD311" s="2111"/>
      <c r="FE311" s="2111"/>
      <c r="FF311" s="2111"/>
      <c r="FG311" s="2111"/>
      <c r="FH311" s="2111"/>
      <c r="FI311" s="2111"/>
      <c r="FJ311" s="2111"/>
      <c r="FK311" s="2111"/>
      <c r="FL311" s="2111"/>
      <c r="FM311" s="2111"/>
      <c r="FN311" s="2111"/>
      <c r="FO311" s="2111"/>
      <c r="FP311" s="2111"/>
      <c r="FQ311" s="2111"/>
      <c r="FR311" s="2111"/>
      <c r="FS311" s="2111"/>
      <c r="FT311" s="2111"/>
      <c r="FU311" s="2111"/>
      <c r="FV311" s="2111"/>
      <c r="FW311" s="2111"/>
      <c r="FX311" s="2111"/>
      <c r="FY311" s="2111"/>
      <c r="FZ311" s="2111"/>
      <c r="GA311" s="2111"/>
      <c r="GB311" s="2111"/>
      <c r="GC311" s="2111"/>
      <c r="GD311" s="2111"/>
      <c r="GE311" s="2111"/>
      <c r="GF311" s="2111"/>
      <c r="GG311" s="2111"/>
      <c r="GH311" s="2111"/>
      <c r="GI311" s="2111"/>
      <c r="GJ311" s="2111"/>
      <c r="GK311" s="2111"/>
      <c r="GL311" s="2111"/>
      <c r="GM311" s="2111"/>
    </row>
    <row r="312" spans="1:195" s="2241" customFormat="1" ht="42.75" customHeight="1" x14ac:dyDescent="0.2">
      <c r="A312" s="2122"/>
      <c r="B312" s="2123"/>
      <c r="C312" s="2124"/>
      <c r="D312" s="2123"/>
      <c r="E312" s="2123"/>
      <c r="F312" s="2124"/>
      <c r="G312" s="2123"/>
      <c r="H312" s="2123"/>
      <c r="I312" s="2124"/>
      <c r="J312" s="5111"/>
      <c r="K312" s="5114"/>
      <c r="L312" s="5085"/>
      <c r="M312" s="5144"/>
      <c r="N312" s="5144"/>
      <c r="O312" s="5085"/>
      <c r="P312" s="5085"/>
      <c r="Q312" s="5088"/>
      <c r="R312" s="5119"/>
      <c r="S312" s="5102"/>
      <c r="T312" s="5088"/>
      <c r="U312" s="5088"/>
      <c r="V312" s="5147"/>
      <c r="W312" s="2242">
        <v>151028573</v>
      </c>
      <c r="X312" s="2203">
        <v>0</v>
      </c>
      <c r="Y312" s="2203">
        <v>0</v>
      </c>
      <c r="Z312" s="2240">
        <v>148</v>
      </c>
      <c r="AA312" s="2852" t="s">
        <v>1986</v>
      </c>
      <c r="AB312" s="5085"/>
      <c r="AC312" s="5085"/>
      <c r="AD312" s="5085"/>
      <c r="AE312" s="5085"/>
      <c r="AF312" s="5085"/>
      <c r="AG312" s="5085"/>
      <c r="AH312" s="5085"/>
      <c r="AI312" s="5085"/>
      <c r="AJ312" s="5085"/>
      <c r="AK312" s="5085"/>
      <c r="AL312" s="5085"/>
      <c r="AM312" s="5085"/>
      <c r="AN312" s="5085"/>
      <c r="AO312" s="5085"/>
      <c r="AP312" s="5085"/>
      <c r="AQ312" s="5085"/>
      <c r="AR312" s="5085"/>
      <c r="AS312" s="5085"/>
      <c r="AT312" s="5085"/>
      <c r="AU312" s="5085"/>
      <c r="AV312" s="5085"/>
      <c r="AW312" s="5085"/>
      <c r="AX312" s="5085"/>
      <c r="AY312" s="5085"/>
      <c r="AZ312" s="5085"/>
      <c r="BA312" s="5085"/>
      <c r="BB312" s="5085"/>
      <c r="BC312" s="5085"/>
      <c r="BD312" s="5085"/>
      <c r="BE312" s="5085"/>
      <c r="BF312" s="5085"/>
      <c r="BG312" s="5085"/>
      <c r="BH312" s="5095"/>
      <c r="BI312" s="3822"/>
      <c r="BJ312" s="3822"/>
      <c r="BK312" s="5092"/>
      <c r="BL312" s="5095"/>
      <c r="BM312" s="5095"/>
      <c r="BN312" s="5079"/>
      <c r="BO312" s="5079"/>
      <c r="BP312" s="5079"/>
      <c r="BQ312" s="5079"/>
      <c r="BR312" s="5082"/>
      <c r="BS312" s="2111"/>
      <c r="BT312" s="2111"/>
      <c r="BU312" s="2111"/>
      <c r="BV312" s="2111"/>
      <c r="BW312" s="2111"/>
      <c r="BX312" s="2111"/>
      <c r="BY312" s="2111"/>
      <c r="BZ312" s="2111"/>
      <c r="CA312" s="2111"/>
      <c r="CB312" s="2111"/>
      <c r="CC312" s="2111"/>
      <c r="CD312" s="2111"/>
      <c r="CE312" s="2111"/>
      <c r="CF312" s="2111"/>
      <c r="CG312" s="2111"/>
      <c r="CH312" s="2111"/>
      <c r="CI312" s="2111"/>
      <c r="CJ312" s="2111"/>
      <c r="CK312" s="2111"/>
      <c r="CL312" s="2111"/>
      <c r="CM312" s="2111"/>
      <c r="CN312" s="2111"/>
      <c r="CO312" s="2111"/>
      <c r="CP312" s="2111"/>
      <c r="CQ312" s="2111"/>
      <c r="CR312" s="2111"/>
      <c r="CS312" s="2111"/>
      <c r="CT312" s="2111"/>
      <c r="CU312" s="2111"/>
      <c r="CV312" s="2111"/>
      <c r="CW312" s="2111"/>
      <c r="CX312" s="2111"/>
      <c r="CY312" s="2111"/>
      <c r="CZ312" s="2111"/>
      <c r="DA312" s="2111"/>
      <c r="DB312" s="2111"/>
      <c r="DC312" s="2111"/>
      <c r="DD312" s="2111"/>
      <c r="DE312" s="2111"/>
      <c r="DF312" s="2111"/>
      <c r="DG312" s="2111"/>
      <c r="DH312" s="2111"/>
      <c r="DI312" s="2111"/>
      <c r="DJ312" s="2111"/>
      <c r="DK312" s="2111"/>
      <c r="DL312" s="2111"/>
      <c r="DM312" s="2111"/>
      <c r="DN312" s="2111"/>
      <c r="DO312" s="2111"/>
      <c r="DP312" s="2111"/>
      <c r="DQ312" s="2111"/>
      <c r="DR312" s="2111"/>
      <c r="DS312" s="2111"/>
      <c r="DT312" s="2111"/>
      <c r="DU312" s="2111"/>
      <c r="DV312" s="2111"/>
      <c r="DW312" s="2111"/>
      <c r="DX312" s="2111"/>
      <c r="DY312" s="2111"/>
      <c r="DZ312" s="2111"/>
      <c r="EA312" s="2111"/>
      <c r="EB312" s="2111"/>
      <c r="EC312" s="2111"/>
      <c r="ED312" s="2111"/>
      <c r="EE312" s="2111"/>
      <c r="EF312" s="2111"/>
      <c r="EG312" s="2111"/>
      <c r="EH312" s="2111"/>
      <c r="EI312" s="2111"/>
      <c r="EJ312" s="2111"/>
      <c r="EK312" s="2111"/>
      <c r="EL312" s="2111"/>
      <c r="EM312" s="2111"/>
      <c r="EN312" s="2111"/>
      <c r="EO312" s="2111"/>
      <c r="EP312" s="2111"/>
      <c r="EQ312" s="2111"/>
      <c r="ER312" s="2111"/>
      <c r="ES312" s="2111"/>
      <c r="ET312" s="2111"/>
      <c r="EU312" s="2111"/>
      <c r="EV312" s="2111"/>
      <c r="EW312" s="2111"/>
      <c r="EX312" s="2111"/>
      <c r="EY312" s="2111"/>
      <c r="EZ312" s="2111"/>
      <c r="FA312" s="2111"/>
      <c r="FB312" s="2111"/>
      <c r="FC312" s="2111"/>
      <c r="FD312" s="2111"/>
      <c r="FE312" s="2111"/>
      <c r="FF312" s="2111"/>
      <c r="FG312" s="2111"/>
      <c r="FH312" s="2111"/>
      <c r="FI312" s="2111"/>
      <c r="FJ312" s="2111"/>
      <c r="FK312" s="2111"/>
      <c r="FL312" s="2111"/>
      <c r="FM312" s="2111"/>
      <c r="FN312" s="2111"/>
      <c r="FO312" s="2111"/>
      <c r="FP312" s="2111"/>
      <c r="FQ312" s="2111"/>
      <c r="FR312" s="2111"/>
      <c r="FS312" s="2111"/>
      <c r="FT312" s="2111"/>
      <c r="FU312" s="2111"/>
      <c r="FV312" s="2111"/>
      <c r="FW312" s="2111"/>
      <c r="FX312" s="2111"/>
      <c r="FY312" s="2111"/>
      <c r="FZ312" s="2111"/>
      <c r="GA312" s="2111"/>
      <c r="GB312" s="2111"/>
      <c r="GC312" s="2111"/>
      <c r="GD312" s="2111"/>
      <c r="GE312" s="2111"/>
      <c r="GF312" s="2111"/>
      <c r="GG312" s="2111"/>
      <c r="GH312" s="2111"/>
      <c r="GI312" s="2111"/>
      <c r="GJ312" s="2111"/>
      <c r="GK312" s="2111"/>
      <c r="GL312" s="2111"/>
      <c r="GM312" s="2111"/>
    </row>
    <row r="313" spans="1:195" s="2241" customFormat="1" ht="38.25" customHeight="1" x14ac:dyDescent="0.2">
      <c r="A313" s="2122"/>
      <c r="B313" s="2123"/>
      <c r="C313" s="2124"/>
      <c r="D313" s="2123"/>
      <c r="E313" s="2123"/>
      <c r="F313" s="2124"/>
      <c r="G313" s="2123"/>
      <c r="H313" s="2123"/>
      <c r="I313" s="2124"/>
      <c r="J313" s="5111"/>
      <c r="K313" s="5114"/>
      <c r="L313" s="5085"/>
      <c r="M313" s="5144"/>
      <c r="N313" s="5144"/>
      <c r="O313" s="5085"/>
      <c r="P313" s="5085"/>
      <c r="Q313" s="5088"/>
      <c r="R313" s="5119"/>
      <c r="S313" s="5102"/>
      <c r="T313" s="5088"/>
      <c r="U313" s="5088"/>
      <c r="V313" s="5147"/>
      <c r="W313" s="2242">
        <v>903327</v>
      </c>
      <c r="X313" s="2203">
        <v>0</v>
      </c>
      <c r="Y313" s="2203">
        <v>0</v>
      </c>
      <c r="Z313" s="2240">
        <v>152</v>
      </c>
      <c r="AA313" s="2852" t="s">
        <v>1987</v>
      </c>
      <c r="AB313" s="5085"/>
      <c r="AC313" s="5085"/>
      <c r="AD313" s="5085"/>
      <c r="AE313" s="5085"/>
      <c r="AF313" s="5085"/>
      <c r="AG313" s="5085"/>
      <c r="AH313" s="5085"/>
      <c r="AI313" s="5085"/>
      <c r="AJ313" s="5085"/>
      <c r="AK313" s="5085"/>
      <c r="AL313" s="5085"/>
      <c r="AM313" s="5085"/>
      <c r="AN313" s="5085"/>
      <c r="AO313" s="5085"/>
      <c r="AP313" s="5085"/>
      <c r="AQ313" s="5085"/>
      <c r="AR313" s="5085"/>
      <c r="AS313" s="5085"/>
      <c r="AT313" s="5085"/>
      <c r="AU313" s="5085"/>
      <c r="AV313" s="5085"/>
      <c r="AW313" s="5085"/>
      <c r="AX313" s="5085"/>
      <c r="AY313" s="5085"/>
      <c r="AZ313" s="5085"/>
      <c r="BA313" s="5085"/>
      <c r="BB313" s="5085"/>
      <c r="BC313" s="5085"/>
      <c r="BD313" s="5085"/>
      <c r="BE313" s="5085"/>
      <c r="BF313" s="5085"/>
      <c r="BG313" s="5085"/>
      <c r="BH313" s="5095"/>
      <c r="BI313" s="3822"/>
      <c r="BJ313" s="3822"/>
      <c r="BK313" s="5092"/>
      <c r="BL313" s="5095"/>
      <c r="BM313" s="5095"/>
      <c r="BN313" s="5079"/>
      <c r="BO313" s="5079"/>
      <c r="BP313" s="5079"/>
      <c r="BQ313" s="5079"/>
      <c r="BR313" s="5082"/>
      <c r="BS313" s="2111"/>
      <c r="BT313" s="2111"/>
      <c r="BU313" s="2111"/>
      <c r="BV313" s="2111"/>
      <c r="BW313" s="2111"/>
      <c r="BX313" s="2111"/>
      <c r="BY313" s="2111"/>
      <c r="BZ313" s="2111"/>
      <c r="CA313" s="2111"/>
      <c r="CB313" s="2111"/>
      <c r="CC313" s="2111"/>
      <c r="CD313" s="2111"/>
      <c r="CE313" s="2111"/>
      <c r="CF313" s="2111"/>
      <c r="CG313" s="2111"/>
      <c r="CH313" s="2111"/>
      <c r="CI313" s="2111"/>
      <c r="CJ313" s="2111"/>
      <c r="CK313" s="2111"/>
      <c r="CL313" s="2111"/>
      <c r="CM313" s="2111"/>
      <c r="CN313" s="2111"/>
      <c r="CO313" s="2111"/>
      <c r="CP313" s="2111"/>
      <c r="CQ313" s="2111"/>
      <c r="CR313" s="2111"/>
      <c r="CS313" s="2111"/>
      <c r="CT313" s="2111"/>
      <c r="CU313" s="2111"/>
      <c r="CV313" s="2111"/>
      <c r="CW313" s="2111"/>
      <c r="CX313" s="2111"/>
      <c r="CY313" s="2111"/>
      <c r="CZ313" s="2111"/>
      <c r="DA313" s="2111"/>
      <c r="DB313" s="2111"/>
      <c r="DC313" s="2111"/>
      <c r="DD313" s="2111"/>
      <c r="DE313" s="2111"/>
      <c r="DF313" s="2111"/>
      <c r="DG313" s="2111"/>
      <c r="DH313" s="2111"/>
      <c r="DI313" s="2111"/>
      <c r="DJ313" s="2111"/>
      <c r="DK313" s="2111"/>
      <c r="DL313" s="2111"/>
      <c r="DM313" s="2111"/>
      <c r="DN313" s="2111"/>
      <c r="DO313" s="2111"/>
      <c r="DP313" s="2111"/>
      <c r="DQ313" s="2111"/>
      <c r="DR313" s="2111"/>
      <c r="DS313" s="2111"/>
      <c r="DT313" s="2111"/>
      <c r="DU313" s="2111"/>
      <c r="DV313" s="2111"/>
      <c r="DW313" s="2111"/>
      <c r="DX313" s="2111"/>
      <c r="DY313" s="2111"/>
      <c r="DZ313" s="2111"/>
      <c r="EA313" s="2111"/>
      <c r="EB313" s="2111"/>
      <c r="EC313" s="2111"/>
      <c r="ED313" s="2111"/>
      <c r="EE313" s="2111"/>
      <c r="EF313" s="2111"/>
      <c r="EG313" s="2111"/>
      <c r="EH313" s="2111"/>
      <c r="EI313" s="2111"/>
      <c r="EJ313" s="2111"/>
      <c r="EK313" s="2111"/>
      <c r="EL313" s="2111"/>
      <c r="EM313" s="2111"/>
      <c r="EN313" s="2111"/>
      <c r="EO313" s="2111"/>
      <c r="EP313" s="2111"/>
      <c r="EQ313" s="2111"/>
      <c r="ER313" s="2111"/>
      <c r="ES313" s="2111"/>
      <c r="ET313" s="2111"/>
      <c r="EU313" s="2111"/>
      <c r="EV313" s="2111"/>
      <c r="EW313" s="2111"/>
      <c r="EX313" s="2111"/>
      <c r="EY313" s="2111"/>
      <c r="EZ313" s="2111"/>
      <c r="FA313" s="2111"/>
      <c r="FB313" s="2111"/>
      <c r="FC313" s="2111"/>
      <c r="FD313" s="2111"/>
      <c r="FE313" s="2111"/>
      <c r="FF313" s="2111"/>
      <c r="FG313" s="2111"/>
      <c r="FH313" s="2111"/>
      <c r="FI313" s="2111"/>
      <c r="FJ313" s="2111"/>
      <c r="FK313" s="2111"/>
      <c r="FL313" s="2111"/>
      <c r="FM313" s="2111"/>
      <c r="FN313" s="2111"/>
      <c r="FO313" s="2111"/>
      <c r="FP313" s="2111"/>
      <c r="FQ313" s="2111"/>
      <c r="FR313" s="2111"/>
      <c r="FS313" s="2111"/>
      <c r="FT313" s="2111"/>
      <c r="FU313" s="2111"/>
      <c r="FV313" s="2111"/>
      <c r="FW313" s="2111"/>
      <c r="FX313" s="2111"/>
      <c r="FY313" s="2111"/>
      <c r="FZ313" s="2111"/>
      <c r="GA313" s="2111"/>
      <c r="GB313" s="2111"/>
      <c r="GC313" s="2111"/>
      <c r="GD313" s="2111"/>
      <c r="GE313" s="2111"/>
      <c r="GF313" s="2111"/>
      <c r="GG313" s="2111"/>
      <c r="GH313" s="2111"/>
      <c r="GI313" s="2111"/>
      <c r="GJ313" s="2111"/>
      <c r="GK313" s="2111"/>
      <c r="GL313" s="2111"/>
      <c r="GM313" s="2111"/>
    </row>
    <row r="314" spans="1:195" s="2241" customFormat="1" ht="38.25" customHeight="1" x14ac:dyDescent="0.2">
      <c r="A314" s="2122"/>
      <c r="B314" s="2123"/>
      <c r="C314" s="2124"/>
      <c r="D314" s="2123"/>
      <c r="E314" s="2123"/>
      <c r="F314" s="2124"/>
      <c r="G314" s="2123"/>
      <c r="H314" s="2123"/>
      <c r="I314" s="2124"/>
      <c r="J314" s="5112"/>
      <c r="K314" s="5115"/>
      <c r="L314" s="5086"/>
      <c r="M314" s="5145"/>
      <c r="N314" s="5145"/>
      <c r="O314" s="5085"/>
      <c r="P314" s="5085"/>
      <c r="Q314" s="5088"/>
      <c r="R314" s="5120"/>
      <c r="S314" s="5102"/>
      <c r="T314" s="5088"/>
      <c r="U314" s="5089"/>
      <c r="V314" s="5148"/>
      <c r="W314" s="2242">
        <v>130836198</v>
      </c>
      <c r="X314" s="2203">
        <v>0</v>
      </c>
      <c r="Y314" s="2203">
        <v>0</v>
      </c>
      <c r="Z314" s="2240">
        <v>162</v>
      </c>
      <c r="AA314" s="2852" t="s">
        <v>1988</v>
      </c>
      <c r="AB314" s="5085"/>
      <c r="AC314" s="5085"/>
      <c r="AD314" s="5085"/>
      <c r="AE314" s="5085"/>
      <c r="AF314" s="5085"/>
      <c r="AG314" s="5085"/>
      <c r="AH314" s="5085"/>
      <c r="AI314" s="5085"/>
      <c r="AJ314" s="5085"/>
      <c r="AK314" s="5085"/>
      <c r="AL314" s="5085"/>
      <c r="AM314" s="5085"/>
      <c r="AN314" s="5085"/>
      <c r="AO314" s="5085"/>
      <c r="AP314" s="5085"/>
      <c r="AQ314" s="5085"/>
      <c r="AR314" s="5085"/>
      <c r="AS314" s="5085"/>
      <c r="AT314" s="5085"/>
      <c r="AU314" s="5085"/>
      <c r="AV314" s="5085"/>
      <c r="AW314" s="5085"/>
      <c r="AX314" s="5085"/>
      <c r="AY314" s="5085"/>
      <c r="AZ314" s="5085"/>
      <c r="BA314" s="5085"/>
      <c r="BB314" s="5085"/>
      <c r="BC314" s="5085"/>
      <c r="BD314" s="5085"/>
      <c r="BE314" s="5085"/>
      <c r="BF314" s="5085"/>
      <c r="BG314" s="5085"/>
      <c r="BH314" s="5095"/>
      <c r="BI314" s="3822"/>
      <c r="BJ314" s="3822"/>
      <c r="BK314" s="5092"/>
      <c r="BL314" s="5095"/>
      <c r="BM314" s="5095"/>
      <c r="BN314" s="5079"/>
      <c r="BO314" s="5079"/>
      <c r="BP314" s="5079"/>
      <c r="BQ314" s="5079"/>
      <c r="BR314" s="5082"/>
      <c r="BS314" s="2111"/>
      <c r="BT314" s="2111"/>
      <c r="BU314" s="2111"/>
      <c r="BV314" s="2111"/>
      <c r="BW314" s="2111"/>
      <c r="BX314" s="2111"/>
      <c r="BY314" s="2111"/>
      <c r="BZ314" s="2111"/>
      <c r="CA314" s="2111"/>
      <c r="CB314" s="2111"/>
      <c r="CC314" s="2111"/>
      <c r="CD314" s="2111"/>
      <c r="CE314" s="2111"/>
      <c r="CF314" s="2111"/>
      <c r="CG314" s="2111"/>
      <c r="CH314" s="2111"/>
      <c r="CI314" s="2111"/>
      <c r="CJ314" s="2111"/>
      <c r="CK314" s="2111"/>
      <c r="CL314" s="2111"/>
      <c r="CM314" s="2111"/>
      <c r="CN314" s="2111"/>
      <c r="CO314" s="2111"/>
      <c r="CP314" s="2111"/>
      <c r="CQ314" s="2111"/>
      <c r="CR314" s="2111"/>
      <c r="CS314" s="2111"/>
      <c r="CT314" s="2111"/>
      <c r="CU314" s="2111"/>
      <c r="CV314" s="2111"/>
      <c r="CW314" s="2111"/>
      <c r="CX314" s="2111"/>
      <c r="CY314" s="2111"/>
      <c r="CZ314" s="2111"/>
      <c r="DA314" s="2111"/>
      <c r="DB314" s="2111"/>
      <c r="DC314" s="2111"/>
      <c r="DD314" s="2111"/>
      <c r="DE314" s="2111"/>
      <c r="DF314" s="2111"/>
      <c r="DG314" s="2111"/>
      <c r="DH314" s="2111"/>
      <c r="DI314" s="2111"/>
      <c r="DJ314" s="2111"/>
      <c r="DK314" s="2111"/>
      <c r="DL314" s="2111"/>
      <c r="DM314" s="2111"/>
      <c r="DN314" s="2111"/>
      <c r="DO314" s="2111"/>
      <c r="DP314" s="2111"/>
      <c r="DQ314" s="2111"/>
      <c r="DR314" s="2111"/>
      <c r="DS314" s="2111"/>
      <c r="DT314" s="2111"/>
      <c r="DU314" s="2111"/>
      <c r="DV314" s="2111"/>
      <c r="DW314" s="2111"/>
      <c r="DX314" s="2111"/>
      <c r="DY314" s="2111"/>
      <c r="DZ314" s="2111"/>
      <c r="EA314" s="2111"/>
      <c r="EB314" s="2111"/>
      <c r="EC314" s="2111"/>
      <c r="ED314" s="2111"/>
      <c r="EE314" s="2111"/>
      <c r="EF314" s="2111"/>
      <c r="EG314" s="2111"/>
      <c r="EH314" s="2111"/>
      <c r="EI314" s="2111"/>
      <c r="EJ314" s="2111"/>
      <c r="EK314" s="2111"/>
      <c r="EL314" s="2111"/>
      <c r="EM314" s="2111"/>
      <c r="EN314" s="2111"/>
      <c r="EO314" s="2111"/>
      <c r="EP314" s="2111"/>
      <c r="EQ314" s="2111"/>
      <c r="ER314" s="2111"/>
      <c r="ES314" s="2111"/>
      <c r="ET314" s="2111"/>
      <c r="EU314" s="2111"/>
      <c r="EV314" s="2111"/>
      <c r="EW314" s="2111"/>
      <c r="EX314" s="2111"/>
      <c r="EY314" s="2111"/>
      <c r="EZ314" s="2111"/>
      <c r="FA314" s="2111"/>
      <c r="FB314" s="2111"/>
      <c r="FC314" s="2111"/>
      <c r="FD314" s="2111"/>
      <c r="FE314" s="2111"/>
      <c r="FF314" s="2111"/>
      <c r="FG314" s="2111"/>
      <c r="FH314" s="2111"/>
      <c r="FI314" s="2111"/>
      <c r="FJ314" s="2111"/>
      <c r="FK314" s="2111"/>
      <c r="FL314" s="2111"/>
      <c r="FM314" s="2111"/>
      <c r="FN314" s="2111"/>
      <c r="FO314" s="2111"/>
      <c r="FP314" s="2111"/>
      <c r="FQ314" s="2111"/>
      <c r="FR314" s="2111"/>
      <c r="FS314" s="2111"/>
      <c r="FT314" s="2111"/>
      <c r="FU314" s="2111"/>
      <c r="FV314" s="2111"/>
      <c r="FW314" s="2111"/>
      <c r="FX314" s="2111"/>
      <c r="FY314" s="2111"/>
      <c r="FZ314" s="2111"/>
      <c r="GA314" s="2111"/>
      <c r="GB314" s="2111"/>
      <c r="GC314" s="2111"/>
      <c r="GD314" s="2111"/>
      <c r="GE314" s="2111"/>
      <c r="GF314" s="2111"/>
      <c r="GG314" s="2111"/>
      <c r="GH314" s="2111"/>
      <c r="GI314" s="2111"/>
      <c r="GJ314" s="2111"/>
      <c r="GK314" s="2111"/>
      <c r="GL314" s="2111"/>
      <c r="GM314" s="2111"/>
    </row>
    <row r="315" spans="1:195" ht="61.5" customHeight="1" x14ac:dyDescent="0.2">
      <c r="A315" s="2122"/>
      <c r="B315" s="2123"/>
      <c r="C315" s="2124"/>
      <c r="D315" s="2123"/>
      <c r="E315" s="2123"/>
      <c r="F315" s="2124"/>
      <c r="G315" s="2123"/>
      <c r="H315" s="2123"/>
      <c r="I315" s="2124"/>
      <c r="J315" s="5110">
        <v>168</v>
      </c>
      <c r="K315" s="5113" t="s">
        <v>1989</v>
      </c>
      <c r="L315" s="5084" t="s">
        <v>1581</v>
      </c>
      <c r="M315" s="5084">
        <v>14</v>
      </c>
      <c r="N315" s="5084">
        <v>4</v>
      </c>
      <c r="O315" s="5085"/>
      <c r="P315" s="5085"/>
      <c r="Q315" s="5088"/>
      <c r="R315" s="5118">
        <v>0</v>
      </c>
      <c r="S315" s="5102"/>
      <c r="T315" s="5088"/>
      <c r="U315" s="5087" t="s">
        <v>1990</v>
      </c>
      <c r="V315" s="2222" t="s">
        <v>1991</v>
      </c>
      <c r="W315" s="2242">
        <v>0</v>
      </c>
      <c r="X315" s="2203">
        <v>0</v>
      </c>
      <c r="Y315" s="2203">
        <v>0</v>
      </c>
      <c r="Z315" s="2223"/>
      <c r="AA315" s="2239"/>
      <c r="AB315" s="5085"/>
      <c r="AC315" s="5085"/>
      <c r="AD315" s="5085"/>
      <c r="AE315" s="5085"/>
      <c r="AF315" s="5085"/>
      <c r="AG315" s="5085"/>
      <c r="AH315" s="5085"/>
      <c r="AI315" s="5085"/>
      <c r="AJ315" s="5085"/>
      <c r="AK315" s="5085"/>
      <c r="AL315" s="5085"/>
      <c r="AM315" s="5085"/>
      <c r="AN315" s="5085"/>
      <c r="AO315" s="5085"/>
      <c r="AP315" s="5085"/>
      <c r="AQ315" s="5085"/>
      <c r="AR315" s="5085"/>
      <c r="AS315" s="5085"/>
      <c r="AT315" s="5085"/>
      <c r="AU315" s="5085"/>
      <c r="AV315" s="5085"/>
      <c r="AW315" s="5085"/>
      <c r="AX315" s="5085"/>
      <c r="AY315" s="5085"/>
      <c r="AZ315" s="5085"/>
      <c r="BA315" s="5085"/>
      <c r="BB315" s="5085"/>
      <c r="BC315" s="5085"/>
      <c r="BD315" s="5085"/>
      <c r="BE315" s="5085"/>
      <c r="BF315" s="5085"/>
      <c r="BG315" s="5085"/>
      <c r="BH315" s="5095"/>
      <c r="BI315" s="3822"/>
      <c r="BJ315" s="3822"/>
      <c r="BK315" s="5092"/>
      <c r="BL315" s="5095"/>
      <c r="BM315" s="5095"/>
      <c r="BN315" s="5079"/>
      <c r="BO315" s="5079"/>
      <c r="BP315" s="5079"/>
      <c r="BQ315" s="5079"/>
      <c r="BR315" s="5082"/>
    </row>
    <row r="316" spans="1:195" ht="51.75" customHeight="1" x14ac:dyDescent="0.2">
      <c r="A316" s="2122"/>
      <c r="B316" s="2123"/>
      <c r="C316" s="2124"/>
      <c r="D316" s="2123"/>
      <c r="E316" s="2123"/>
      <c r="F316" s="2124"/>
      <c r="G316" s="2243"/>
      <c r="H316" s="2243"/>
      <c r="I316" s="2244"/>
      <c r="J316" s="5112"/>
      <c r="K316" s="5115"/>
      <c r="L316" s="5085"/>
      <c r="M316" s="5085"/>
      <c r="N316" s="5085"/>
      <c r="O316" s="5086"/>
      <c r="P316" s="5085"/>
      <c r="Q316" s="5088"/>
      <c r="R316" s="5120"/>
      <c r="S316" s="5102"/>
      <c r="T316" s="5088"/>
      <c r="U316" s="5089"/>
      <c r="V316" s="2222" t="s">
        <v>1992</v>
      </c>
      <c r="W316" s="2242"/>
      <c r="X316" s="2203">
        <v>0</v>
      </c>
      <c r="Y316" s="2203">
        <v>0</v>
      </c>
      <c r="Z316" s="2223"/>
      <c r="AA316" s="2239"/>
      <c r="AB316" s="5086"/>
      <c r="AC316" s="5086"/>
      <c r="AD316" s="5086"/>
      <c r="AE316" s="5086"/>
      <c r="AF316" s="5086"/>
      <c r="AG316" s="5086"/>
      <c r="AH316" s="5086"/>
      <c r="AI316" s="5086"/>
      <c r="AJ316" s="5086"/>
      <c r="AK316" s="5086"/>
      <c r="AL316" s="5086"/>
      <c r="AM316" s="5086"/>
      <c r="AN316" s="5086"/>
      <c r="AO316" s="5086"/>
      <c r="AP316" s="5086"/>
      <c r="AQ316" s="5086"/>
      <c r="AR316" s="5086"/>
      <c r="AS316" s="5086"/>
      <c r="AT316" s="5086"/>
      <c r="AU316" s="5086"/>
      <c r="AV316" s="5086"/>
      <c r="AW316" s="5086"/>
      <c r="AX316" s="5086"/>
      <c r="AY316" s="5086"/>
      <c r="AZ316" s="5086"/>
      <c r="BA316" s="5086"/>
      <c r="BB316" s="5086"/>
      <c r="BC316" s="5086"/>
      <c r="BD316" s="5086"/>
      <c r="BE316" s="5086"/>
      <c r="BF316" s="5086"/>
      <c r="BG316" s="5086"/>
      <c r="BH316" s="5103"/>
      <c r="BI316" s="3823"/>
      <c r="BJ316" s="3823"/>
      <c r="BK316" s="5109"/>
      <c r="BL316" s="5103"/>
      <c r="BM316" s="5103"/>
      <c r="BN316" s="5079"/>
      <c r="BO316" s="5117"/>
      <c r="BP316" s="5079"/>
      <c r="BQ316" s="5117"/>
      <c r="BR316" s="5098"/>
    </row>
    <row r="317" spans="1:195" ht="36" customHeight="1" x14ac:dyDescent="0.2">
      <c r="A317" s="2122"/>
      <c r="B317" s="2123"/>
      <c r="C317" s="2124"/>
      <c r="D317" s="2123"/>
      <c r="E317" s="2123"/>
      <c r="F317" s="2124"/>
      <c r="G317" s="2245">
        <v>51</v>
      </c>
      <c r="H317" s="2246" t="s">
        <v>1993</v>
      </c>
      <c r="I317" s="2246"/>
      <c r="J317" s="2198"/>
      <c r="K317" s="2232"/>
      <c r="L317" s="2128"/>
      <c r="M317" s="2128"/>
      <c r="N317" s="2128"/>
      <c r="O317" s="2130"/>
      <c r="P317" s="2128"/>
      <c r="Q317" s="2129"/>
      <c r="R317" s="2128"/>
      <c r="S317" s="2159"/>
      <c r="T317" s="2129"/>
      <c r="U317" s="2129"/>
      <c r="V317" s="2129"/>
      <c r="W317" s="2204"/>
      <c r="X317" s="2204"/>
      <c r="Y317" s="2204"/>
      <c r="Z317" s="2200"/>
      <c r="AA317" s="2201"/>
      <c r="AB317" s="2130"/>
      <c r="AC317" s="2130"/>
      <c r="AD317" s="2130"/>
      <c r="AE317" s="2130"/>
      <c r="AF317" s="5141"/>
      <c r="AG317" s="5141"/>
      <c r="AH317" s="5141"/>
      <c r="AI317" s="5141"/>
      <c r="AJ317" s="5141"/>
      <c r="AK317" s="5141"/>
      <c r="AL317" s="5141"/>
      <c r="AM317" s="5141"/>
      <c r="AN317" s="5141"/>
      <c r="AO317" s="5141"/>
      <c r="AP317" s="5141"/>
      <c r="AQ317" s="5141"/>
      <c r="AR317" s="5141"/>
      <c r="AS317" s="5141"/>
      <c r="AT317" s="5141"/>
      <c r="AU317" s="5141"/>
      <c r="AV317" s="5141"/>
      <c r="AW317" s="5141"/>
      <c r="AX317" s="5141"/>
      <c r="AY317" s="5141"/>
      <c r="AZ317" s="5141"/>
      <c r="BA317" s="5141"/>
      <c r="BB317" s="5141"/>
      <c r="BC317" s="5141"/>
      <c r="BD317" s="5141"/>
      <c r="BE317" s="2846"/>
      <c r="BF317" s="2846"/>
      <c r="BG317" s="2247"/>
      <c r="BH317" s="2247"/>
      <c r="BI317" s="2248"/>
      <c r="BJ317" s="2248"/>
      <c r="BK317" s="2247"/>
      <c r="BL317" s="2247"/>
      <c r="BM317" s="2247"/>
      <c r="BN317" s="2128"/>
      <c r="BO317" s="2128"/>
      <c r="BP317" s="2128"/>
      <c r="BQ317" s="2128"/>
      <c r="BR317" s="2135"/>
    </row>
    <row r="318" spans="1:195" ht="67.5" customHeight="1" x14ac:dyDescent="0.2">
      <c r="A318" s="2249"/>
      <c r="B318" s="2250"/>
      <c r="C318" s="2851"/>
      <c r="D318" s="2250"/>
      <c r="E318" s="2250"/>
      <c r="F318" s="2851"/>
      <c r="G318" s="2853"/>
      <c r="H318" s="2853"/>
      <c r="I318" s="2850"/>
      <c r="J318" s="5084">
        <v>169</v>
      </c>
      <c r="K318" s="5087" t="s">
        <v>1994</v>
      </c>
      <c r="L318" s="5084" t="s">
        <v>1581</v>
      </c>
      <c r="M318" s="5084">
        <v>12</v>
      </c>
      <c r="N318" s="5084">
        <v>12</v>
      </c>
      <c r="O318" s="5084" t="s">
        <v>1995</v>
      </c>
      <c r="P318" s="5084" t="s">
        <v>1996</v>
      </c>
      <c r="Q318" s="5087" t="s">
        <v>1997</v>
      </c>
      <c r="R318" s="5118">
        <v>1</v>
      </c>
      <c r="S318" s="5101">
        <f>SUM(W318+W319+W320)</f>
        <v>58080000</v>
      </c>
      <c r="T318" s="5087" t="s">
        <v>1998</v>
      </c>
      <c r="U318" s="2852" t="s">
        <v>1999</v>
      </c>
      <c r="V318" s="2251" t="s">
        <v>2000</v>
      </c>
      <c r="W318" s="2202">
        <v>19360000</v>
      </c>
      <c r="X318" s="2203">
        <v>17306666</v>
      </c>
      <c r="Y318" s="2203">
        <v>9326666</v>
      </c>
      <c r="Z318" s="2143">
        <v>20</v>
      </c>
      <c r="AA318" s="5084" t="s">
        <v>124</v>
      </c>
      <c r="AB318" s="5084">
        <v>292684</v>
      </c>
      <c r="AC318" s="5084">
        <f>SUM(AB318*0.84)</f>
        <v>245854.56</v>
      </c>
      <c r="AD318" s="5084">
        <v>282326</v>
      </c>
      <c r="AE318" s="5084">
        <f>SUM(AD318*0.84)</f>
        <v>237153.84</v>
      </c>
      <c r="AF318" s="5084">
        <v>135912</v>
      </c>
      <c r="AG318" s="5084">
        <f>SUM(AF318*0.84)</f>
        <v>114166.08</v>
      </c>
      <c r="AH318" s="5084">
        <v>45122</v>
      </c>
      <c r="AI318" s="5084">
        <f>SUM(AH318*0.84)</f>
        <v>37902.479999999996</v>
      </c>
      <c r="AJ318" s="5084">
        <v>307101</v>
      </c>
      <c r="AK318" s="5084">
        <v>257964.84</v>
      </c>
      <c r="AL318" s="5084">
        <v>86875</v>
      </c>
      <c r="AM318" s="5084">
        <f>SUM(AL318*0.84)</f>
        <v>72975</v>
      </c>
      <c r="AN318" s="5084">
        <v>2145</v>
      </c>
      <c r="AO318" s="5084">
        <f>SUM(AN318*0.84)</f>
        <v>1801.8</v>
      </c>
      <c r="AP318" s="5084">
        <v>12718</v>
      </c>
      <c r="AQ318" s="5084">
        <f>SUM(AP318*0.84)</f>
        <v>10683.119999999999</v>
      </c>
      <c r="AR318" s="5084">
        <v>26</v>
      </c>
      <c r="AS318" s="5084">
        <f>SUM(AR318*0.84)</f>
        <v>21.84</v>
      </c>
      <c r="AT318" s="5084">
        <v>37</v>
      </c>
      <c r="AU318" s="5084">
        <f>SUM(AT318*0.84)</f>
        <v>31.08</v>
      </c>
      <c r="AV318" s="5084" t="s">
        <v>1588</v>
      </c>
      <c r="AW318" s="5084" t="s">
        <v>1588</v>
      </c>
      <c r="AX318" s="5084" t="s">
        <v>1588</v>
      </c>
      <c r="AY318" s="5084" t="s">
        <v>1588</v>
      </c>
      <c r="AZ318" s="5084">
        <v>53164</v>
      </c>
      <c r="BA318" s="5084">
        <f>SUM(AZ318*0.84)</f>
        <v>44657.759999999995</v>
      </c>
      <c r="BB318" s="5084">
        <v>16982</v>
      </c>
      <c r="BC318" s="5084">
        <f>SUM(BB318*0.84)</f>
        <v>14264.88</v>
      </c>
      <c r="BD318" s="5084">
        <v>60013</v>
      </c>
      <c r="BE318" s="5084">
        <f>SUM(BD318*0.84)</f>
        <v>50410.92</v>
      </c>
      <c r="BF318" s="5084">
        <v>575010</v>
      </c>
      <c r="BG318" s="5084">
        <f>SUM(BF318*0.84)</f>
        <v>483008.39999999997</v>
      </c>
      <c r="BH318" s="5094">
        <v>5</v>
      </c>
      <c r="BI318" s="3821">
        <f>SUM(X318:X320)</f>
        <v>51920000</v>
      </c>
      <c r="BJ318" s="3821">
        <f>SUM(Y318:Y320)</f>
        <v>27980000</v>
      </c>
      <c r="BK318" s="5091">
        <f>+BJ318/BI318</f>
        <v>0.53890600924499232</v>
      </c>
      <c r="BL318" s="5094">
        <v>20</v>
      </c>
      <c r="BM318" s="5094" t="s">
        <v>1946</v>
      </c>
      <c r="BN318" s="5139">
        <v>43467</v>
      </c>
      <c r="BO318" s="5078">
        <v>43830</v>
      </c>
      <c r="BP318" s="5139">
        <v>43830</v>
      </c>
      <c r="BQ318" s="5078">
        <v>43830</v>
      </c>
      <c r="BR318" s="5081" t="s">
        <v>1591</v>
      </c>
    </row>
    <row r="319" spans="1:195" ht="67.5" customHeight="1" x14ac:dyDescent="0.2">
      <c r="A319" s="2249"/>
      <c r="B319" s="2250"/>
      <c r="C319" s="2851"/>
      <c r="D319" s="2250"/>
      <c r="E319" s="2250"/>
      <c r="F319" s="2851"/>
      <c r="G319" s="2250"/>
      <c r="H319" s="2250"/>
      <c r="I319" s="2851"/>
      <c r="J319" s="5085"/>
      <c r="K319" s="5088"/>
      <c r="L319" s="5085"/>
      <c r="M319" s="5085"/>
      <c r="N319" s="5085"/>
      <c r="O319" s="5085"/>
      <c r="P319" s="5085"/>
      <c r="Q319" s="5088"/>
      <c r="R319" s="5119"/>
      <c r="S319" s="5102"/>
      <c r="T319" s="5088"/>
      <c r="U319" s="2852" t="s">
        <v>2001</v>
      </c>
      <c r="V319" s="2251" t="s">
        <v>2002</v>
      </c>
      <c r="W319" s="2202">
        <v>19360000</v>
      </c>
      <c r="X319" s="2203">
        <v>17306666</v>
      </c>
      <c r="Y319" s="2203">
        <v>9326666</v>
      </c>
      <c r="Z319" s="2143">
        <v>20</v>
      </c>
      <c r="AA319" s="5085"/>
      <c r="AB319" s="5085"/>
      <c r="AC319" s="5085"/>
      <c r="AD319" s="5085"/>
      <c r="AE319" s="5085"/>
      <c r="AF319" s="5085"/>
      <c r="AG319" s="5085"/>
      <c r="AH319" s="5085"/>
      <c r="AI319" s="5085"/>
      <c r="AJ319" s="5085"/>
      <c r="AK319" s="5085"/>
      <c r="AL319" s="5085"/>
      <c r="AM319" s="5085"/>
      <c r="AN319" s="5085"/>
      <c r="AO319" s="5085"/>
      <c r="AP319" s="5085"/>
      <c r="AQ319" s="5085"/>
      <c r="AR319" s="5085"/>
      <c r="AS319" s="5085"/>
      <c r="AT319" s="5085"/>
      <c r="AU319" s="5085"/>
      <c r="AV319" s="5085"/>
      <c r="AW319" s="5085"/>
      <c r="AX319" s="5085"/>
      <c r="AY319" s="5085"/>
      <c r="AZ319" s="5085"/>
      <c r="BA319" s="5085"/>
      <c r="BB319" s="5085"/>
      <c r="BC319" s="5085"/>
      <c r="BD319" s="5085"/>
      <c r="BE319" s="5085"/>
      <c r="BF319" s="5085"/>
      <c r="BG319" s="5085"/>
      <c r="BH319" s="5095"/>
      <c r="BI319" s="3822"/>
      <c r="BJ319" s="3822"/>
      <c r="BK319" s="5092"/>
      <c r="BL319" s="5095"/>
      <c r="BM319" s="5095"/>
      <c r="BN319" s="5139"/>
      <c r="BO319" s="5079"/>
      <c r="BP319" s="5139"/>
      <c r="BQ319" s="5079"/>
      <c r="BR319" s="5082"/>
    </row>
    <row r="320" spans="1:195" ht="71.25" x14ac:dyDescent="0.2">
      <c r="A320" s="2136"/>
      <c r="B320" s="2137"/>
      <c r="C320" s="2138"/>
      <c r="D320" s="2137"/>
      <c r="E320" s="2137"/>
      <c r="F320" s="2138"/>
      <c r="G320" s="2147"/>
      <c r="H320" s="2147"/>
      <c r="I320" s="2148"/>
      <c r="J320" s="5086"/>
      <c r="K320" s="5089"/>
      <c r="L320" s="5086"/>
      <c r="M320" s="5086"/>
      <c r="N320" s="5086"/>
      <c r="O320" s="5086"/>
      <c r="P320" s="5086"/>
      <c r="Q320" s="5089"/>
      <c r="R320" s="5120"/>
      <c r="S320" s="5121"/>
      <c r="T320" s="5089"/>
      <c r="U320" s="2852" t="s">
        <v>1989</v>
      </c>
      <c r="V320" s="2251" t="s">
        <v>2003</v>
      </c>
      <c r="W320" s="2202">
        <v>19360000</v>
      </c>
      <c r="X320" s="2203">
        <v>17306668</v>
      </c>
      <c r="Y320" s="2203">
        <v>9326668</v>
      </c>
      <c r="Z320" s="2143">
        <v>20</v>
      </c>
      <c r="AA320" s="5086"/>
      <c r="AB320" s="5086"/>
      <c r="AC320" s="5086"/>
      <c r="AD320" s="5086"/>
      <c r="AE320" s="5086"/>
      <c r="AF320" s="5086"/>
      <c r="AG320" s="5086"/>
      <c r="AH320" s="5086"/>
      <c r="AI320" s="5086"/>
      <c r="AJ320" s="5086"/>
      <c r="AK320" s="5086"/>
      <c r="AL320" s="5086"/>
      <c r="AM320" s="5086"/>
      <c r="AN320" s="5086"/>
      <c r="AO320" s="5086"/>
      <c r="AP320" s="5086"/>
      <c r="AQ320" s="5086"/>
      <c r="AR320" s="5086"/>
      <c r="AS320" s="5086"/>
      <c r="AT320" s="5086"/>
      <c r="AU320" s="5086"/>
      <c r="AV320" s="5086"/>
      <c r="AW320" s="5086"/>
      <c r="AX320" s="5086"/>
      <c r="AY320" s="5086"/>
      <c r="AZ320" s="5086"/>
      <c r="BA320" s="5086"/>
      <c r="BB320" s="5086"/>
      <c r="BC320" s="5086"/>
      <c r="BD320" s="5086"/>
      <c r="BE320" s="5086"/>
      <c r="BF320" s="5086"/>
      <c r="BG320" s="5086"/>
      <c r="BH320" s="5103"/>
      <c r="BI320" s="3823"/>
      <c r="BJ320" s="3823"/>
      <c r="BK320" s="5109"/>
      <c r="BL320" s="5103"/>
      <c r="BM320" s="5103"/>
      <c r="BN320" s="5139"/>
      <c r="BO320" s="5117"/>
      <c r="BP320" s="5139"/>
      <c r="BQ320" s="5117"/>
      <c r="BR320" s="5098"/>
    </row>
    <row r="321" spans="1:70" ht="36" customHeight="1" x14ac:dyDescent="0.2">
      <c r="A321" s="2122"/>
      <c r="B321" s="2123"/>
      <c r="C321" s="2124"/>
      <c r="D321" s="2123"/>
      <c r="E321" s="2123"/>
      <c r="F321" s="2124"/>
      <c r="G321" s="2158">
        <v>52</v>
      </c>
      <c r="H321" s="2128" t="s">
        <v>2004</v>
      </c>
      <c r="I321" s="2128"/>
      <c r="J321" s="2226"/>
      <c r="K321" s="2227"/>
      <c r="L321" s="2128"/>
      <c r="M321" s="2128"/>
      <c r="N321" s="2128"/>
      <c r="O321" s="2130"/>
      <c r="P321" s="2128"/>
      <c r="Q321" s="2129"/>
      <c r="R321" s="2128"/>
      <c r="S321" s="2159"/>
      <c r="T321" s="2129"/>
      <c r="U321" s="2129"/>
      <c r="V321" s="2129"/>
      <c r="W321" s="2199"/>
      <c r="X321" s="2199"/>
      <c r="Y321" s="2199"/>
      <c r="Z321" s="2200"/>
      <c r="AA321" s="2201"/>
      <c r="AB321" s="2130"/>
      <c r="AC321" s="2130"/>
      <c r="AD321" s="2130"/>
      <c r="AE321" s="2130"/>
      <c r="AF321" s="5140"/>
      <c r="AG321" s="5141"/>
      <c r="AH321" s="5141"/>
      <c r="AI321" s="5141"/>
      <c r="AJ321" s="5141"/>
      <c r="AK321" s="5141"/>
      <c r="AL321" s="5141"/>
      <c r="AM321" s="5141"/>
      <c r="AN321" s="5141"/>
      <c r="AO321" s="5141"/>
      <c r="AP321" s="5141"/>
      <c r="AQ321" s="5141"/>
      <c r="AR321" s="5141"/>
      <c r="AS321" s="5141"/>
      <c r="AT321" s="5141"/>
      <c r="AU321" s="5141"/>
      <c r="AV321" s="5141"/>
      <c r="AW321" s="5141"/>
      <c r="AX321" s="5141"/>
      <c r="AY321" s="5141"/>
      <c r="AZ321" s="5141"/>
      <c r="BA321" s="5141"/>
      <c r="BB321" s="5141"/>
      <c r="BC321" s="5141"/>
      <c r="BD321" s="5141"/>
      <c r="BE321" s="2252"/>
      <c r="BF321" s="2252"/>
      <c r="BG321" s="2253"/>
      <c r="BH321" s="2253"/>
      <c r="BI321" s="2254"/>
      <c r="BJ321" s="2254"/>
      <c r="BK321" s="2253"/>
      <c r="BL321" s="2253"/>
      <c r="BM321" s="2253"/>
      <c r="BN321" s="2128"/>
      <c r="BO321" s="2128"/>
      <c r="BP321" s="2128"/>
      <c r="BQ321" s="2128"/>
      <c r="BR321" s="2135"/>
    </row>
    <row r="322" spans="1:70" ht="39.75" customHeight="1" x14ac:dyDescent="0.2">
      <c r="A322" s="2164"/>
      <c r="B322" s="2165"/>
      <c r="C322" s="2166"/>
      <c r="D322" s="2165"/>
      <c r="E322" s="2165"/>
      <c r="F322" s="2166"/>
      <c r="G322" s="2168"/>
      <c r="H322" s="2168"/>
      <c r="I322" s="2168"/>
      <c r="J322" s="5128">
        <v>170</v>
      </c>
      <c r="K322" s="5142" t="s">
        <v>2005</v>
      </c>
      <c r="L322" s="5084" t="s">
        <v>1581</v>
      </c>
      <c r="M322" s="5084">
        <v>14</v>
      </c>
      <c r="N322" s="5084">
        <v>0</v>
      </c>
      <c r="O322" s="5084" t="s">
        <v>2006</v>
      </c>
      <c r="P322" s="5084" t="s">
        <v>2007</v>
      </c>
      <c r="Q322" s="5087" t="s">
        <v>2008</v>
      </c>
      <c r="R322" s="5118">
        <f>(W322+W324+W323)/S322</f>
        <v>0.5</v>
      </c>
      <c r="S322" s="5101">
        <f>SUM(W322:W326)</f>
        <v>20000000</v>
      </c>
      <c r="T322" s="5087" t="s">
        <v>2009</v>
      </c>
      <c r="U322" s="5087" t="s">
        <v>2010</v>
      </c>
      <c r="V322" s="2255" t="s">
        <v>2011</v>
      </c>
      <c r="W322" s="2256">
        <v>3000000</v>
      </c>
      <c r="X322" s="2257">
        <v>3000000</v>
      </c>
      <c r="Y322" s="2257">
        <v>0</v>
      </c>
      <c r="Z322" s="2143">
        <v>20</v>
      </c>
      <c r="AA322" s="2239" t="s">
        <v>124</v>
      </c>
      <c r="AB322" s="5084">
        <v>292684</v>
      </c>
      <c r="AC322" s="5084">
        <f t="shared" ref="AC322" si="107">SUM(AB322*0.84)</f>
        <v>245854.56</v>
      </c>
      <c r="AD322" s="5084">
        <v>282326</v>
      </c>
      <c r="AE322" s="5084">
        <f t="shared" ref="AE322" si="108">SUM(AD322*0.84)</f>
        <v>237153.84</v>
      </c>
      <c r="AF322" s="5084">
        <v>135912</v>
      </c>
      <c r="AG322" s="5084">
        <f t="shared" ref="AG322" si="109">SUM(AF322*0.84)</f>
        <v>114166.08</v>
      </c>
      <c r="AH322" s="5084">
        <v>45122</v>
      </c>
      <c r="AI322" s="5084">
        <f t="shared" ref="AI322" si="110">SUM(AH322*0.84)</f>
        <v>37902.479999999996</v>
      </c>
      <c r="AJ322" s="5084">
        <v>307101</v>
      </c>
      <c r="AK322" s="5084">
        <v>257964.84</v>
      </c>
      <c r="AL322" s="5084">
        <v>86875</v>
      </c>
      <c r="AM322" s="5084">
        <f t="shared" ref="AM322" si="111">SUM(AL322*0.84)</f>
        <v>72975</v>
      </c>
      <c r="AN322" s="5084">
        <v>2145</v>
      </c>
      <c r="AO322" s="5084">
        <f t="shared" ref="AO322" si="112">SUM(AN322*0.84)</f>
        <v>1801.8</v>
      </c>
      <c r="AP322" s="5084">
        <v>12718</v>
      </c>
      <c r="AQ322" s="5084">
        <f t="shared" ref="AQ322" si="113">SUM(AP322*0.84)</f>
        <v>10683.119999999999</v>
      </c>
      <c r="AR322" s="5084">
        <v>26</v>
      </c>
      <c r="AS322" s="5084">
        <f t="shared" ref="AS322" si="114">SUM(AR322*0.84)</f>
        <v>21.84</v>
      </c>
      <c r="AT322" s="5084">
        <v>37</v>
      </c>
      <c r="AU322" s="5084">
        <f t="shared" ref="AU322" si="115">SUM(AT322*0.84)</f>
        <v>31.08</v>
      </c>
      <c r="AV322" s="5084" t="s">
        <v>1588</v>
      </c>
      <c r="AW322" s="5084" t="s">
        <v>1588</v>
      </c>
      <c r="AX322" s="5084" t="s">
        <v>1588</v>
      </c>
      <c r="AY322" s="5084" t="s">
        <v>1588</v>
      </c>
      <c r="AZ322" s="5084">
        <v>53164</v>
      </c>
      <c r="BA322" s="5084">
        <f t="shared" ref="BA322" si="116">SUM(AZ322*0.84)</f>
        <v>44657.759999999995</v>
      </c>
      <c r="BB322" s="5084">
        <v>16982</v>
      </c>
      <c r="BC322" s="5084">
        <f t="shared" ref="BC322" si="117">SUM(BB322*0.84)</f>
        <v>14264.88</v>
      </c>
      <c r="BD322" s="5084">
        <v>60013</v>
      </c>
      <c r="BE322" s="5084">
        <f t="shared" ref="BE322" si="118">SUM(BD322*0.84)</f>
        <v>50410.92</v>
      </c>
      <c r="BF322" s="5084">
        <v>575010</v>
      </c>
      <c r="BG322" s="5084">
        <f t="shared" ref="BG322" si="119">SUM(BF322*0.84)</f>
        <v>483008.39999999997</v>
      </c>
      <c r="BH322" s="5094">
        <v>1</v>
      </c>
      <c r="BI322" s="3821">
        <f>SUM(X322:X326)</f>
        <v>20000000</v>
      </c>
      <c r="BJ322" s="3821">
        <f>SUM(Y322:Y326)</f>
        <v>5000000</v>
      </c>
      <c r="BK322" s="5091">
        <f>+BJ322/BI322</f>
        <v>0.25</v>
      </c>
      <c r="BL322" s="5094">
        <v>20</v>
      </c>
      <c r="BM322" s="5094" t="s">
        <v>1946</v>
      </c>
      <c r="BN322" s="5106">
        <v>43467</v>
      </c>
      <c r="BO322" s="5106">
        <v>43830</v>
      </c>
      <c r="BP322" s="5106">
        <v>43830</v>
      </c>
      <c r="BQ322" s="5106">
        <v>43830</v>
      </c>
      <c r="BR322" s="5136" t="s">
        <v>1591</v>
      </c>
    </row>
    <row r="323" spans="1:70" ht="37.5" customHeight="1" x14ac:dyDescent="0.2">
      <c r="A323" s="2164"/>
      <c r="B323" s="2165"/>
      <c r="C323" s="2166"/>
      <c r="D323" s="2165"/>
      <c r="E323" s="2165"/>
      <c r="F323" s="2166"/>
      <c r="G323" s="2165"/>
      <c r="H323" s="2165"/>
      <c r="I323" s="2165"/>
      <c r="J323" s="5128"/>
      <c r="K323" s="5142"/>
      <c r="L323" s="5085"/>
      <c r="M323" s="5085"/>
      <c r="N323" s="5085"/>
      <c r="O323" s="5085"/>
      <c r="P323" s="5085"/>
      <c r="Q323" s="5088"/>
      <c r="R323" s="5119"/>
      <c r="S323" s="5102"/>
      <c r="T323" s="5088"/>
      <c r="U323" s="5088"/>
      <c r="V323" s="2255" t="s">
        <v>2012</v>
      </c>
      <c r="W323" s="2256">
        <v>4000000</v>
      </c>
      <c r="X323" s="2257">
        <v>4000000</v>
      </c>
      <c r="Y323" s="2257">
        <v>2500000</v>
      </c>
      <c r="Z323" s="2143">
        <v>20</v>
      </c>
      <c r="AA323" s="2239" t="s">
        <v>124</v>
      </c>
      <c r="AB323" s="5085"/>
      <c r="AC323" s="5085"/>
      <c r="AD323" s="5085"/>
      <c r="AE323" s="5085"/>
      <c r="AF323" s="5085"/>
      <c r="AG323" s="5085"/>
      <c r="AH323" s="5085"/>
      <c r="AI323" s="5085"/>
      <c r="AJ323" s="5085"/>
      <c r="AK323" s="5085"/>
      <c r="AL323" s="5085"/>
      <c r="AM323" s="5085"/>
      <c r="AN323" s="5085"/>
      <c r="AO323" s="5085"/>
      <c r="AP323" s="5085"/>
      <c r="AQ323" s="5085"/>
      <c r="AR323" s="5085"/>
      <c r="AS323" s="5085"/>
      <c r="AT323" s="5085"/>
      <c r="AU323" s="5085"/>
      <c r="AV323" s="5085"/>
      <c r="AW323" s="5085"/>
      <c r="AX323" s="5085"/>
      <c r="AY323" s="5085"/>
      <c r="AZ323" s="5085"/>
      <c r="BA323" s="5085"/>
      <c r="BB323" s="5085"/>
      <c r="BC323" s="5085"/>
      <c r="BD323" s="5085"/>
      <c r="BE323" s="5085"/>
      <c r="BF323" s="5085"/>
      <c r="BG323" s="5085"/>
      <c r="BH323" s="5095"/>
      <c r="BI323" s="3822"/>
      <c r="BJ323" s="3822"/>
      <c r="BK323" s="5092"/>
      <c r="BL323" s="5095"/>
      <c r="BM323" s="5095"/>
      <c r="BN323" s="5095"/>
      <c r="BO323" s="5107"/>
      <c r="BP323" s="5095"/>
      <c r="BQ323" s="5107"/>
      <c r="BR323" s="5137"/>
    </row>
    <row r="324" spans="1:70" ht="49.5" customHeight="1" x14ac:dyDescent="0.2">
      <c r="A324" s="2164"/>
      <c r="B324" s="2165"/>
      <c r="C324" s="2166"/>
      <c r="D324" s="2165"/>
      <c r="E324" s="2165"/>
      <c r="F324" s="2166"/>
      <c r="G324" s="2165"/>
      <c r="H324" s="2165"/>
      <c r="I324" s="2165"/>
      <c r="J324" s="5128"/>
      <c r="K324" s="5142"/>
      <c r="L324" s="5086"/>
      <c r="M324" s="5086"/>
      <c r="N324" s="5086"/>
      <c r="O324" s="5085"/>
      <c r="P324" s="5085"/>
      <c r="Q324" s="5088"/>
      <c r="R324" s="5119"/>
      <c r="S324" s="5102"/>
      <c r="T324" s="5088"/>
      <c r="U324" s="5089"/>
      <c r="V324" s="2255" t="s">
        <v>2013</v>
      </c>
      <c r="W324" s="2821">
        <v>3000000</v>
      </c>
      <c r="X324" s="2257">
        <v>3000000</v>
      </c>
      <c r="Y324" s="2257">
        <v>0</v>
      </c>
      <c r="Z324" s="2143">
        <v>20</v>
      </c>
      <c r="AA324" s="2239" t="s">
        <v>124</v>
      </c>
      <c r="AB324" s="5085"/>
      <c r="AC324" s="5085"/>
      <c r="AD324" s="5085"/>
      <c r="AE324" s="5085"/>
      <c r="AF324" s="5085"/>
      <c r="AG324" s="5085"/>
      <c r="AH324" s="5085"/>
      <c r="AI324" s="5085"/>
      <c r="AJ324" s="5085"/>
      <c r="AK324" s="5085"/>
      <c r="AL324" s="5085"/>
      <c r="AM324" s="5085"/>
      <c r="AN324" s="5085"/>
      <c r="AO324" s="5085"/>
      <c r="AP324" s="5085"/>
      <c r="AQ324" s="5085"/>
      <c r="AR324" s="5085"/>
      <c r="AS324" s="5085"/>
      <c r="AT324" s="5085"/>
      <c r="AU324" s="5085"/>
      <c r="AV324" s="5085"/>
      <c r="AW324" s="5085"/>
      <c r="AX324" s="5085"/>
      <c r="AY324" s="5085"/>
      <c r="AZ324" s="5085"/>
      <c r="BA324" s="5085"/>
      <c r="BB324" s="5085"/>
      <c r="BC324" s="5085"/>
      <c r="BD324" s="5085"/>
      <c r="BE324" s="5085"/>
      <c r="BF324" s="5085"/>
      <c r="BG324" s="5085"/>
      <c r="BH324" s="5095"/>
      <c r="BI324" s="3822"/>
      <c r="BJ324" s="3822"/>
      <c r="BK324" s="5092"/>
      <c r="BL324" s="5095"/>
      <c r="BM324" s="5095"/>
      <c r="BN324" s="5095"/>
      <c r="BO324" s="5107"/>
      <c r="BP324" s="5095"/>
      <c r="BQ324" s="5107"/>
      <c r="BR324" s="5137"/>
    </row>
    <row r="325" spans="1:70" ht="38.25" customHeight="1" x14ac:dyDescent="0.2">
      <c r="A325" s="2164"/>
      <c r="B325" s="2165"/>
      <c r="C325" s="2166"/>
      <c r="D325" s="2165"/>
      <c r="E325" s="2165"/>
      <c r="F325" s="2166"/>
      <c r="G325" s="2165"/>
      <c r="H325" s="2165"/>
      <c r="I325" s="2165"/>
      <c r="J325" s="5128">
        <v>171</v>
      </c>
      <c r="K325" s="5125" t="s">
        <v>2014</v>
      </c>
      <c r="L325" s="5130" t="s">
        <v>1581</v>
      </c>
      <c r="M325" s="5084">
        <v>1</v>
      </c>
      <c r="N325" s="5084">
        <v>1</v>
      </c>
      <c r="O325" s="5085"/>
      <c r="P325" s="5085"/>
      <c r="Q325" s="5088"/>
      <c r="R325" s="5118">
        <f>+SUM(W325:W326)/S322</f>
        <v>0.5</v>
      </c>
      <c r="S325" s="5102"/>
      <c r="T325" s="5088"/>
      <c r="U325" s="5087" t="s">
        <v>2015</v>
      </c>
      <c r="V325" s="2255" t="s">
        <v>2016</v>
      </c>
      <c r="W325" s="2821">
        <v>5000000</v>
      </c>
      <c r="X325" s="2257">
        <v>5000000</v>
      </c>
      <c r="Y325" s="2257">
        <v>2500000</v>
      </c>
      <c r="Z325" s="2143">
        <v>20</v>
      </c>
      <c r="AA325" s="2239" t="s">
        <v>124</v>
      </c>
      <c r="AB325" s="5085"/>
      <c r="AC325" s="5085"/>
      <c r="AD325" s="5085"/>
      <c r="AE325" s="5085"/>
      <c r="AF325" s="5085"/>
      <c r="AG325" s="5085"/>
      <c r="AH325" s="5085"/>
      <c r="AI325" s="5085"/>
      <c r="AJ325" s="5085"/>
      <c r="AK325" s="5085"/>
      <c r="AL325" s="5085"/>
      <c r="AM325" s="5085"/>
      <c r="AN325" s="5085"/>
      <c r="AO325" s="5085"/>
      <c r="AP325" s="5085"/>
      <c r="AQ325" s="5085"/>
      <c r="AR325" s="5085"/>
      <c r="AS325" s="5085"/>
      <c r="AT325" s="5085"/>
      <c r="AU325" s="5085"/>
      <c r="AV325" s="5085"/>
      <c r="AW325" s="5085"/>
      <c r="AX325" s="5085"/>
      <c r="AY325" s="5085"/>
      <c r="AZ325" s="5085"/>
      <c r="BA325" s="5085"/>
      <c r="BB325" s="5085"/>
      <c r="BC325" s="5085"/>
      <c r="BD325" s="5085"/>
      <c r="BE325" s="5085"/>
      <c r="BF325" s="5085"/>
      <c r="BG325" s="5085"/>
      <c r="BH325" s="5095"/>
      <c r="BI325" s="3822"/>
      <c r="BJ325" s="3822"/>
      <c r="BK325" s="5092"/>
      <c r="BL325" s="5095"/>
      <c r="BM325" s="5095"/>
      <c r="BN325" s="5095"/>
      <c r="BO325" s="5107"/>
      <c r="BP325" s="5095"/>
      <c r="BQ325" s="5107"/>
      <c r="BR325" s="5137"/>
    </row>
    <row r="326" spans="1:70" ht="50.25" customHeight="1" x14ac:dyDescent="0.2">
      <c r="A326" s="2164"/>
      <c r="B326" s="2165"/>
      <c r="C326" s="2166"/>
      <c r="D326" s="2165"/>
      <c r="E326" s="2165"/>
      <c r="F326" s="2166"/>
      <c r="G326" s="2165"/>
      <c r="H326" s="2165"/>
      <c r="I326" s="2165"/>
      <c r="J326" s="5128"/>
      <c r="K326" s="5125"/>
      <c r="L326" s="5132"/>
      <c r="M326" s="5086"/>
      <c r="N326" s="5086"/>
      <c r="O326" s="5086"/>
      <c r="P326" s="5086"/>
      <c r="Q326" s="5089"/>
      <c r="R326" s="5120"/>
      <c r="S326" s="5121"/>
      <c r="T326" s="5089"/>
      <c r="U326" s="5089"/>
      <c r="V326" s="2255" t="s">
        <v>2017</v>
      </c>
      <c r="W326" s="2821">
        <v>5000000</v>
      </c>
      <c r="X326" s="2257">
        <v>5000000</v>
      </c>
      <c r="Y326" s="2257">
        <v>0</v>
      </c>
      <c r="Z326" s="2143">
        <v>20</v>
      </c>
      <c r="AA326" s="2239" t="s">
        <v>124</v>
      </c>
      <c r="AB326" s="5086"/>
      <c r="AC326" s="5086"/>
      <c r="AD326" s="5086"/>
      <c r="AE326" s="5086"/>
      <c r="AF326" s="5086"/>
      <c r="AG326" s="5086"/>
      <c r="AH326" s="5086"/>
      <c r="AI326" s="5086"/>
      <c r="AJ326" s="5086"/>
      <c r="AK326" s="5086"/>
      <c r="AL326" s="5086"/>
      <c r="AM326" s="5086"/>
      <c r="AN326" s="5086"/>
      <c r="AO326" s="5086"/>
      <c r="AP326" s="5086"/>
      <c r="AQ326" s="5086"/>
      <c r="AR326" s="5086"/>
      <c r="AS326" s="5086"/>
      <c r="AT326" s="5086"/>
      <c r="AU326" s="5086"/>
      <c r="AV326" s="5086"/>
      <c r="AW326" s="5086"/>
      <c r="AX326" s="5086"/>
      <c r="AY326" s="5086"/>
      <c r="AZ326" s="5086"/>
      <c r="BA326" s="5086"/>
      <c r="BB326" s="5086"/>
      <c r="BC326" s="5086"/>
      <c r="BD326" s="5086"/>
      <c r="BE326" s="5086"/>
      <c r="BF326" s="5086"/>
      <c r="BG326" s="5086"/>
      <c r="BH326" s="5103"/>
      <c r="BI326" s="3823"/>
      <c r="BJ326" s="3823"/>
      <c r="BK326" s="5109"/>
      <c r="BL326" s="5103"/>
      <c r="BM326" s="5103"/>
      <c r="BN326" s="5103"/>
      <c r="BO326" s="5108"/>
      <c r="BP326" s="5103"/>
      <c r="BQ326" s="5108"/>
      <c r="BR326" s="5138"/>
    </row>
    <row r="327" spans="1:70" ht="53.25" customHeight="1" x14ac:dyDescent="0.2">
      <c r="A327" s="2164"/>
      <c r="B327" s="2165"/>
      <c r="C327" s="2166"/>
      <c r="D327" s="2165"/>
      <c r="E327" s="2165"/>
      <c r="F327" s="2166"/>
      <c r="G327" s="2165"/>
      <c r="H327" s="2165"/>
      <c r="I327" s="2166"/>
      <c r="J327" s="5111">
        <v>172</v>
      </c>
      <c r="K327" s="5088" t="s">
        <v>2018</v>
      </c>
      <c r="L327" s="5084" t="s">
        <v>1581</v>
      </c>
      <c r="M327" s="5084">
        <v>12</v>
      </c>
      <c r="N327" s="5084">
        <v>6</v>
      </c>
      <c r="O327" s="5084" t="s">
        <v>2019</v>
      </c>
      <c r="P327" s="5084" t="s">
        <v>2020</v>
      </c>
      <c r="Q327" s="5087" t="s">
        <v>2021</v>
      </c>
      <c r="R327" s="5118">
        <f>SUM(W327:W334)/S327</f>
        <v>1</v>
      </c>
      <c r="S327" s="5101">
        <f>SUM(W327:W334)</f>
        <v>674441641</v>
      </c>
      <c r="T327" s="5087" t="s">
        <v>2022</v>
      </c>
      <c r="U327" s="5087" t="s">
        <v>2023</v>
      </c>
      <c r="V327" s="5126" t="s">
        <v>2024</v>
      </c>
      <c r="W327" s="2821">
        <v>100000000</v>
      </c>
      <c r="X327" s="2257">
        <f>52270359+32238000+11100000</f>
        <v>95608359</v>
      </c>
      <c r="Y327" s="2257">
        <f>50479359+17910000</f>
        <v>68389359</v>
      </c>
      <c r="Z327" s="2143">
        <v>20</v>
      </c>
      <c r="AA327" s="2848" t="s">
        <v>124</v>
      </c>
      <c r="AB327" s="5084">
        <v>292684</v>
      </c>
      <c r="AC327" s="5084">
        <f t="shared" ref="AC327" si="120">SUM(AB327*0.84)</f>
        <v>245854.56</v>
      </c>
      <c r="AD327" s="5084">
        <v>282326</v>
      </c>
      <c r="AE327" s="5084">
        <f t="shared" ref="AE327" si="121">SUM(AD327*0.84)</f>
        <v>237153.84</v>
      </c>
      <c r="AF327" s="5084">
        <v>135912</v>
      </c>
      <c r="AG327" s="5084">
        <f t="shared" ref="AG327" si="122">SUM(AF327*0.84)</f>
        <v>114166.08</v>
      </c>
      <c r="AH327" s="5084">
        <v>45122</v>
      </c>
      <c r="AI327" s="5084">
        <f t="shared" ref="AI327" si="123">SUM(AH327*0.84)</f>
        <v>37902.479999999996</v>
      </c>
      <c r="AJ327" s="5084">
        <v>307101</v>
      </c>
      <c r="AK327" s="5084">
        <v>257964.84</v>
      </c>
      <c r="AL327" s="5084">
        <v>86875</v>
      </c>
      <c r="AM327" s="5084">
        <f t="shared" ref="AM327" si="124">SUM(AL327*0.84)</f>
        <v>72975</v>
      </c>
      <c r="AN327" s="5084">
        <v>2145</v>
      </c>
      <c r="AO327" s="5084">
        <f t="shared" ref="AO327" si="125">SUM(AN327*0.84)</f>
        <v>1801.8</v>
      </c>
      <c r="AP327" s="5084">
        <v>12718</v>
      </c>
      <c r="AQ327" s="5084">
        <f t="shared" ref="AQ327" si="126">SUM(AP327*0.84)</f>
        <v>10683.119999999999</v>
      </c>
      <c r="AR327" s="5084">
        <v>26</v>
      </c>
      <c r="AS327" s="5084">
        <f t="shared" ref="AS327" si="127">SUM(AR327*0.84)</f>
        <v>21.84</v>
      </c>
      <c r="AT327" s="5084">
        <v>37</v>
      </c>
      <c r="AU327" s="5084">
        <f t="shared" ref="AU327" si="128">SUM(AT327*0.84)</f>
        <v>31.08</v>
      </c>
      <c r="AV327" s="5084" t="s">
        <v>1588</v>
      </c>
      <c r="AW327" s="5084" t="s">
        <v>1588</v>
      </c>
      <c r="AX327" s="5084" t="s">
        <v>1588</v>
      </c>
      <c r="AY327" s="5084" t="s">
        <v>1588</v>
      </c>
      <c r="AZ327" s="5084">
        <v>53164</v>
      </c>
      <c r="BA327" s="5084">
        <f t="shared" ref="BA327" si="129">SUM(AZ327*0.84)</f>
        <v>44657.759999999995</v>
      </c>
      <c r="BB327" s="5084">
        <v>16982</v>
      </c>
      <c r="BC327" s="5084">
        <f t="shared" ref="BC327" si="130">SUM(BB327*0.84)</f>
        <v>14264.88</v>
      </c>
      <c r="BD327" s="5084">
        <v>60013</v>
      </c>
      <c r="BE327" s="5084">
        <f t="shared" ref="BE327" si="131">SUM(BD327*0.84)</f>
        <v>50410.92</v>
      </c>
      <c r="BF327" s="5084">
        <v>575010</v>
      </c>
      <c r="BG327" s="5084">
        <f t="shared" ref="BG327" si="132">SUM(BF327*0.84)</f>
        <v>483008.39999999997</v>
      </c>
      <c r="BH327" s="5094">
        <v>19</v>
      </c>
      <c r="BI327" s="3821">
        <f>SUM(X327:X334)</f>
        <v>262196000</v>
      </c>
      <c r="BJ327" s="3821">
        <f>SUM(Y327:Y334)</f>
        <v>181904000</v>
      </c>
      <c r="BK327" s="5091">
        <f>+BJ327/BI327</f>
        <v>0.69377107202245647</v>
      </c>
      <c r="BL327" s="5094" t="s">
        <v>2025</v>
      </c>
      <c r="BM327" s="5094" t="s">
        <v>1946</v>
      </c>
      <c r="BN327" s="5078">
        <v>43467</v>
      </c>
      <c r="BO327" s="5078">
        <v>43830</v>
      </c>
      <c r="BP327" s="5078">
        <v>43830</v>
      </c>
      <c r="BQ327" s="5078">
        <v>43830</v>
      </c>
      <c r="BR327" s="5081" t="s">
        <v>1591</v>
      </c>
    </row>
    <row r="328" spans="1:70" ht="53.25" customHeight="1" x14ac:dyDescent="0.2">
      <c r="A328" s="2164"/>
      <c r="B328" s="2165"/>
      <c r="C328" s="2166"/>
      <c r="D328" s="2165"/>
      <c r="E328" s="2165"/>
      <c r="F328" s="2166"/>
      <c r="G328" s="2165"/>
      <c r="H328" s="2165"/>
      <c r="I328" s="2166"/>
      <c r="J328" s="5111"/>
      <c r="K328" s="5088"/>
      <c r="L328" s="5085"/>
      <c r="M328" s="5085"/>
      <c r="N328" s="5085"/>
      <c r="O328" s="5085"/>
      <c r="P328" s="5085"/>
      <c r="Q328" s="5088"/>
      <c r="R328" s="5119"/>
      <c r="S328" s="5102"/>
      <c r="T328" s="5088"/>
      <c r="U328" s="5088"/>
      <c r="V328" s="5127"/>
      <c r="W328" s="2821">
        <v>114000000</v>
      </c>
      <c r="X328" s="2257">
        <v>95400000</v>
      </c>
      <c r="Y328" s="2257">
        <v>47700000</v>
      </c>
      <c r="Z328" s="2143">
        <v>96</v>
      </c>
      <c r="AA328" s="2848" t="s">
        <v>2026</v>
      </c>
      <c r="AB328" s="5085"/>
      <c r="AC328" s="5085"/>
      <c r="AD328" s="5085"/>
      <c r="AE328" s="5085"/>
      <c r="AF328" s="5085"/>
      <c r="AG328" s="5085"/>
      <c r="AH328" s="5085"/>
      <c r="AI328" s="5085"/>
      <c r="AJ328" s="5085"/>
      <c r="AK328" s="5085"/>
      <c r="AL328" s="5085"/>
      <c r="AM328" s="5085"/>
      <c r="AN328" s="5085"/>
      <c r="AO328" s="5085"/>
      <c r="AP328" s="5085"/>
      <c r="AQ328" s="5085"/>
      <c r="AR328" s="5085"/>
      <c r="AS328" s="5085"/>
      <c r="AT328" s="5085"/>
      <c r="AU328" s="5085"/>
      <c r="AV328" s="5085"/>
      <c r="AW328" s="5085"/>
      <c r="AX328" s="5085"/>
      <c r="AY328" s="5085"/>
      <c r="AZ328" s="5085"/>
      <c r="BA328" s="5085"/>
      <c r="BB328" s="5085"/>
      <c r="BC328" s="5085"/>
      <c r="BD328" s="5085"/>
      <c r="BE328" s="5085"/>
      <c r="BF328" s="5085"/>
      <c r="BG328" s="5085"/>
      <c r="BH328" s="5095"/>
      <c r="BI328" s="3822"/>
      <c r="BJ328" s="3822"/>
      <c r="BK328" s="5092"/>
      <c r="BL328" s="5095"/>
      <c r="BM328" s="5095"/>
      <c r="BN328" s="5079"/>
      <c r="BO328" s="5079"/>
      <c r="BP328" s="5079"/>
      <c r="BQ328" s="5079"/>
      <c r="BR328" s="5082"/>
    </row>
    <row r="329" spans="1:70" ht="42" customHeight="1" x14ac:dyDescent="0.2">
      <c r="A329" s="2164"/>
      <c r="B329" s="2165"/>
      <c r="C329" s="2166"/>
      <c r="D329" s="2165"/>
      <c r="E329" s="2165"/>
      <c r="F329" s="2166"/>
      <c r="G329" s="2165"/>
      <c r="H329" s="2165"/>
      <c r="I329" s="2166"/>
      <c r="J329" s="5111"/>
      <c r="K329" s="5088"/>
      <c r="L329" s="5085"/>
      <c r="M329" s="5085"/>
      <c r="N329" s="5085"/>
      <c r="O329" s="5085"/>
      <c r="P329" s="5085"/>
      <c r="Q329" s="5088"/>
      <c r="R329" s="5119"/>
      <c r="S329" s="5102"/>
      <c r="T329" s="5088"/>
      <c r="U329" s="5088"/>
      <c r="V329" s="2258" t="s">
        <v>2027</v>
      </c>
      <c r="W329" s="2821">
        <v>10000000</v>
      </c>
      <c r="X329" s="2257">
        <v>10000000</v>
      </c>
      <c r="Y329" s="2257">
        <v>10000000</v>
      </c>
      <c r="Z329" s="2143">
        <v>20</v>
      </c>
      <c r="AA329" s="2848" t="s">
        <v>124</v>
      </c>
      <c r="AB329" s="5085"/>
      <c r="AC329" s="5085"/>
      <c r="AD329" s="5085"/>
      <c r="AE329" s="5085"/>
      <c r="AF329" s="5085"/>
      <c r="AG329" s="5085"/>
      <c r="AH329" s="5085"/>
      <c r="AI329" s="5085"/>
      <c r="AJ329" s="5085"/>
      <c r="AK329" s="5085"/>
      <c r="AL329" s="5085"/>
      <c r="AM329" s="5085"/>
      <c r="AN329" s="5085"/>
      <c r="AO329" s="5085"/>
      <c r="AP329" s="5085"/>
      <c r="AQ329" s="5085"/>
      <c r="AR329" s="5085"/>
      <c r="AS329" s="5085"/>
      <c r="AT329" s="5085"/>
      <c r="AU329" s="5085"/>
      <c r="AV329" s="5085"/>
      <c r="AW329" s="5085"/>
      <c r="AX329" s="5085"/>
      <c r="AY329" s="5085"/>
      <c r="AZ329" s="5085"/>
      <c r="BA329" s="5085"/>
      <c r="BB329" s="5085"/>
      <c r="BC329" s="5085"/>
      <c r="BD329" s="5085"/>
      <c r="BE329" s="5085"/>
      <c r="BF329" s="5085"/>
      <c r="BG329" s="5085"/>
      <c r="BH329" s="5095"/>
      <c r="BI329" s="3822"/>
      <c r="BJ329" s="3822"/>
      <c r="BK329" s="5092"/>
      <c r="BL329" s="5095"/>
      <c r="BM329" s="5095"/>
      <c r="BN329" s="5079"/>
      <c r="BO329" s="5079"/>
      <c r="BP329" s="5079"/>
      <c r="BQ329" s="5079"/>
      <c r="BR329" s="5082"/>
    </row>
    <row r="330" spans="1:70" ht="69" customHeight="1" x14ac:dyDescent="0.2">
      <c r="A330" s="2164"/>
      <c r="B330" s="2165"/>
      <c r="C330" s="2166"/>
      <c r="D330" s="2165"/>
      <c r="E330" s="2165"/>
      <c r="F330" s="2166"/>
      <c r="G330" s="2165"/>
      <c r="H330" s="2165"/>
      <c r="I330" s="2166"/>
      <c r="J330" s="5111"/>
      <c r="K330" s="5088"/>
      <c r="L330" s="5085"/>
      <c r="M330" s="5085"/>
      <c r="N330" s="5085"/>
      <c r="O330" s="5085"/>
      <c r="P330" s="5085"/>
      <c r="Q330" s="5088"/>
      <c r="R330" s="5119"/>
      <c r="S330" s="5102"/>
      <c r="T330" s="5088"/>
      <c r="U330" s="5088"/>
      <c r="V330" s="5126" t="s">
        <v>2028</v>
      </c>
      <c r="W330" s="2821">
        <v>15441641</v>
      </c>
      <c r="X330" s="2257">
        <v>15441641</v>
      </c>
      <c r="Y330" s="2257">
        <v>15441641</v>
      </c>
      <c r="Z330" s="2143">
        <v>20</v>
      </c>
      <c r="AA330" s="2848" t="s">
        <v>124</v>
      </c>
      <c r="AB330" s="5085"/>
      <c r="AC330" s="5085"/>
      <c r="AD330" s="5085"/>
      <c r="AE330" s="5085"/>
      <c r="AF330" s="5085"/>
      <c r="AG330" s="5085"/>
      <c r="AH330" s="5085"/>
      <c r="AI330" s="5085"/>
      <c r="AJ330" s="5085"/>
      <c r="AK330" s="5085"/>
      <c r="AL330" s="5085"/>
      <c r="AM330" s="5085"/>
      <c r="AN330" s="5085"/>
      <c r="AO330" s="5085"/>
      <c r="AP330" s="5085"/>
      <c r="AQ330" s="5085"/>
      <c r="AR330" s="5085"/>
      <c r="AS330" s="5085"/>
      <c r="AT330" s="5085"/>
      <c r="AU330" s="5085"/>
      <c r="AV330" s="5085"/>
      <c r="AW330" s="5085"/>
      <c r="AX330" s="5085"/>
      <c r="AY330" s="5085"/>
      <c r="AZ330" s="5085"/>
      <c r="BA330" s="5085"/>
      <c r="BB330" s="5085"/>
      <c r="BC330" s="5085"/>
      <c r="BD330" s="5085"/>
      <c r="BE330" s="5085"/>
      <c r="BF330" s="5085"/>
      <c r="BG330" s="5085"/>
      <c r="BH330" s="5095"/>
      <c r="BI330" s="3822"/>
      <c r="BJ330" s="3822"/>
      <c r="BK330" s="5092"/>
      <c r="BL330" s="5095"/>
      <c r="BM330" s="5095"/>
      <c r="BN330" s="5079"/>
      <c r="BO330" s="5079"/>
      <c r="BP330" s="5079"/>
      <c r="BQ330" s="5079"/>
      <c r="BR330" s="5082"/>
    </row>
    <row r="331" spans="1:70" ht="69" customHeight="1" x14ac:dyDescent="0.2">
      <c r="A331" s="2164"/>
      <c r="B331" s="2165"/>
      <c r="C331" s="2166"/>
      <c r="D331" s="2165"/>
      <c r="E331" s="2165"/>
      <c r="F331" s="2166"/>
      <c r="G331" s="2165"/>
      <c r="H331" s="2165"/>
      <c r="I331" s="2166"/>
      <c r="J331" s="5111"/>
      <c r="K331" s="5088"/>
      <c r="L331" s="5085"/>
      <c r="M331" s="5085"/>
      <c r="N331" s="5085"/>
      <c r="O331" s="5085"/>
      <c r="P331" s="5085"/>
      <c r="Q331" s="5088"/>
      <c r="R331" s="5119"/>
      <c r="S331" s="5102"/>
      <c r="T331" s="5088"/>
      <c r="U331" s="5088"/>
      <c r="V331" s="5127"/>
      <c r="W331" s="2142">
        <v>400000000</v>
      </c>
      <c r="X331" s="2257">
        <v>10746000</v>
      </c>
      <c r="Y331" s="2257">
        <v>5373000</v>
      </c>
      <c r="Z331" s="2178">
        <v>88</v>
      </c>
      <c r="AA331" s="2849" t="s">
        <v>2029</v>
      </c>
      <c r="AB331" s="5085"/>
      <c r="AC331" s="5085"/>
      <c r="AD331" s="5085"/>
      <c r="AE331" s="5085"/>
      <c r="AF331" s="5085"/>
      <c r="AG331" s="5085"/>
      <c r="AH331" s="5085"/>
      <c r="AI331" s="5085"/>
      <c r="AJ331" s="5085"/>
      <c r="AK331" s="5085"/>
      <c r="AL331" s="5085"/>
      <c r="AM331" s="5085"/>
      <c r="AN331" s="5085"/>
      <c r="AO331" s="5085"/>
      <c r="AP331" s="5085"/>
      <c r="AQ331" s="5085"/>
      <c r="AR331" s="5085"/>
      <c r="AS331" s="5085"/>
      <c r="AT331" s="5085"/>
      <c r="AU331" s="5085"/>
      <c r="AV331" s="5085"/>
      <c r="AW331" s="5085"/>
      <c r="AX331" s="5085"/>
      <c r="AY331" s="5085"/>
      <c r="AZ331" s="5085"/>
      <c r="BA331" s="5085"/>
      <c r="BB331" s="5085"/>
      <c r="BC331" s="5085"/>
      <c r="BD331" s="5085"/>
      <c r="BE331" s="5085"/>
      <c r="BF331" s="5085"/>
      <c r="BG331" s="5085"/>
      <c r="BH331" s="5095"/>
      <c r="BI331" s="3822"/>
      <c r="BJ331" s="3822"/>
      <c r="BK331" s="5092"/>
      <c r="BL331" s="5095"/>
      <c r="BM331" s="5095"/>
      <c r="BN331" s="5079"/>
      <c r="BO331" s="5079"/>
      <c r="BP331" s="5079"/>
      <c r="BQ331" s="5079"/>
      <c r="BR331" s="5082"/>
    </row>
    <row r="332" spans="1:70" ht="39" customHeight="1" x14ac:dyDescent="0.2">
      <c r="A332" s="2164"/>
      <c r="B332" s="2165"/>
      <c r="C332" s="2166"/>
      <c r="D332" s="2165"/>
      <c r="E332" s="2165"/>
      <c r="F332" s="2166"/>
      <c r="G332" s="2165"/>
      <c r="H332" s="2165"/>
      <c r="I332" s="2166"/>
      <c r="J332" s="5111"/>
      <c r="K332" s="5088"/>
      <c r="L332" s="5085"/>
      <c r="M332" s="5085"/>
      <c r="N332" s="5085"/>
      <c r="O332" s="5085"/>
      <c r="P332" s="5085"/>
      <c r="Q332" s="5088"/>
      <c r="R332" s="5119"/>
      <c r="S332" s="5102"/>
      <c r="T332" s="5088"/>
      <c r="U332" s="5088"/>
      <c r="V332" s="2258" t="s">
        <v>2030</v>
      </c>
      <c r="W332" s="2821">
        <v>10000000</v>
      </c>
      <c r="X332" s="2257">
        <v>10000000</v>
      </c>
      <c r="Y332" s="2257">
        <v>10000000</v>
      </c>
      <c r="Z332" s="2143">
        <v>20</v>
      </c>
      <c r="AA332" s="2848" t="s">
        <v>124</v>
      </c>
      <c r="AB332" s="5085"/>
      <c r="AC332" s="5085"/>
      <c r="AD332" s="5085"/>
      <c r="AE332" s="5085"/>
      <c r="AF332" s="5085"/>
      <c r="AG332" s="5085"/>
      <c r="AH332" s="5085"/>
      <c r="AI332" s="5085"/>
      <c r="AJ332" s="5085"/>
      <c r="AK332" s="5085"/>
      <c r="AL332" s="5085"/>
      <c r="AM332" s="5085"/>
      <c r="AN332" s="5085"/>
      <c r="AO332" s="5085"/>
      <c r="AP332" s="5085"/>
      <c r="AQ332" s="5085"/>
      <c r="AR332" s="5085"/>
      <c r="AS332" s="5085"/>
      <c r="AT332" s="5085"/>
      <c r="AU332" s="5085"/>
      <c r="AV332" s="5085"/>
      <c r="AW332" s="5085"/>
      <c r="AX332" s="5085"/>
      <c r="AY332" s="5085"/>
      <c r="AZ332" s="5085"/>
      <c r="BA332" s="5085"/>
      <c r="BB332" s="5085"/>
      <c r="BC332" s="5085"/>
      <c r="BD332" s="5085"/>
      <c r="BE332" s="5085"/>
      <c r="BF332" s="5085"/>
      <c r="BG332" s="5085"/>
      <c r="BH332" s="5095"/>
      <c r="BI332" s="3822"/>
      <c r="BJ332" s="3822"/>
      <c r="BK332" s="5092"/>
      <c r="BL332" s="5095"/>
      <c r="BM332" s="5095"/>
      <c r="BN332" s="5079"/>
      <c r="BO332" s="5079"/>
      <c r="BP332" s="5079"/>
      <c r="BQ332" s="5079"/>
      <c r="BR332" s="5082"/>
    </row>
    <row r="333" spans="1:70" ht="56.25" customHeight="1" x14ac:dyDescent="0.2">
      <c r="A333" s="2164"/>
      <c r="B333" s="2165"/>
      <c r="C333" s="2166"/>
      <c r="D333" s="2165"/>
      <c r="E333" s="2165"/>
      <c r="F333" s="2166"/>
      <c r="G333" s="2165"/>
      <c r="H333" s="2165"/>
      <c r="I333" s="2166"/>
      <c r="J333" s="5111"/>
      <c r="K333" s="5088"/>
      <c r="L333" s="5085"/>
      <c r="M333" s="5085"/>
      <c r="N333" s="5085"/>
      <c r="O333" s="5085"/>
      <c r="P333" s="5085"/>
      <c r="Q333" s="5088"/>
      <c r="R333" s="5119"/>
      <c r="S333" s="5102"/>
      <c r="T333" s="5088"/>
      <c r="U333" s="5089"/>
      <c r="V333" s="2258" t="s">
        <v>2031</v>
      </c>
      <c r="W333" s="2821">
        <v>10000000</v>
      </c>
      <c r="X333" s="2257">
        <v>10000000</v>
      </c>
      <c r="Y333" s="2257">
        <v>10000000</v>
      </c>
      <c r="Z333" s="2143">
        <v>20</v>
      </c>
      <c r="AA333" s="2848" t="s">
        <v>124</v>
      </c>
      <c r="AB333" s="5085"/>
      <c r="AC333" s="5085"/>
      <c r="AD333" s="5085"/>
      <c r="AE333" s="5085"/>
      <c r="AF333" s="5085"/>
      <c r="AG333" s="5085"/>
      <c r="AH333" s="5085"/>
      <c r="AI333" s="5085"/>
      <c r="AJ333" s="5085"/>
      <c r="AK333" s="5085"/>
      <c r="AL333" s="5085"/>
      <c r="AM333" s="5085"/>
      <c r="AN333" s="5085"/>
      <c r="AO333" s="5085"/>
      <c r="AP333" s="5085"/>
      <c r="AQ333" s="5085"/>
      <c r="AR333" s="5085"/>
      <c r="AS333" s="5085"/>
      <c r="AT333" s="5085"/>
      <c r="AU333" s="5085"/>
      <c r="AV333" s="5085"/>
      <c r="AW333" s="5085"/>
      <c r="AX333" s="5085"/>
      <c r="AY333" s="5085"/>
      <c r="AZ333" s="5085"/>
      <c r="BA333" s="5085"/>
      <c r="BB333" s="5085"/>
      <c r="BC333" s="5085"/>
      <c r="BD333" s="5085"/>
      <c r="BE333" s="5085"/>
      <c r="BF333" s="5085"/>
      <c r="BG333" s="5085"/>
      <c r="BH333" s="5095"/>
      <c r="BI333" s="3822"/>
      <c r="BJ333" s="3822"/>
      <c r="BK333" s="5092"/>
      <c r="BL333" s="5095"/>
      <c r="BM333" s="5095"/>
      <c r="BN333" s="5079"/>
      <c r="BO333" s="5079"/>
      <c r="BP333" s="5079"/>
      <c r="BQ333" s="5079"/>
      <c r="BR333" s="5082"/>
    </row>
    <row r="334" spans="1:70" ht="42.75" x14ac:dyDescent="0.2">
      <c r="A334" s="2164"/>
      <c r="B334" s="2165"/>
      <c r="C334" s="2166"/>
      <c r="D334" s="2165"/>
      <c r="E334" s="2165"/>
      <c r="F334" s="2166"/>
      <c r="G334" s="2174"/>
      <c r="H334" s="2174"/>
      <c r="I334" s="2175"/>
      <c r="J334" s="5112"/>
      <c r="K334" s="5089"/>
      <c r="L334" s="5086"/>
      <c r="M334" s="5086"/>
      <c r="N334" s="5086"/>
      <c r="O334" s="5086"/>
      <c r="P334" s="5086"/>
      <c r="Q334" s="5089"/>
      <c r="R334" s="5120"/>
      <c r="S334" s="5121"/>
      <c r="T334" s="5089"/>
      <c r="U334" s="2852" t="s">
        <v>2032</v>
      </c>
      <c r="V334" s="2843" t="s">
        <v>2033</v>
      </c>
      <c r="W334" s="2821">
        <v>15000000</v>
      </c>
      <c r="X334" s="2257">
        <v>15000000</v>
      </c>
      <c r="Y334" s="2257">
        <v>15000000</v>
      </c>
      <c r="Z334" s="2143">
        <v>20</v>
      </c>
      <c r="AA334" s="2848" t="s">
        <v>124</v>
      </c>
      <c r="AB334" s="5086"/>
      <c r="AC334" s="5086"/>
      <c r="AD334" s="5086"/>
      <c r="AE334" s="5086"/>
      <c r="AF334" s="5086"/>
      <c r="AG334" s="5086"/>
      <c r="AH334" s="5086"/>
      <c r="AI334" s="5086"/>
      <c r="AJ334" s="5086"/>
      <c r="AK334" s="5086"/>
      <c r="AL334" s="5086"/>
      <c r="AM334" s="5086"/>
      <c r="AN334" s="5086"/>
      <c r="AO334" s="5086"/>
      <c r="AP334" s="5086"/>
      <c r="AQ334" s="5086"/>
      <c r="AR334" s="5086"/>
      <c r="AS334" s="5086"/>
      <c r="AT334" s="5086"/>
      <c r="AU334" s="5086"/>
      <c r="AV334" s="5086"/>
      <c r="AW334" s="5086"/>
      <c r="AX334" s="5086"/>
      <c r="AY334" s="5086"/>
      <c r="AZ334" s="5086"/>
      <c r="BA334" s="5086"/>
      <c r="BB334" s="5086"/>
      <c r="BC334" s="5086"/>
      <c r="BD334" s="5086"/>
      <c r="BE334" s="5086"/>
      <c r="BF334" s="5086"/>
      <c r="BG334" s="5086"/>
      <c r="BH334" s="5103"/>
      <c r="BI334" s="3823"/>
      <c r="BJ334" s="3823"/>
      <c r="BK334" s="5109"/>
      <c r="BL334" s="5103"/>
      <c r="BM334" s="5103"/>
      <c r="BN334" s="5117"/>
      <c r="BO334" s="5117"/>
      <c r="BP334" s="5117"/>
      <c r="BQ334" s="5117"/>
      <c r="BR334" s="5098"/>
    </row>
    <row r="335" spans="1:70" ht="36" customHeight="1" x14ac:dyDescent="0.2">
      <c r="A335" s="2122"/>
      <c r="B335" s="2123"/>
      <c r="C335" s="2124"/>
      <c r="D335" s="2123"/>
      <c r="E335" s="2123"/>
      <c r="F335" s="2124"/>
      <c r="G335" s="2158">
        <v>53</v>
      </c>
      <c r="H335" s="2128" t="s">
        <v>2034</v>
      </c>
      <c r="I335" s="2128"/>
      <c r="J335" s="2226"/>
      <c r="K335" s="2227"/>
      <c r="L335" s="2128"/>
      <c r="M335" s="2128"/>
      <c r="N335" s="2128"/>
      <c r="O335" s="2130"/>
      <c r="P335" s="2128"/>
      <c r="Q335" s="2129"/>
      <c r="R335" s="2128"/>
      <c r="S335" s="2159"/>
      <c r="T335" s="2129"/>
      <c r="U335" s="2129"/>
      <c r="V335" s="2129"/>
      <c r="W335" s="2259"/>
      <c r="X335" s="2259"/>
      <c r="Y335" s="2259"/>
      <c r="Z335" s="2200"/>
      <c r="AA335" s="2201"/>
      <c r="AB335" s="2130"/>
      <c r="AC335" s="2130"/>
      <c r="AD335" s="2130"/>
      <c r="AE335" s="2130"/>
      <c r="AF335" s="2260"/>
      <c r="AG335" s="2260"/>
      <c r="AH335" s="2260"/>
      <c r="AI335" s="2260"/>
      <c r="AJ335" s="2261"/>
      <c r="AK335" s="2261"/>
      <c r="AL335" s="2260"/>
      <c r="AM335" s="2260"/>
      <c r="AN335" s="2260"/>
      <c r="AO335" s="2260"/>
      <c r="AP335" s="2260"/>
      <c r="AQ335" s="2260"/>
      <c r="AR335" s="2260"/>
      <c r="AS335" s="2260"/>
      <c r="AT335" s="2247"/>
      <c r="AU335" s="2247"/>
      <c r="AV335" s="2260"/>
      <c r="AW335" s="2260"/>
      <c r="AX335" s="2261"/>
      <c r="AY335" s="2261"/>
      <c r="AZ335" s="2260"/>
      <c r="BA335" s="2260"/>
      <c r="BB335" s="2260"/>
      <c r="BC335" s="2260"/>
      <c r="BD335" s="2261"/>
      <c r="BE335" s="2261"/>
      <c r="BF335" s="2261"/>
      <c r="BG335" s="2260"/>
      <c r="BH335" s="2260"/>
      <c r="BI335" s="2262"/>
      <c r="BJ335" s="2262"/>
      <c r="BK335" s="2260"/>
      <c r="BL335" s="2260"/>
      <c r="BM335" s="2260"/>
      <c r="BN335" s="2128"/>
      <c r="BO335" s="2128"/>
      <c r="BP335" s="2128"/>
      <c r="BQ335" s="2128"/>
      <c r="BR335" s="2135"/>
    </row>
    <row r="336" spans="1:70" ht="70.5" customHeight="1" x14ac:dyDescent="0.2">
      <c r="A336" s="2136"/>
      <c r="B336" s="2137"/>
      <c r="C336" s="2138"/>
      <c r="D336" s="2137"/>
      <c r="E336" s="2137"/>
      <c r="F336" s="2138"/>
      <c r="G336" s="2140"/>
      <c r="H336" s="2140"/>
      <c r="I336" s="2140"/>
      <c r="J336" s="5128">
        <v>173</v>
      </c>
      <c r="K336" s="5125" t="s">
        <v>2035</v>
      </c>
      <c r="L336" s="5130" t="s">
        <v>1581</v>
      </c>
      <c r="M336" s="5133">
        <v>7</v>
      </c>
      <c r="N336" s="5133">
        <v>4</v>
      </c>
      <c r="O336" s="5084" t="s">
        <v>2036</v>
      </c>
      <c r="P336" s="5084" t="s">
        <v>2037</v>
      </c>
      <c r="Q336" s="5087" t="s">
        <v>2038</v>
      </c>
      <c r="R336" s="5118">
        <f>SUM(W336:W344)/S336</f>
        <v>0.46524064171122997</v>
      </c>
      <c r="S336" s="5101">
        <f>SUM(W336:W345)</f>
        <v>56100000</v>
      </c>
      <c r="T336" s="5087" t="s">
        <v>2039</v>
      </c>
      <c r="U336" s="5087" t="s">
        <v>2040</v>
      </c>
      <c r="V336" s="2205" t="s">
        <v>2041</v>
      </c>
      <c r="W336" s="2821">
        <v>2000000</v>
      </c>
      <c r="X336" s="2257">
        <v>1770000</v>
      </c>
      <c r="Y336" s="2257">
        <v>1770000</v>
      </c>
      <c r="Z336" s="2143">
        <v>20</v>
      </c>
      <c r="AA336" s="2848" t="s">
        <v>124</v>
      </c>
      <c r="AB336" s="5084">
        <v>292684</v>
      </c>
      <c r="AC336" s="5084">
        <f t="shared" ref="AC336" si="133">SUM(AB336*0.84)</f>
        <v>245854.56</v>
      </c>
      <c r="AD336" s="5084">
        <v>282326</v>
      </c>
      <c r="AE336" s="5084">
        <f t="shared" ref="AE336" si="134">SUM(AD336*0.84)</f>
        <v>237153.84</v>
      </c>
      <c r="AF336" s="5084">
        <v>135912</v>
      </c>
      <c r="AG336" s="5084">
        <f t="shared" ref="AG336" si="135">SUM(AF336*0.84)</f>
        <v>114166.08</v>
      </c>
      <c r="AH336" s="5084">
        <v>45122</v>
      </c>
      <c r="AI336" s="5084">
        <f t="shared" ref="AI336" si="136">SUM(AH336*0.84)</f>
        <v>37902.479999999996</v>
      </c>
      <c r="AJ336" s="5084">
        <v>307101</v>
      </c>
      <c r="AK336" s="5084">
        <v>257964.84</v>
      </c>
      <c r="AL336" s="5084">
        <v>86875</v>
      </c>
      <c r="AM336" s="5084">
        <f t="shared" ref="AM336" si="137">SUM(AL336*0.84)</f>
        <v>72975</v>
      </c>
      <c r="AN336" s="5084">
        <v>2145</v>
      </c>
      <c r="AO336" s="5084">
        <f t="shared" ref="AO336" si="138">SUM(AN336*0.84)</f>
        <v>1801.8</v>
      </c>
      <c r="AP336" s="5084">
        <v>12718</v>
      </c>
      <c r="AQ336" s="5084">
        <f t="shared" ref="AQ336" si="139">SUM(AP336*0.84)</f>
        <v>10683.119999999999</v>
      </c>
      <c r="AR336" s="5084">
        <v>26</v>
      </c>
      <c r="AS336" s="5084">
        <f t="shared" ref="AS336" si="140">SUM(AR336*0.84)</f>
        <v>21.84</v>
      </c>
      <c r="AT336" s="5084">
        <v>37</v>
      </c>
      <c r="AU336" s="5084">
        <f t="shared" ref="AU336" si="141">SUM(AT336*0.84)</f>
        <v>31.08</v>
      </c>
      <c r="AV336" s="5084" t="s">
        <v>1588</v>
      </c>
      <c r="AW336" s="5084" t="s">
        <v>1588</v>
      </c>
      <c r="AX336" s="5084" t="s">
        <v>1588</v>
      </c>
      <c r="AY336" s="5084" t="s">
        <v>1588</v>
      </c>
      <c r="AZ336" s="5084">
        <v>53164</v>
      </c>
      <c r="BA336" s="5084">
        <f t="shared" ref="BA336" si="142">SUM(AZ336*0.84)</f>
        <v>44657.759999999995</v>
      </c>
      <c r="BB336" s="5084">
        <v>16982</v>
      </c>
      <c r="BC336" s="5084">
        <f t="shared" ref="BC336" si="143">SUM(BB336*0.84)</f>
        <v>14264.88</v>
      </c>
      <c r="BD336" s="5084">
        <v>60013</v>
      </c>
      <c r="BE336" s="5084">
        <f t="shared" ref="BE336" si="144">SUM(BD336*0.84)</f>
        <v>50410.92</v>
      </c>
      <c r="BF336" s="5084">
        <v>575010</v>
      </c>
      <c r="BG336" s="5084">
        <f t="shared" ref="BG336" si="145">SUM(BF336*0.84)</f>
        <v>483008.39999999997</v>
      </c>
      <c r="BH336" s="5094">
        <v>3</v>
      </c>
      <c r="BI336" s="3821">
        <f>SUM(X336:X345)</f>
        <v>36374000</v>
      </c>
      <c r="BJ336" s="3821">
        <f>SUM(Y336:Y345)</f>
        <v>27980000</v>
      </c>
      <c r="BK336" s="5091">
        <f>+BJ336/BI336</f>
        <v>0.76923076923076927</v>
      </c>
      <c r="BL336" s="5094" t="s">
        <v>2042</v>
      </c>
      <c r="BM336" s="5094" t="s">
        <v>1946</v>
      </c>
      <c r="BN336" s="5078">
        <v>43467</v>
      </c>
      <c r="BO336" s="5078">
        <v>43830</v>
      </c>
      <c r="BP336" s="5078">
        <v>43830</v>
      </c>
      <c r="BQ336" s="5078">
        <v>43830</v>
      </c>
      <c r="BR336" s="5081" t="s">
        <v>1591</v>
      </c>
    </row>
    <row r="337" spans="1:70" ht="60.75" customHeight="1" x14ac:dyDescent="0.2">
      <c r="A337" s="2136"/>
      <c r="B337" s="2137"/>
      <c r="C337" s="2138"/>
      <c r="D337" s="2137"/>
      <c r="E337" s="2137"/>
      <c r="F337" s="2138"/>
      <c r="G337" s="2137"/>
      <c r="H337" s="2137"/>
      <c r="I337" s="2137"/>
      <c r="J337" s="5128"/>
      <c r="K337" s="5125"/>
      <c r="L337" s="5131"/>
      <c r="M337" s="5134"/>
      <c r="N337" s="5134"/>
      <c r="O337" s="5085"/>
      <c r="P337" s="5085"/>
      <c r="Q337" s="5088"/>
      <c r="R337" s="5119"/>
      <c r="S337" s="5102"/>
      <c r="T337" s="5088"/>
      <c r="U337" s="5088"/>
      <c r="V337" s="2205" t="s">
        <v>2043</v>
      </c>
      <c r="W337" s="2821">
        <v>2000000</v>
      </c>
      <c r="X337" s="2257">
        <v>1770000</v>
      </c>
      <c r="Y337" s="2257">
        <v>1770000</v>
      </c>
      <c r="Z337" s="2143">
        <v>20</v>
      </c>
      <c r="AA337" s="2848" t="s">
        <v>124</v>
      </c>
      <c r="AB337" s="5085"/>
      <c r="AC337" s="5085"/>
      <c r="AD337" s="5085"/>
      <c r="AE337" s="5085"/>
      <c r="AF337" s="5085"/>
      <c r="AG337" s="5085"/>
      <c r="AH337" s="5085"/>
      <c r="AI337" s="5085"/>
      <c r="AJ337" s="5085"/>
      <c r="AK337" s="5085"/>
      <c r="AL337" s="5085"/>
      <c r="AM337" s="5085"/>
      <c r="AN337" s="5085"/>
      <c r="AO337" s="5085"/>
      <c r="AP337" s="5085"/>
      <c r="AQ337" s="5085"/>
      <c r="AR337" s="5085"/>
      <c r="AS337" s="5085"/>
      <c r="AT337" s="5085"/>
      <c r="AU337" s="5085"/>
      <c r="AV337" s="5085"/>
      <c r="AW337" s="5085"/>
      <c r="AX337" s="5085"/>
      <c r="AY337" s="5085"/>
      <c r="AZ337" s="5085"/>
      <c r="BA337" s="5085"/>
      <c r="BB337" s="5085"/>
      <c r="BC337" s="5085"/>
      <c r="BD337" s="5085"/>
      <c r="BE337" s="5085"/>
      <c r="BF337" s="5085"/>
      <c r="BG337" s="5085"/>
      <c r="BH337" s="5095"/>
      <c r="BI337" s="3822"/>
      <c r="BJ337" s="3822"/>
      <c r="BK337" s="5092"/>
      <c r="BL337" s="5095"/>
      <c r="BM337" s="5095"/>
      <c r="BN337" s="5079"/>
      <c r="BO337" s="5079"/>
      <c r="BP337" s="5079"/>
      <c r="BQ337" s="5079"/>
      <c r="BR337" s="5082"/>
    </row>
    <row r="338" spans="1:70" ht="42.75" customHeight="1" x14ac:dyDescent="0.2">
      <c r="A338" s="2136"/>
      <c r="B338" s="2137"/>
      <c r="C338" s="2138"/>
      <c r="D338" s="2137"/>
      <c r="E338" s="2137"/>
      <c r="F338" s="2138"/>
      <c r="G338" s="2137"/>
      <c r="H338" s="2137"/>
      <c r="I338" s="2137"/>
      <c r="J338" s="5128"/>
      <c r="K338" s="5125"/>
      <c r="L338" s="5131"/>
      <c r="M338" s="5134"/>
      <c r="N338" s="5134"/>
      <c r="O338" s="5085"/>
      <c r="P338" s="5085"/>
      <c r="Q338" s="5088"/>
      <c r="R338" s="5119"/>
      <c r="S338" s="5102"/>
      <c r="T338" s="5088"/>
      <c r="U338" s="5088"/>
      <c r="V338" s="5099" t="s">
        <v>2044</v>
      </c>
      <c r="W338" s="2821">
        <v>2000000</v>
      </c>
      <c r="X338" s="2257">
        <v>1770000</v>
      </c>
      <c r="Y338" s="2257">
        <v>1770000</v>
      </c>
      <c r="Z338" s="2143">
        <v>20</v>
      </c>
      <c r="AA338" s="2848" t="s">
        <v>124</v>
      </c>
      <c r="AB338" s="5085"/>
      <c r="AC338" s="5085"/>
      <c r="AD338" s="5085"/>
      <c r="AE338" s="5085"/>
      <c r="AF338" s="5085"/>
      <c r="AG338" s="5085"/>
      <c r="AH338" s="5085"/>
      <c r="AI338" s="5085"/>
      <c r="AJ338" s="5085"/>
      <c r="AK338" s="5085"/>
      <c r="AL338" s="5085"/>
      <c r="AM338" s="5085"/>
      <c r="AN338" s="5085"/>
      <c r="AO338" s="5085"/>
      <c r="AP338" s="5085"/>
      <c r="AQ338" s="5085"/>
      <c r="AR338" s="5085"/>
      <c r="AS338" s="5085"/>
      <c r="AT338" s="5085"/>
      <c r="AU338" s="5085"/>
      <c r="AV338" s="5085"/>
      <c r="AW338" s="5085"/>
      <c r="AX338" s="5085"/>
      <c r="AY338" s="5085"/>
      <c r="AZ338" s="5085"/>
      <c r="BA338" s="5085"/>
      <c r="BB338" s="5085"/>
      <c r="BC338" s="5085"/>
      <c r="BD338" s="5085"/>
      <c r="BE338" s="5085"/>
      <c r="BF338" s="5085"/>
      <c r="BG338" s="5085"/>
      <c r="BH338" s="5095"/>
      <c r="BI338" s="3822"/>
      <c r="BJ338" s="3822"/>
      <c r="BK338" s="5092"/>
      <c r="BL338" s="5095"/>
      <c r="BM338" s="5095"/>
      <c r="BN338" s="5079"/>
      <c r="BO338" s="5079"/>
      <c r="BP338" s="5079"/>
      <c r="BQ338" s="5079"/>
      <c r="BR338" s="5082"/>
    </row>
    <row r="339" spans="1:70" ht="33" customHeight="1" x14ac:dyDescent="0.2">
      <c r="A339" s="2136"/>
      <c r="B339" s="2137"/>
      <c r="C339" s="2138"/>
      <c r="D339" s="2137"/>
      <c r="E339" s="2137"/>
      <c r="F339" s="2138"/>
      <c r="G339" s="2137"/>
      <c r="H339" s="2137"/>
      <c r="I339" s="2137"/>
      <c r="J339" s="5128"/>
      <c r="K339" s="5125"/>
      <c r="L339" s="5131"/>
      <c r="M339" s="5134"/>
      <c r="N339" s="5134"/>
      <c r="O339" s="5085"/>
      <c r="P339" s="5085"/>
      <c r="Q339" s="5088"/>
      <c r="R339" s="5119"/>
      <c r="S339" s="5102"/>
      <c r="T339" s="5088"/>
      <c r="U339" s="5089"/>
      <c r="V339" s="5100"/>
      <c r="W339" s="2142">
        <v>4000000</v>
      </c>
      <c r="X339" s="2257">
        <v>4000000</v>
      </c>
      <c r="Y339" s="2257">
        <v>0</v>
      </c>
      <c r="Z339" s="2178">
        <v>96</v>
      </c>
      <c r="AA339" s="2849" t="s">
        <v>1961</v>
      </c>
      <c r="AB339" s="5085"/>
      <c r="AC339" s="5085"/>
      <c r="AD339" s="5085"/>
      <c r="AE339" s="5085"/>
      <c r="AF339" s="5085"/>
      <c r="AG339" s="5085"/>
      <c r="AH339" s="5085"/>
      <c r="AI339" s="5085"/>
      <c r="AJ339" s="5085"/>
      <c r="AK339" s="5085"/>
      <c r="AL339" s="5085"/>
      <c r="AM339" s="5085"/>
      <c r="AN339" s="5085"/>
      <c r="AO339" s="5085"/>
      <c r="AP339" s="5085"/>
      <c r="AQ339" s="5085"/>
      <c r="AR339" s="5085"/>
      <c r="AS339" s="5085"/>
      <c r="AT339" s="5085"/>
      <c r="AU339" s="5085"/>
      <c r="AV339" s="5085"/>
      <c r="AW339" s="5085"/>
      <c r="AX339" s="5085"/>
      <c r="AY339" s="5085"/>
      <c r="AZ339" s="5085"/>
      <c r="BA339" s="5085"/>
      <c r="BB339" s="5085"/>
      <c r="BC339" s="5085"/>
      <c r="BD339" s="5085"/>
      <c r="BE339" s="5085"/>
      <c r="BF339" s="5085"/>
      <c r="BG339" s="5085"/>
      <c r="BH339" s="5095"/>
      <c r="BI339" s="3822"/>
      <c r="BJ339" s="3822"/>
      <c r="BK339" s="5092"/>
      <c r="BL339" s="5095"/>
      <c r="BM339" s="5095"/>
      <c r="BN339" s="5079"/>
      <c r="BO339" s="5079"/>
      <c r="BP339" s="5079"/>
      <c r="BQ339" s="5079"/>
      <c r="BR339" s="5082"/>
    </row>
    <row r="340" spans="1:70" ht="34.5" customHeight="1" x14ac:dyDescent="0.2">
      <c r="A340" s="2136"/>
      <c r="B340" s="2137"/>
      <c r="C340" s="2138"/>
      <c r="D340" s="2137"/>
      <c r="E340" s="2137"/>
      <c r="F340" s="2138"/>
      <c r="G340" s="2137"/>
      <c r="H340" s="2137"/>
      <c r="I340" s="2137"/>
      <c r="J340" s="5128"/>
      <c r="K340" s="5125"/>
      <c r="L340" s="5131"/>
      <c r="M340" s="5134"/>
      <c r="N340" s="5134"/>
      <c r="O340" s="5085"/>
      <c r="P340" s="5085"/>
      <c r="Q340" s="5088"/>
      <c r="R340" s="5119"/>
      <c r="S340" s="5102"/>
      <c r="T340" s="5088"/>
      <c r="U340" s="5087" t="s">
        <v>2045</v>
      </c>
      <c r="V340" s="5099" t="s">
        <v>2046</v>
      </c>
      <c r="W340" s="2142">
        <v>5000000</v>
      </c>
      <c r="X340" s="2257">
        <f>1770000+1770000</f>
        <v>3540000</v>
      </c>
      <c r="Y340" s="2257">
        <f>1770000+1770000</f>
        <v>3540000</v>
      </c>
      <c r="Z340" s="2178">
        <v>20</v>
      </c>
      <c r="AA340" s="2849" t="s">
        <v>124</v>
      </c>
      <c r="AB340" s="5085"/>
      <c r="AC340" s="5085"/>
      <c r="AD340" s="5085"/>
      <c r="AE340" s="5085"/>
      <c r="AF340" s="5085"/>
      <c r="AG340" s="5085"/>
      <c r="AH340" s="5085"/>
      <c r="AI340" s="5085"/>
      <c r="AJ340" s="5085"/>
      <c r="AK340" s="5085"/>
      <c r="AL340" s="5085"/>
      <c r="AM340" s="5085"/>
      <c r="AN340" s="5085"/>
      <c r="AO340" s="5085"/>
      <c r="AP340" s="5085"/>
      <c r="AQ340" s="5085"/>
      <c r="AR340" s="5085"/>
      <c r="AS340" s="5085"/>
      <c r="AT340" s="5085"/>
      <c r="AU340" s="5085"/>
      <c r="AV340" s="5085"/>
      <c r="AW340" s="5085"/>
      <c r="AX340" s="5085"/>
      <c r="AY340" s="5085"/>
      <c r="AZ340" s="5085"/>
      <c r="BA340" s="5085"/>
      <c r="BB340" s="5085"/>
      <c r="BC340" s="5085"/>
      <c r="BD340" s="5085"/>
      <c r="BE340" s="5085"/>
      <c r="BF340" s="5085"/>
      <c r="BG340" s="5085"/>
      <c r="BH340" s="5095"/>
      <c r="BI340" s="3822"/>
      <c r="BJ340" s="3822"/>
      <c r="BK340" s="5092"/>
      <c r="BL340" s="5095"/>
      <c r="BM340" s="5095"/>
      <c r="BN340" s="5079"/>
      <c r="BO340" s="5079"/>
      <c r="BP340" s="5079"/>
      <c r="BQ340" s="5079"/>
      <c r="BR340" s="5082"/>
    </row>
    <row r="341" spans="1:70" ht="51" customHeight="1" x14ac:dyDescent="0.2">
      <c r="A341" s="2136"/>
      <c r="B341" s="2137"/>
      <c r="C341" s="2138"/>
      <c r="D341" s="2137"/>
      <c r="E341" s="2137"/>
      <c r="F341" s="2138"/>
      <c r="G341" s="2137"/>
      <c r="H341" s="2137"/>
      <c r="I341" s="2137"/>
      <c r="J341" s="5128"/>
      <c r="K341" s="5125"/>
      <c r="L341" s="5131"/>
      <c r="M341" s="5134"/>
      <c r="N341" s="5134"/>
      <c r="O341" s="5085"/>
      <c r="P341" s="5085"/>
      <c r="Q341" s="5088"/>
      <c r="R341" s="5119"/>
      <c r="S341" s="5102"/>
      <c r="T341" s="5088"/>
      <c r="U341" s="5124"/>
      <c r="V341" s="5100"/>
      <c r="W341" s="2142">
        <v>3500000</v>
      </c>
      <c r="X341" s="2257">
        <v>3500000</v>
      </c>
      <c r="Y341" s="2257">
        <v>0</v>
      </c>
      <c r="Z341" s="2178">
        <v>96</v>
      </c>
      <c r="AA341" s="2849" t="s">
        <v>1961</v>
      </c>
      <c r="AB341" s="5085"/>
      <c r="AC341" s="5085"/>
      <c r="AD341" s="5085"/>
      <c r="AE341" s="5085"/>
      <c r="AF341" s="5085"/>
      <c r="AG341" s="5085"/>
      <c r="AH341" s="5085"/>
      <c r="AI341" s="5085"/>
      <c r="AJ341" s="5085"/>
      <c r="AK341" s="5085"/>
      <c r="AL341" s="5085"/>
      <c r="AM341" s="5085"/>
      <c r="AN341" s="5085"/>
      <c r="AO341" s="5085"/>
      <c r="AP341" s="5085"/>
      <c r="AQ341" s="5085"/>
      <c r="AR341" s="5085"/>
      <c r="AS341" s="5085"/>
      <c r="AT341" s="5085"/>
      <c r="AU341" s="5085"/>
      <c r="AV341" s="5085"/>
      <c r="AW341" s="5085"/>
      <c r="AX341" s="5085"/>
      <c r="AY341" s="5085"/>
      <c r="AZ341" s="5085"/>
      <c r="BA341" s="5085"/>
      <c r="BB341" s="5085"/>
      <c r="BC341" s="5085"/>
      <c r="BD341" s="5085"/>
      <c r="BE341" s="5085"/>
      <c r="BF341" s="5085"/>
      <c r="BG341" s="5085"/>
      <c r="BH341" s="5095"/>
      <c r="BI341" s="3822"/>
      <c r="BJ341" s="3822"/>
      <c r="BK341" s="5092"/>
      <c r="BL341" s="5095"/>
      <c r="BM341" s="5095"/>
      <c r="BN341" s="5079"/>
      <c r="BO341" s="5079"/>
      <c r="BP341" s="5079"/>
      <c r="BQ341" s="5079"/>
      <c r="BR341" s="5082"/>
    </row>
    <row r="342" spans="1:70" ht="59.25" customHeight="1" x14ac:dyDescent="0.2">
      <c r="A342" s="2136"/>
      <c r="B342" s="2137"/>
      <c r="C342" s="2138"/>
      <c r="D342" s="2137"/>
      <c r="E342" s="2137"/>
      <c r="F342" s="2138"/>
      <c r="G342" s="2137"/>
      <c r="H342" s="2137"/>
      <c r="I342" s="2137"/>
      <c r="J342" s="5128"/>
      <c r="K342" s="5125"/>
      <c r="L342" s="5131"/>
      <c r="M342" s="5134"/>
      <c r="N342" s="5134"/>
      <c r="O342" s="5085"/>
      <c r="P342" s="5085"/>
      <c r="Q342" s="5088"/>
      <c r="R342" s="5119"/>
      <c r="S342" s="5102"/>
      <c r="T342" s="5122"/>
      <c r="U342" s="5125" t="s">
        <v>2047</v>
      </c>
      <c r="V342" s="2263" t="s">
        <v>2048</v>
      </c>
      <c r="W342" s="2821">
        <v>3000000</v>
      </c>
      <c r="X342" s="2257">
        <v>1770000</v>
      </c>
      <c r="Y342" s="2257">
        <v>1770000</v>
      </c>
      <c r="Z342" s="2143">
        <v>20</v>
      </c>
      <c r="AA342" s="2848" t="s">
        <v>124</v>
      </c>
      <c r="AB342" s="5085"/>
      <c r="AC342" s="5085"/>
      <c r="AD342" s="5085"/>
      <c r="AE342" s="5085"/>
      <c r="AF342" s="5085"/>
      <c r="AG342" s="5085"/>
      <c r="AH342" s="5085"/>
      <c r="AI342" s="5085"/>
      <c r="AJ342" s="5085"/>
      <c r="AK342" s="5085"/>
      <c r="AL342" s="5085"/>
      <c r="AM342" s="5085"/>
      <c r="AN342" s="5085"/>
      <c r="AO342" s="5085"/>
      <c r="AP342" s="5085"/>
      <c r="AQ342" s="5085"/>
      <c r="AR342" s="5085"/>
      <c r="AS342" s="5085"/>
      <c r="AT342" s="5085"/>
      <c r="AU342" s="5085"/>
      <c r="AV342" s="5085"/>
      <c r="AW342" s="5085"/>
      <c r="AX342" s="5085"/>
      <c r="AY342" s="5085"/>
      <c r="AZ342" s="5085"/>
      <c r="BA342" s="5085"/>
      <c r="BB342" s="5085"/>
      <c r="BC342" s="5085"/>
      <c r="BD342" s="5085"/>
      <c r="BE342" s="5085"/>
      <c r="BF342" s="5085"/>
      <c r="BG342" s="5085"/>
      <c r="BH342" s="5095"/>
      <c r="BI342" s="3822"/>
      <c r="BJ342" s="3822"/>
      <c r="BK342" s="5092"/>
      <c r="BL342" s="5095"/>
      <c r="BM342" s="5095"/>
      <c r="BN342" s="5079"/>
      <c r="BO342" s="5079"/>
      <c r="BP342" s="5079"/>
      <c r="BQ342" s="5079"/>
      <c r="BR342" s="5082"/>
    </row>
    <row r="343" spans="1:70" ht="72" customHeight="1" x14ac:dyDescent="0.2">
      <c r="A343" s="2136"/>
      <c r="B343" s="2137"/>
      <c r="C343" s="2138"/>
      <c r="D343" s="2137"/>
      <c r="E343" s="2137"/>
      <c r="F343" s="2138"/>
      <c r="G343" s="2137"/>
      <c r="H343" s="2137"/>
      <c r="I343" s="2137"/>
      <c r="J343" s="5128"/>
      <c r="K343" s="5125"/>
      <c r="L343" s="5131"/>
      <c r="M343" s="5134"/>
      <c r="N343" s="5134"/>
      <c r="O343" s="5085"/>
      <c r="P343" s="5085"/>
      <c r="Q343" s="5088"/>
      <c r="R343" s="5119"/>
      <c r="S343" s="5102"/>
      <c r="T343" s="5122"/>
      <c r="U343" s="5125"/>
      <c r="V343" s="2263" t="s">
        <v>2049</v>
      </c>
      <c r="W343" s="2821">
        <v>3000000</v>
      </c>
      <c r="X343" s="2257">
        <v>1770000</v>
      </c>
      <c r="Y343" s="2257">
        <v>1770000</v>
      </c>
      <c r="Z343" s="2143">
        <v>20</v>
      </c>
      <c r="AA343" s="2848" t="s">
        <v>124</v>
      </c>
      <c r="AB343" s="5085"/>
      <c r="AC343" s="5085"/>
      <c r="AD343" s="5085"/>
      <c r="AE343" s="5085"/>
      <c r="AF343" s="5085"/>
      <c r="AG343" s="5085"/>
      <c r="AH343" s="5085"/>
      <c r="AI343" s="5085"/>
      <c r="AJ343" s="5085"/>
      <c r="AK343" s="5085"/>
      <c r="AL343" s="5085"/>
      <c r="AM343" s="5085"/>
      <c r="AN343" s="5085"/>
      <c r="AO343" s="5085"/>
      <c r="AP343" s="5085"/>
      <c r="AQ343" s="5085"/>
      <c r="AR343" s="5085"/>
      <c r="AS343" s="5085"/>
      <c r="AT343" s="5085"/>
      <c r="AU343" s="5085"/>
      <c r="AV343" s="5085"/>
      <c r="AW343" s="5085"/>
      <c r="AX343" s="5085"/>
      <c r="AY343" s="5085"/>
      <c r="AZ343" s="5085"/>
      <c r="BA343" s="5085"/>
      <c r="BB343" s="5085"/>
      <c r="BC343" s="5085"/>
      <c r="BD343" s="5085"/>
      <c r="BE343" s="5085"/>
      <c r="BF343" s="5085"/>
      <c r="BG343" s="5085"/>
      <c r="BH343" s="5095"/>
      <c r="BI343" s="3822"/>
      <c r="BJ343" s="3822"/>
      <c r="BK343" s="5092"/>
      <c r="BL343" s="5095"/>
      <c r="BM343" s="5095"/>
      <c r="BN343" s="5079"/>
      <c r="BO343" s="5079"/>
      <c r="BP343" s="5079"/>
      <c r="BQ343" s="5079"/>
      <c r="BR343" s="5082"/>
    </row>
    <row r="344" spans="1:70" ht="58.5" customHeight="1" x14ac:dyDescent="0.2">
      <c r="A344" s="2136"/>
      <c r="B344" s="2137"/>
      <c r="C344" s="2138"/>
      <c r="D344" s="2137"/>
      <c r="E344" s="2137"/>
      <c r="F344" s="2138"/>
      <c r="G344" s="2137"/>
      <c r="H344" s="2137"/>
      <c r="I344" s="2137"/>
      <c r="J344" s="5129"/>
      <c r="K344" s="5125"/>
      <c r="L344" s="5132"/>
      <c r="M344" s="5135"/>
      <c r="N344" s="5135"/>
      <c r="O344" s="5085"/>
      <c r="P344" s="5085"/>
      <c r="Q344" s="5088"/>
      <c r="R344" s="5120"/>
      <c r="S344" s="5102"/>
      <c r="T344" s="5122"/>
      <c r="U344" s="5125"/>
      <c r="V344" s="2263" t="s">
        <v>2050</v>
      </c>
      <c r="W344" s="2821">
        <v>1600000</v>
      </c>
      <c r="X344" s="2257">
        <v>1600000</v>
      </c>
      <c r="Y344" s="2257">
        <v>1600000</v>
      </c>
      <c r="Z344" s="2143">
        <v>20</v>
      </c>
      <c r="AA344" s="2848" t="s">
        <v>124</v>
      </c>
      <c r="AB344" s="5085"/>
      <c r="AC344" s="5085"/>
      <c r="AD344" s="5085"/>
      <c r="AE344" s="5085"/>
      <c r="AF344" s="5085"/>
      <c r="AG344" s="5085"/>
      <c r="AH344" s="5085"/>
      <c r="AI344" s="5085"/>
      <c r="AJ344" s="5085"/>
      <c r="AK344" s="5085"/>
      <c r="AL344" s="5085"/>
      <c r="AM344" s="5085"/>
      <c r="AN344" s="5085"/>
      <c r="AO344" s="5085"/>
      <c r="AP344" s="5085"/>
      <c r="AQ344" s="5085"/>
      <c r="AR344" s="5085"/>
      <c r="AS344" s="5085"/>
      <c r="AT344" s="5085"/>
      <c r="AU344" s="5085"/>
      <c r="AV344" s="5085"/>
      <c r="AW344" s="5085"/>
      <c r="AX344" s="5085"/>
      <c r="AY344" s="5085"/>
      <c r="AZ344" s="5085"/>
      <c r="BA344" s="5085"/>
      <c r="BB344" s="5085"/>
      <c r="BC344" s="5085"/>
      <c r="BD344" s="5085"/>
      <c r="BE344" s="5085"/>
      <c r="BF344" s="5085"/>
      <c r="BG344" s="5085"/>
      <c r="BH344" s="5095"/>
      <c r="BI344" s="3822"/>
      <c r="BJ344" s="3822"/>
      <c r="BK344" s="5092"/>
      <c r="BL344" s="5095"/>
      <c r="BM344" s="5095"/>
      <c r="BN344" s="5079"/>
      <c r="BO344" s="5079"/>
      <c r="BP344" s="5079"/>
      <c r="BQ344" s="5079"/>
      <c r="BR344" s="5082"/>
    </row>
    <row r="345" spans="1:70" ht="99.75" customHeight="1" x14ac:dyDescent="0.2">
      <c r="A345" s="2249"/>
      <c r="B345" s="2250"/>
      <c r="C345" s="2851"/>
      <c r="D345" s="2250"/>
      <c r="E345" s="2250"/>
      <c r="F345" s="2851"/>
      <c r="G345" s="2854"/>
      <c r="H345" s="2854"/>
      <c r="I345" s="2854"/>
      <c r="J345" s="2844">
        <v>174</v>
      </c>
      <c r="K345" s="2864" t="s">
        <v>2051</v>
      </c>
      <c r="L345" s="2848" t="s">
        <v>1581</v>
      </c>
      <c r="M345" s="2848">
        <v>150</v>
      </c>
      <c r="N345" s="2848">
        <v>49</v>
      </c>
      <c r="O345" s="5086"/>
      <c r="P345" s="5086"/>
      <c r="Q345" s="5089"/>
      <c r="R345" s="2855">
        <f>SUM(W345/S336)</f>
        <v>0.53475935828877008</v>
      </c>
      <c r="S345" s="5121"/>
      <c r="T345" s="5123"/>
      <c r="U345" s="2845" t="s">
        <v>2052</v>
      </c>
      <c r="V345" s="2264" t="s">
        <v>2053</v>
      </c>
      <c r="W345" s="2821">
        <v>30000000</v>
      </c>
      <c r="X345" s="2257">
        <v>14884000</v>
      </c>
      <c r="Y345" s="2257">
        <v>13990000</v>
      </c>
      <c r="Z345" s="2143">
        <v>20</v>
      </c>
      <c r="AA345" s="2848" t="s">
        <v>124</v>
      </c>
      <c r="AB345" s="5086"/>
      <c r="AC345" s="5086"/>
      <c r="AD345" s="5086"/>
      <c r="AE345" s="5086"/>
      <c r="AF345" s="5086"/>
      <c r="AG345" s="5086"/>
      <c r="AH345" s="5086"/>
      <c r="AI345" s="5086"/>
      <c r="AJ345" s="5086"/>
      <c r="AK345" s="5086"/>
      <c r="AL345" s="5086"/>
      <c r="AM345" s="5086"/>
      <c r="AN345" s="5086"/>
      <c r="AO345" s="5086"/>
      <c r="AP345" s="5086"/>
      <c r="AQ345" s="5086"/>
      <c r="AR345" s="5086"/>
      <c r="AS345" s="5086"/>
      <c r="AT345" s="5086"/>
      <c r="AU345" s="5086"/>
      <c r="AV345" s="5086"/>
      <c r="AW345" s="5086"/>
      <c r="AX345" s="5086"/>
      <c r="AY345" s="5086"/>
      <c r="AZ345" s="5086"/>
      <c r="BA345" s="5086"/>
      <c r="BB345" s="5086"/>
      <c r="BC345" s="5086"/>
      <c r="BD345" s="5086"/>
      <c r="BE345" s="5086"/>
      <c r="BF345" s="5086"/>
      <c r="BG345" s="5086"/>
      <c r="BH345" s="5103"/>
      <c r="BI345" s="3823"/>
      <c r="BJ345" s="3823"/>
      <c r="BK345" s="5109"/>
      <c r="BL345" s="5103"/>
      <c r="BM345" s="5103"/>
      <c r="BN345" s="5117"/>
      <c r="BO345" s="5117"/>
      <c r="BP345" s="5117"/>
      <c r="BQ345" s="5117"/>
      <c r="BR345" s="5098"/>
    </row>
    <row r="346" spans="1:70" ht="36" customHeight="1" x14ac:dyDescent="0.2">
      <c r="A346" s="2122"/>
      <c r="B346" s="2123"/>
      <c r="C346" s="2124"/>
      <c r="D346" s="2123"/>
      <c r="E346" s="2123"/>
      <c r="F346" s="2124"/>
      <c r="G346" s="2235">
        <v>54</v>
      </c>
      <c r="H346" s="2226" t="s">
        <v>2054</v>
      </c>
      <c r="I346" s="2226"/>
      <c r="J346" s="2198"/>
      <c r="K346" s="2232"/>
      <c r="L346" s="2128"/>
      <c r="M346" s="2128"/>
      <c r="N346" s="2128"/>
      <c r="O346" s="2130"/>
      <c r="P346" s="2128"/>
      <c r="Q346" s="2129"/>
      <c r="R346" s="2128"/>
      <c r="S346" s="2159"/>
      <c r="T346" s="2129"/>
      <c r="U346" s="2232"/>
      <c r="V346" s="2129"/>
      <c r="W346" s="2259"/>
      <c r="X346" s="2259"/>
      <c r="Y346" s="2259"/>
      <c r="Z346" s="2200"/>
      <c r="AA346" s="2201"/>
      <c r="AB346" s="2130"/>
      <c r="AC346" s="2130"/>
      <c r="AD346" s="2130"/>
      <c r="AE346" s="2130"/>
      <c r="AF346" s="2260"/>
      <c r="AG346" s="2260"/>
      <c r="AH346" s="2260"/>
      <c r="AI346" s="2260"/>
      <c r="AJ346" s="2261"/>
      <c r="AK346" s="2261"/>
      <c r="AL346" s="2260"/>
      <c r="AM346" s="2260"/>
      <c r="AN346" s="2260"/>
      <c r="AO346" s="2260"/>
      <c r="AP346" s="2260"/>
      <c r="AQ346" s="2260"/>
      <c r="AR346" s="2260"/>
      <c r="AS346" s="2260"/>
      <c r="AT346" s="2247"/>
      <c r="AU346" s="2247"/>
      <c r="AV346" s="2260"/>
      <c r="AW346" s="2260"/>
      <c r="AX346" s="2261"/>
      <c r="AY346" s="2261"/>
      <c r="AZ346" s="2260"/>
      <c r="BA346" s="2260"/>
      <c r="BB346" s="2260"/>
      <c r="BC346" s="2260"/>
      <c r="BD346" s="2261"/>
      <c r="BE346" s="2261"/>
      <c r="BF346" s="2261"/>
      <c r="BG346" s="2260"/>
      <c r="BH346" s="2260"/>
      <c r="BI346" s="2262"/>
      <c r="BJ346" s="2262"/>
      <c r="BK346" s="2260"/>
      <c r="BL346" s="2260"/>
      <c r="BM346" s="2260"/>
      <c r="BN346" s="2128"/>
      <c r="BO346" s="2128"/>
      <c r="BP346" s="2128"/>
      <c r="BQ346" s="2128"/>
      <c r="BR346" s="2135"/>
    </row>
    <row r="347" spans="1:70" ht="39" customHeight="1" x14ac:dyDescent="0.2">
      <c r="A347" s="2136"/>
      <c r="B347" s="2137"/>
      <c r="C347" s="2138"/>
      <c r="D347" s="2137"/>
      <c r="E347" s="2137"/>
      <c r="F347" s="2137"/>
      <c r="G347" s="2139"/>
      <c r="H347" s="2140"/>
      <c r="I347" s="2141"/>
      <c r="J347" s="5110">
        <v>175</v>
      </c>
      <c r="K347" s="5113" t="s">
        <v>2055</v>
      </c>
      <c r="L347" s="5110" t="s">
        <v>1581</v>
      </c>
      <c r="M347" s="5110">
        <v>14</v>
      </c>
      <c r="N347" s="5110">
        <v>10</v>
      </c>
      <c r="O347" s="5110" t="s">
        <v>2056</v>
      </c>
      <c r="P347" s="5110" t="s">
        <v>2057</v>
      </c>
      <c r="Q347" s="5113" t="s">
        <v>2058</v>
      </c>
      <c r="R347" s="5091">
        <f>SUM(W347:W350)/S347</f>
        <v>0.96471418489767113</v>
      </c>
      <c r="S347" s="5116">
        <f>SUM(W347:W351)</f>
        <v>340080000</v>
      </c>
      <c r="T347" s="5113" t="s">
        <v>2059</v>
      </c>
      <c r="U347" s="5113" t="s">
        <v>2060</v>
      </c>
      <c r="V347" s="2205" t="s">
        <v>2061</v>
      </c>
      <c r="W347" s="2265">
        <v>10000000</v>
      </c>
      <c r="X347" s="2257">
        <v>9950000</v>
      </c>
      <c r="Y347" s="2257">
        <v>9950000</v>
      </c>
      <c r="Z347" s="2143">
        <v>20</v>
      </c>
      <c r="AA347" s="2848" t="s">
        <v>124</v>
      </c>
      <c r="AB347" s="5084">
        <v>292684</v>
      </c>
      <c r="AC347" s="5084">
        <f t="shared" ref="AC347" si="146">SUM(AB347*0.84)</f>
        <v>245854.56</v>
      </c>
      <c r="AD347" s="5084">
        <v>282326</v>
      </c>
      <c r="AE347" s="5084">
        <f t="shared" ref="AE347" si="147">SUM(AD347*0.84)</f>
        <v>237153.84</v>
      </c>
      <c r="AF347" s="5084">
        <v>135912</v>
      </c>
      <c r="AG347" s="5084">
        <f t="shared" ref="AG347" si="148">SUM(AF347*0.84)</f>
        <v>114166.08</v>
      </c>
      <c r="AH347" s="5084">
        <v>45122</v>
      </c>
      <c r="AI347" s="5084">
        <f t="shared" ref="AI347" si="149">SUM(AH347*0.84)</f>
        <v>37902.479999999996</v>
      </c>
      <c r="AJ347" s="5084">
        <v>307101</v>
      </c>
      <c r="AK347" s="5084">
        <v>257964.84</v>
      </c>
      <c r="AL347" s="5084">
        <v>86875</v>
      </c>
      <c r="AM347" s="5084">
        <f t="shared" ref="AM347" si="150">SUM(AL347*0.84)</f>
        <v>72975</v>
      </c>
      <c r="AN347" s="5084">
        <v>2145</v>
      </c>
      <c r="AO347" s="5084">
        <f t="shared" ref="AO347" si="151">SUM(AN347*0.84)</f>
        <v>1801.8</v>
      </c>
      <c r="AP347" s="5084">
        <v>12718</v>
      </c>
      <c r="AQ347" s="5084">
        <f t="shared" ref="AQ347" si="152">SUM(AP347*0.84)</f>
        <v>10683.119999999999</v>
      </c>
      <c r="AR347" s="5084">
        <v>26</v>
      </c>
      <c r="AS347" s="5084">
        <f t="shared" ref="AS347" si="153">SUM(AR347*0.84)</f>
        <v>21.84</v>
      </c>
      <c r="AT347" s="5084">
        <v>37</v>
      </c>
      <c r="AU347" s="5084">
        <f t="shared" ref="AU347" si="154">SUM(AT347*0.84)</f>
        <v>31.08</v>
      </c>
      <c r="AV347" s="5084" t="s">
        <v>1588</v>
      </c>
      <c r="AW347" s="5084" t="s">
        <v>1588</v>
      </c>
      <c r="AX347" s="5084" t="s">
        <v>1588</v>
      </c>
      <c r="AY347" s="5084" t="s">
        <v>1588</v>
      </c>
      <c r="AZ347" s="5084">
        <v>53164</v>
      </c>
      <c r="BA347" s="5084">
        <f t="shared" ref="BA347" si="155">SUM(AZ347*0.84)</f>
        <v>44657.759999999995</v>
      </c>
      <c r="BB347" s="5084">
        <v>16982</v>
      </c>
      <c r="BC347" s="5084">
        <f t="shared" ref="BC347" si="156">SUM(BB347*0.84)</f>
        <v>14264.88</v>
      </c>
      <c r="BD347" s="5084">
        <v>60013</v>
      </c>
      <c r="BE347" s="5084">
        <f t="shared" ref="BE347" si="157">SUM(BD347*0.84)</f>
        <v>50410.92</v>
      </c>
      <c r="BF347" s="5084">
        <v>575010</v>
      </c>
      <c r="BG347" s="5084">
        <f t="shared" ref="BG347" si="158">SUM(BF347*0.84)</f>
        <v>483008.39999999997</v>
      </c>
      <c r="BH347" s="5094">
        <v>4</v>
      </c>
      <c r="BI347" s="3821">
        <f>SUM(X347:X351)</f>
        <v>339980000</v>
      </c>
      <c r="BJ347" s="3821">
        <f>SUM(Y347:Y351)</f>
        <v>339980000</v>
      </c>
      <c r="BK347" s="5091">
        <f>+BJ347/BI347</f>
        <v>1</v>
      </c>
      <c r="BL347" s="5094" t="s">
        <v>2062</v>
      </c>
      <c r="BM347" s="5094" t="s">
        <v>1946</v>
      </c>
      <c r="BN347" s="5104">
        <v>43467</v>
      </c>
      <c r="BO347" s="5106">
        <v>43830</v>
      </c>
      <c r="BP347" s="5104">
        <v>43830</v>
      </c>
      <c r="BQ347" s="5106">
        <v>43830</v>
      </c>
      <c r="BR347" s="5081" t="s">
        <v>1591</v>
      </c>
    </row>
    <row r="348" spans="1:70" ht="37.5" customHeight="1" x14ac:dyDescent="0.2">
      <c r="A348" s="2136"/>
      <c r="B348" s="2137"/>
      <c r="C348" s="2138"/>
      <c r="D348" s="2137"/>
      <c r="E348" s="2137"/>
      <c r="F348" s="2137"/>
      <c r="G348" s="2145"/>
      <c r="H348" s="2137"/>
      <c r="I348" s="2138"/>
      <c r="J348" s="5111"/>
      <c r="K348" s="5114"/>
      <c r="L348" s="5111"/>
      <c r="M348" s="5111"/>
      <c r="N348" s="5111"/>
      <c r="O348" s="5111"/>
      <c r="P348" s="5111"/>
      <c r="Q348" s="5114"/>
      <c r="R348" s="5092"/>
      <c r="S348" s="5116"/>
      <c r="T348" s="5114"/>
      <c r="U348" s="5114"/>
      <c r="V348" s="2205" t="s">
        <v>2063</v>
      </c>
      <c r="W348" s="2265">
        <v>8080000</v>
      </c>
      <c r="X348" s="2257">
        <v>8080000</v>
      </c>
      <c r="Y348" s="2257">
        <v>8080000</v>
      </c>
      <c r="Z348" s="2143">
        <v>20</v>
      </c>
      <c r="AA348" s="2848" t="s">
        <v>124</v>
      </c>
      <c r="AB348" s="5085"/>
      <c r="AC348" s="5085"/>
      <c r="AD348" s="5085"/>
      <c r="AE348" s="5085"/>
      <c r="AF348" s="5085"/>
      <c r="AG348" s="5085"/>
      <c r="AH348" s="5085"/>
      <c r="AI348" s="5085"/>
      <c r="AJ348" s="5085"/>
      <c r="AK348" s="5085"/>
      <c r="AL348" s="5085"/>
      <c r="AM348" s="5085"/>
      <c r="AN348" s="5085"/>
      <c r="AO348" s="5085"/>
      <c r="AP348" s="5085"/>
      <c r="AQ348" s="5085"/>
      <c r="AR348" s="5085"/>
      <c r="AS348" s="5085"/>
      <c r="AT348" s="5085"/>
      <c r="AU348" s="5085"/>
      <c r="AV348" s="5085"/>
      <c r="AW348" s="5085"/>
      <c r="AX348" s="5085"/>
      <c r="AY348" s="5085"/>
      <c r="AZ348" s="5085"/>
      <c r="BA348" s="5085"/>
      <c r="BB348" s="5085"/>
      <c r="BC348" s="5085"/>
      <c r="BD348" s="5085"/>
      <c r="BE348" s="5085"/>
      <c r="BF348" s="5085"/>
      <c r="BG348" s="5085"/>
      <c r="BH348" s="5095"/>
      <c r="BI348" s="3822"/>
      <c r="BJ348" s="3822"/>
      <c r="BK348" s="5092"/>
      <c r="BL348" s="5095"/>
      <c r="BM348" s="5095"/>
      <c r="BN348" s="5104"/>
      <c r="BO348" s="5107"/>
      <c r="BP348" s="5104"/>
      <c r="BQ348" s="5107"/>
      <c r="BR348" s="5082"/>
    </row>
    <row r="349" spans="1:70" ht="48" customHeight="1" x14ac:dyDescent="0.2">
      <c r="A349" s="2136"/>
      <c r="B349" s="2137"/>
      <c r="C349" s="2138"/>
      <c r="D349" s="2137"/>
      <c r="E349" s="2137"/>
      <c r="F349" s="2137"/>
      <c r="G349" s="2145"/>
      <c r="H349" s="2137"/>
      <c r="I349" s="2138"/>
      <c r="J349" s="5111"/>
      <c r="K349" s="5114"/>
      <c r="L349" s="5111"/>
      <c r="M349" s="5111"/>
      <c r="N349" s="5111"/>
      <c r="O349" s="5111"/>
      <c r="P349" s="5111"/>
      <c r="Q349" s="5114"/>
      <c r="R349" s="5092"/>
      <c r="S349" s="5116"/>
      <c r="T349" s="5114"/>
      <c r="U349" s="5114"/>
      <c r="V349" s="5099" t="s">
        <v>2064</v>
      </c>
      <c r="W349" s="2821">
        <v>10000000</v>
      </c>
      <c r="X349" s="2257">
        <v>9950000</v>
      </c>
      <c r="Y349" s="2257">
        <v>9950000</v>
      </c>
      <c r="Z349" s="2143">
        <v>20</v>
      </c>
      <c r="AA349" s="2848" t="s">
        <v>124</v>
      </c>
      <c r="AB349" s="5085"/>
      <c r="AC349" s="5085"/>
      <c r="AD349" s="5085"/>
      <c r="AE349" s="5085"/>
      <c r="AF349" s="5085"/>
      <c r="AG349" s="5085"/>
      <c r="AH349" s="5085"/>
      <c r="AI349" s="5085"/>
      <c r="AJ349" s="5085"/>
      <c r="AK349" s="5085"/>
      <c r="AL349" s="5085"/>
      <c r="AM349" s="5085"/>
      <c r="AN349" s="5085"/>
      <c r="AO349" s="5085"/>
      <c r="AP349" s="5085"/>
      <c r="AQ349" s="5085"/>
      <c r="AR349" s="5085"/>
      <c r="AS349" s="5085"/>
      <c r="AT349" s="5085"/>
      <c r="AU349" s="5085"/>
      <c r="AV349" s="5085"/>
      <c r="AW349" s="5085"/>
      <c r="AX349" s="5085"/>
      <c r="AY349" s="5085"/>
      <c r="AZ349" s="5085"/>
      <c r="BA349" s="5085"/>
      <c r="BB349" s="5085"/>
      <c r="BC349" s="5085"/>
      <c r="BD349" s="5085"/>
      <c r="BE349" s="5085"/>
      <c r="BF349" s="5085"/>
      <c r="BG349" s="5085"/>
      <c r="BH349" s="5095"/>
      <c r="BI349" s="3822"/>
      <c r="BJ349" s="3822"/>
      <c r="BK349" s="5092"/>
      <c r="BL349" s="5095"/>
      <c r="BM349" s="5095"/>
      <c r="BN349" s="5105"/>
      <c r="BO349" s="5107"/>
      <c r="BP349" s="5105"/>
      <c r="BQ349" s="5107"/>
      <c r="BR349" s="5082"/>
    </row>
    <row r="350" spans="1:70" ht="48" customHeight="1" x14ac:dyDescent="0.2">
      <c r="A350" s="2136"/>
      <c r="B350" s="2137"/>
      <c r="C350" s="2138"/>
      <c r="D350" s="2137"/>
      <c r="E350" s="2137"/>
      <c r="F350" s="2137"/>
      <c r="G350" s="2145"/>
      <c r="H350" s="2137"/>
      <c r="I350" s="2138"/>
      <c r="J350" s="2841"/>
      <c r="K350" s="2839"/>
      <c r="L350" s="2841"/>
      <c r="M350" s="2841"/>
      <c r="N350" s="5112"/>
      <c r="O350" s="5111"/>
      <c r="P350" s="5111"/>
      <c r="Q350" s="5114"/>
      <c r="R350" s="5109"/>
      <c r="S350" s="5116"/>
      <c r="T350" s="5114"/>
      <c r="U350" s="5115"/>
      <c r="V350" s="5100"/>
      <c r="W350" s="2142">
        <v>300000000</v>
      </c>
      <c r="X350" s="2257">
        <v>300000000</v>
      </c>
      <c r="Y350" s="2257">
        <v>300000000</v>
      </c>
      <c r="Z350" s="2178">
        <v>88</v>
      </c>
      <c r="AA350" s="2849" t="s">
        <v>2029</v>
      </c>
      <c r="AB350" s="5085"/>
      <c r="AC350" s="5085"/>
      <c r="AD350" s="5085"/>
      <c r="AE350" s="5085"/>
      <c r="AF350" s="5085"/>
      <c r="AG350" s="5085"/>
      <c r="AH350" s="5085"/>
      <c r="AI350" s="5085"/>
      <c r="AJ350" s="5085"/>
      <c r="AK350" s="5085"/>
      <c r="AL350" s="5085"/>
      <c r="AM350" s="5085"/>
      <c r="AN350" s="5085"/>
      <c r="AO350" s="5085"/>
      <c r="AP350" s="5085"/>
      <c r="AQ350" s="5085"/>
      <c r="AR350" s="5085"/>
      <c r="AS350" s="5085"/>
      <c r="AT350" s="5085"/>
      <c r="AU350" s="5085"/>
      <c r="AV350" s="5085"/>
      <c r="AW350" s="5085"/>
      <c r="AX350" s="5085"/>
      <c r="AY350" s="5085"/>
      <c r="AZ350" s="5085"/>
      <c r="BA350" s="5085"/>
      <c r="BB350" s="5085"/>
      <c r="BC350" s="5085"/>
      <c r="BD350" s="5085"/>
      <c r="BE350" s="5085"/>
      <c r="BF350" s="5085"/>
      <c r="BG350" s="5085"/>
      <c r="BH350" s="5095"/>
      <c r="BI350" s="3822"/>
      <c r="BJ350" s="3822"/>
      <c r="BK350" s="5092"/>
      <c r="BL350" s="5095"/>
      <c r="BM350" s="5095"/>
      <c r="BN350" s="5105"/>
      <c r="BO350" s="5107"/>
      <c r="BP350" s="5105"/>
      <c r="BQ350" s="5107"/>
      <c r="BR350" s="5082"/>
    </row>
    <row r="351" spans="1:70" ht="66.75" customHeight="1" x14ac:dyDescent="0.2">
      <c r="A351" s="2136"/>
      <c r="B351" s="2137"/>
      <c r="C351" s="2138"/>
      <c r="D351" s="2147"/>
      <c r="E351" s="2147"/>
      <c r="F351" s="2147"/>
      <c r="G351" s="2145"/>
      <c r="H351" s="2137"/>
      <c r="I351" s="2138"/>
      <c r="J351" s="2849">
        <v>176</v>
      </c>
      <c r="K351" s="2266" t="s">
        <v>2065</v>
      </c>
      <c r="L351" s="2849" t="s">
        <v>16</v>
      </c>
      <c r="M351" s="2849">
        <v>2</v>
      </c>
      <c r="N351" s="2842">
        <v>1.9</v>
      </c>
      <c r="O351" s="5112"/>
      <c r="P351" s="5112"/>
      <c r="Q351" s="5115"/>
      <c r="R351" s="2305">
        <f>W351/S347</f>
        <v>3.5285815102328866E-2</v>
      </c>
      <c r="S351" s="5116"/>
      <c r="T351" s="5114"/>
      <c r="U351" s="2838" t="s">
        <v>2066</v>
      </c>
      <c r="V351" s="2205" t="s">
        <v>2067</v>
      </c>
      <c r="W351" s="2821">
        <v>12000000</v>
      </c>
      <c r="X351" s="2257">
        <v>12000000</v>
      </c>
      <c r="Y351" s="2257">
        <v>12000000</v>
      </c>
      <c r="Z351" s="2143">
        <v>20</v>
      </c>
      <c r="AA351" s="2848" t="s">
        <v>124</v>
      </c>
      <c r="AB351" s="5086"/>
      <c r="AC351" s="5086"/>
      <c r="AD351" s="5086"/>
      <c r="AE351" s="5086"/>
      <c r="AF351" s="5086"/>
      <c r="AG351" s="5086"/>
      <c r="AH351" s="5086"/>
      <c r="AI351" s="5086"/>
      <c r="AJ351" s="5086"/>
      <c r="AK351" s="5086"/>
      <c r="AL351" s="5086"/>
      <c r="AM351" s="5086"/>
      <c r="AN351" s="5086"/>
      <c r="AO351" s="5086"/>
      <c r="AP351" s="5086"/>
      <c r="AQ351" s="5086"/>
      <c r="AR351" s="5086"/>
      <c r="AS351" s="5086"/>
      <c r="AT351" s="5086"/>
      <c r="AU351" s="5086"/>
      <c r="AV351" s="5086"/>
      <c r="AW351" s="5086"/>
      <c r="AX351" s="5086"/>
      <c r="AY351" s="5086"/>
      <c r="AZ351" s="5086"/>
      <c r="BA351" s="5086"/>
      <c r="BB351" s="5086"/>
      <c r="BC351" s="5086"/>
      <c r="BD351" s="5086"/>
      <c r="BE351" s="5086"/>
      <c r="BF351" s="5086"/>
      <c r="BG351" s="5086"/>
      <c r="BH351" s="5103"/>
      <c r="BI351" s="3823"/>
      <c r="BJ351" s="3823"/>
      <c r="BK351" s="5109"/>
      <c r="BL351" s="5103"/>
      <c r="BM351" s="5103"/>
      <c r="BN351" s="5105"/>
      <c r="BO351" s="5108"/>
      <c r="BP351" s="5105"/>
      <c r="BQ351" s="5108"/>
      <c r="BR351" s="5098"/>
    </row>
    <row r="352" spans="1:70" ht="36" customHeight="1" x14ac:dyDescent="0.2">
      <c r="A352" s="2122"/>
      <c r="C352" s="2150"/>
      <c r="D352" s="2234">
        <v>15</v>
      </c>
      <c r="E352" s="2113" t="s">
        <v>2068</v>
      </c>
      <c r="F352" s="2113"/>
      <c r="G352" s="2214"/>
      <c r="H352" s="2214"/>
      <c r="I352" s="2214"/>
      <c r="J352" s="2114"/>
      <c r="K352" s="2115"/>
      <c r="L352" s="2114"/>
      <c r="M352" s="2114"/>
      <c r="N352" s="2114"/>
      <c r="O352" s="2116"/>
      <c r="P352" s="2114"/>
      <c r="Q352" s="2115"/>
      <c r="R352" s="2114"/>
      <c r="S352" s="2154"/>
      <c r="T352" s="2115"/>
      <c r="U352" s="2115"/>
      <c r="V352" s="2115"/>
      <c r="W352" s="2267"/>
      <c r="X352" s="2267"/>
      <c r="Y352" s="2267"/>
      <c r="Z352" s="2219"/>
      <c r="AA352" s="2220"/>
      <c r="AB352" s="2116"/>
      <c r="AC352" s="2116"/>
      <c r="AD352" s="2116"/>
      <c r="AE352" s="2116"/>
      <c r="AF352" s="2268"/>
      <c r="AG352" s="2268"/>
      <c r="AH352" s="2268"/>
      <c r="AI352" s="2268"/>
      <c r="AJ352" s="2269"/>
      <c r="AK352" s="2269"/>
      <c r="AL352" s="2268"/>
      <c r="AM352" s="2268"/>
      <c r="AN352" s="2268"/>
      <c r="AO352" s="2268"/>
      <c r="AP352" s="2268"/>
      <c r="AQ352" s="2268"/>
      <c r="AR352" s="2268"/>
      <c r="AS352" s="2268"/>
      <c r="AT352" s="2270"/>
      <c r="AU352" s="2270"/>
      <c r="AV352" s="2268"/>
      <c r="AW352" s="2268"/>
      <c r="AX352" s="2269"/>
      <c r="AY352" s="2269"/>
      <c r="AZ352" s="2268"/>
      <c r="BA352" s="2268"/>
      <c r="BB352" s="2268"/>
      <c r="BC352" s="2268"/>
      <c r="BD352" s="2269"/>
      <c r="BE352" s="2269"/>
      <c r="BF352" s="2269"/>
      <c r="BG352" s="2268"/>
      <c r="BH352" s="2268"/>
      <c r="BI352" s="2271"/>
      <c r="BJ352" s="2271"/>
      <c r="BK352" s="2268"/>
      <c r="BL352" s="2268"/>
      <c r="BM352" s="2268"/>
      <c r="BN352" s="2114"/>
      <c r="BO352" s="2114"/>
      <c r="BP352" s="2114"/>
      <c r="BQ352" s="2114"/>
      <c r="BR352" s="2121"/>
    </row>
    <row r="353" spans="1:328" ht="36" customHeight="1" x14ac:dyDescent="0.2">
      <c r="A353" s="2122"/>
      <c r="B353" s="2123"/>
      <c r="C353" s="2124"/>
      <c r="D353" s="2125"/>
      <c r="E353" s="2125"/>
      <c r="F353" s="2126"/>
      <c r="G353" s="2158">
        <v>55</v>
      </c>
      <c r="H353" s="2128" t="s">
        <v>2069</v>
      </c>
      <c r="I353" s="2128"/>
      <c r="J353" s="2128"/>
      <c r="K353" s="2129"/>
      <c r="L353" s="2128"/>
      <c r="M353" s="2128"/>
      <c r="N353" s="2128"/>
      <c r="O353" s="2130"/>
      <c r="P353" s="2128"/>
      <c r="Q353" s="2129"/>
      <c r="R353" s="2128"/>
      <c r="S353" s="2159"/>
      <c r="T353" s="2129"/>
      <c r="U353" s="2129"/>
      <c r="V353" s="2129"/>
      <c r="W353" s="2259"/>
      <c r="X353" s="2259"/>
      <c r="Y353" s="2259"/>
      <c r="Z353" s="2200"/>
      <c r="AA353" s="2201"/>
      <c r="AB353" s="2272"/>
      <c r="AC353" s="2272"/>
      <c r="AD353" s="2272"/>
      <c r="AE353" s="2272"/>
      <c r="AF353" s="2273"/>
      <c r="AG353" s="2273"/>
      <c r="AH353" s="2273"/>
      <c r="AI353" s="2273"/>
      <c r="AJ353" s="2274"/>
      <c r="AK353" s="2274"/>
      <c r="AL353" s="2273"/>
      <c r="AM353" s="2273"/>
      <c r="AN353" s="2273"/>
      <c r="AO353" s="2273"/>
      <c r="AP353" s="2273"/>
      <c r="AQ353" s="2273"/>
      <c r="AR353" s="2273"/>
      <c r="AS353" s="2273"/>
      <c r="AT353" s="2275"/>
      <c r="AU353" s="2275"/>
      <c r="AV353" s="2273"/>
      <c r="AW353" s="2273"/>
      <c r="AX353" s="2274"/>
      <c r="AY353" s="2274"/>
      <c r="AZ353" s="2273"/>
      <c r="BA353" s="2273"/>
      <c r="BB353" s="2273"/>
      <c r="BC353" s="2273"/>
      <c r="BD353" s="2274"/>
      <c r="BE353" s="2274"/>
      <c r="BF353" s="2274"/>
      <c r="BG353" s="2273"/>
      <c r="BH353" s="2273"/>
      <c r="BI353" s="2276"/>
      <c r="BJ353" s="2276"/>
      <c r="BK353" s="2273"/>
      <c r="BL353" s="2273"/>
      <c r="BM353" s="2273"/>
      <c r="BN353" s="2128"/>
      <c r="BO353" s="2128"/>
      <c r="BP353" s="2128"/>
      <c r="BQ353" s="2128"/>
      <c r="BR353" s="2135"/>
    </row>
    <row r="354" spans="1:328" s="2144" customFormat="1" ht="59.25" customHeight="1" x14ac:dyDescent="0.2">
      <c r="A354" s="2164"/>
      <c r="B354" s="2165"/>
      <c r="C354" s="2166"/>
      <c r="D354" s="2165"/>
      <c r="E354" s="2165"/>
      <c r="F354" s="2166"/>
      <c r="G354" s="2168"/>
      <c r="H354" s="2168"/>
      <c r="I354" s="2169"/>
      <c r="J354" s="2835">
        <v>177</v>
      </c>
      <c r="K354" s="2837" t="s">
        <v>2070</v>
      </c>
      <c r="L354" s="2835" t="s">
        <v>1581</v>
      </c>
      <c r="M354" s="2835">
        <v>2</v>
      </c>
      <c r="N354" s="2848">
        <v>2</v>
      </c>
      <c r="O354" s="5084" t="s">
        <v>2071</v>
      </c>
      <c r="P354" s="5084" t="s">
        <v>2072</v>
      </c>
      <c r="Q354" s="5087" t="s">
        <v>2073</v>
      </c>
      <c r="R354" s="2830">
        <v>0</v>
      </c>
      <c r="S354" s="5101">
        <f>SUM(W354:W360)</f>
        <v>150000000</v>
      </c>
      <c r="T354" s="5087" t="s">
        <v>2074</v>
      </c>
      <c r="U354" s="2836" t="s">
        <v>2075</v>
      </c>
      <c r="V354" s="2251" t="s">
        <v>2076</v>
      </c>
      <c r="W354" s="2277">
        <v>0</v>
      </c>
      <c r="X354" s="2277">
        <v>0</v>
      </c>
      <c r="Y354" s="2277">
        <v>0</v>
      </c>
      <c r="Z354" s="2278"/>
      <c r="AA354" s="2848"/>
      <c r="AB354" s="5084">
        <v>292684</v>
      </c>
      <c r="AC354" s="5084">
        <f t="shared" ref="AC354" si="159">SUM(AB354*0.84)</f>
        <v>245854.56</v>
      </c>
      <c r="AD354" s="5084">
        <v>282326</v>
      </c>
      <c r="AE354" s="5084">
        <f t="shared" ref="AE354" si="160">SUM(AD354*0.84)</f>
        <v>237153.84</v>
      </c>
      <c r="AF354" s="5084">
        <v>135912</v>
      </c>
      <c r="AG354" s="5084">
        <f t="shared" ref="AG354" si="161">SUM(AF354*0.84)</f>
        <v>114166.08</v>
      </c>
      <c r="AH354" s="5084">
        <v>45122</v>
      </c>
      <c r="AI354" s="5084">
        <f t="shared" ref="AI354" si="162">SUM(AH354*0.84)</f>
        <v>37902.479999999996</v>
      </c>
      <c r="AJ354" s="5084">
        <v>307101</v>
      </c>
      <c r="AK354" s="5084">
        <v>257964.84</v>
      </c>
      <c r="AL354" s="5084">
        <v>86875</v>
      </c>
      <c r="AM354" s="5084">
        <f t="shared" ref="AM354" si="163">SUM(AL354*0.84)</f>
        <v>72975</v>
      </c>
      <c r="AN354" s="5084">
        <v>2145</v>
      </c>
      <c r="AO354" s="5084">
        <f t="shared" ref="AO354" si="164">SUM(AN354*0.84)</f>
        <v>1801.8</v>
      </c>
      <c r="AP354" s="5084">
        <v>12718</v>
      </c>
      <c r="AQ354" s="5084">
        <f t="shared" ref="AQ354" si="165">SUM(AP354*0.84)</f>
        <v>10683.119999999999</v>
      </c>
      <c r="AR354" s="5084">
        <v>26</v>
      </c>
      <c r="AS354" s="5084">
        <f t="shared" ref="AS354" si="166">SUM(AR354*0.84)</f>
        <v>21.84</v>
      </c>
      <c r="AT354" s="5084">
        <v>37</v>
      </c>
      <c r="AU354" s="5084">
        <f t="shared" ref="AU354" si="167">SUM(AT354*0.84)</f>
        <v>31.08</v>
      </c>
      <c r="AV354" s="5084" t="s">
        <v>1588</v>
      </c>
      <c r="AW354" s="5084" t="s">
        <v>1588</v>
      </c>
      <c r="AX354" s="5084" t="s">
        <v>1588</v>
      </c>
      <c r="AY354" s="5084" t="s">
        <v>1588</v>
      </c>
      <c r="AZ354" s="5084">
        <v>53164</v>
      </c>
      <c r="BA354" s="5084">
        <f t="shared" ref="BA354" si="168">SUM(AZ354*0.84)</f>
        <v>44657.759999999995</v>
      </c>
      <c r="BB354" s="5084">
        <v>16982</v>
      </c>
      <c r="BC354" s="5084">
        <f t="shared" ref="BC354" si="169">SUM(BB354*0.84)</f>
        <v>14264.88</v>
      </c>
      <c r="BD354" s="5084">
        <v>60013</v>
      </c>
      <c r="BE354" s="5084">
        <f t="shared" ref="BE354" si="170">SUM(BD354*0.84)</f>
        <v>50410.92</v>
      </c>
      <c r="BF354" s="5084">
        <v>575010</v>
      </c>
      <c r="BG354" s="5084">
        <f t="shared" ref="BG354" si="171">SUM(BF354*0.84)</f>
        <v>483008.39999999997</v>
      </c>
      <c r="BH354" s="5094">
        <v>72</v>
      </c>
      <c r="BI354" s="3821">
        <f>SUM(X354:X360)</f>
        <v>146697400</v>
      </c>
      <c r="BJ354" s="3821">
        <f>SUM(Y354:Y360)</f>
        <v>56855466</v>
      </c>
      <c r="BK354" s="5091">
        <f>+BJ354/BI354</f>
        <v>0.38756969107836947</v>
      </c>
      <c r="BL354" s="5094">
        <v>72</v>
      </c>
      <c r="BM354" s="5094" t="s">
        <v>2077</v>
      </c>
      <c r="BN354" s="5078">
        <v>43467</v>
      </c>
      <c r="BO354" s="5078">
        <v>43830</v>
      </c>
      <c r="BP354" s="5078">
        <v>43830</v>
      </c>
      <c r="BQ354" s="5078">
        <v>43830</v>
      </c>
      <c r="BR354" s="5081" t="s">
        <v>1591</v>
      </c>
    </row>
    <row r="355" spans="1:328" ht="54.75" customHeight="1" x14ac:dyDescent="0.2">
      <c r="A355" s="2164"/>
      <c r="B355" s="2165"/>
      <c r="C355" s="2166"/>
      <c r="D355" s="2165"/>
      <c r="E355" s="2165"/>
      <c r="F355" s="2166"/>
      <c r="G355" s="2165"/>
      <c r="H355" s="2165"/>
      <c r="I355" s="2166"/>
      <c r="J355" s="5084">
        <v>178</v>
      </c>
      <c r="K355" s="5087" t="s">
        <v>2078</v>
      </c>
      <c r="L355" s="5084" t="s">
        <v>1581</v>
      </c>
      <c r="M355" s="5084">
        <v>3</v>
      </c>
      <c r="N355" s="5084">
        <v>2.5</v>
      </c>
      <c r="O355" s="5085"/>
      <c r="P355" s="5085"/>
      <c r="Q355" s="5088"/>
      <c r="R355" s="3792">
        <f>SUM(W355:W359)/S354</f>
        <v>1</v>
      </c>
      <c r="S355" s="5102"/>
      <c r="T355" s="5088"/>
      <c r="U355" s="5072" t="s">
        <v>2079</v>
      </c>
      <c r="V355" s="2194" t="s">
        <v>2080</v>
      </c>
      <c r="W355" s="2821">
        <v>60000000</v>
      </c>
      <c r="X355" s="2257">
        <v>56697400</v>
      </c>
      <c r="Y355" s="2257">
        <v>11371093</v>
      </c>
      <c r="Z355" s="2278">
        <v>72</v>
      </c>
      <c r="AA355" s="2848" t="s">
        <v>2081</v>
      </c>
      <c r="AB355" s="5085"/>
      <c r="AC355" s="5085"/>
      <c r="AD355" s="5085"/>
      <c r="AE355" s="5085"/>
      <c r="AF355" s="5085"/>
      <c r="AG355" s="5085"/>
      <c r="AH355" s="5085"/>
      <c r="AI355" s="5085"/>
      <c r="AJ355" s="5085"/>
      <c r="AK355" s="5085"/>
      <c r="AL355" s="5085"/>
      <c r="AM355" s="5085"/>
      <c r="AN355" s="5085"/>
      <c r="AO355" s="5085"/>
      <c r="AP355" s="5085"/>
      <c r="AQ355" s="5085"/>
      <c r="AR355" s="5085"/>
      <c r="AS355" s="5085"/>
      <c r="AT355" s="5085"/>
      <c r="AU355" s="5085"/>
      <c r="AV355" s="5085"/>
      <c r="AW355" s="5085"/>
      <c r="AX355" s="5085"/>
      <c r="AY355" s="5085"/>
      <c r="AZ355" s="5085"/>
      <c r="BA355" s="5085"/>
      <c r="BB355" s="5085"/>
      <c r="BC355" s="5085"/>
      <c r="BD355" s="5085"/>
      <c r="BE355" s="5085"/>
      <c r="BF355" s="5085"/>
      <c r="BG355" s="5085"/>
      <c r="BH355" s="5095"/>
      <c r="BI355" s="3822"/>
      <c r="BJ355" s="3822"/>
      <c r="BK355" s="5092"/>
      <c r="BL355" s="5095"/>
      <c r="BM355" s="5095"/>
      <c r="BN355" s="5079"/>
      <c r="BO355" s="5079"/>
      <c r="BP355" s="5079"/>
      <c r="BQ355" s="5079"/>
      <c r="BR355" s="5082"/>
    </row>
    <row r="356" spans="1:328" ht="37.5" customHeight="1" x14ac:dyDescent="0.2">
      <c r="A356" s="2164"/>
      <c r="B356" s="2165"/>
      <c r="C356" s="2166"/>
      <c r="D356" s="2165"/>
      <c r="E356" s="2165"/>
      <c r="F356" s="2166"/>
      <c r="G356" s="2165"/>
      <c r="H356" s="2165"/>
      <c r="I356" s="2166"/>
      <c r="J356" s="5085"/>
      <c r="K356" s="5088"/>
      <c r="L356" s="5085"/>
      <c r="M356" s="5085"/>
      <c r="N356" s="5085"/>
      <c r="O356" s="5085"/>
      <c r="P356" s="5085"/>
      <c r="Q356" s="5088"/>
      <c r="R356" s="3793"/>
      <c r="S356" s="5102"/>
      <c r="T356" s="5088"/>
      <c r="U356" s="5072"/>
      <c r="V356" s="2194" t="s">
        <v>2082</v>
      </c>
      <c r="W356" s="2821">
        <v>40000000</v>
      </c>
      <c r="X356" s="2821">
        <v>40000000</v>
      </c>
      <c r="Y356" s="2257">
        <v>11371093</v>
      </c>
      <c r="Z356" s="2278">
        <v>72</v>
      </c>
      <c r="AA356" s="2848" t="s">
        <v>2081</v>
      </c>
      <c r="AB356" s="5085"/>
      <c r="AC356" s="5085"/>
      <c r="AD356" s="5085"/>
      <c r="AE356" s="5085"/>
      <c r="AF356" s="5085"/>
      <c r="AG356" s="5085"/>
      <c r="AH356" s="5085"/>
      <c r="AI356" s="5085"/>
      <c r="AJ356" s="5085"/>
      <c r="AK356" s="5085"/>
      <c r="AL356" s="5085"/>
      <c r="AM356" s="5085"/>
      <c r="AN356" s="5085"/>
      <c r="AO356" s="5085"/>
      <c r="AP356" s="5085"/>
      <c r="AQ356" s="5085"/>
      <c r="AR356" s="5085"/>
      <c r="AS356" s="5085"/>
      <c r="AT356" s="5085"/>
      <c r="AU356" s="5085"/>
      <c r="AV356" s="5085"/>
      <c r="AW356" s="5085"/>
      <c r="AX356" s="5085"/>
      <c r="AY356" s="5085"/>
      <c r="AZ356" s="5085"/>
      <c r="BA356" s="5085"/>
      <c r="BB356" s="5085"/>
      <c r="BC356" s="5085"/>
      <c r="BD356" s="5085"/>
      <c r="BE356" s="5085"/>
      <c r="BF356" s="5085"/>
      <c r="BG356" s="5085"/>
      <c r="BH356" s="5095"/>
      <c r="BI356" s="3822"/>
      <c r="BJ356" s="3822"/>
      <c r="BK356" s="5092"/>
      <c r="BL356" s="5095"/>
      <c r="BM356" s="5095"/>
      <c r="BN356" s="5079"/>
      <c r="BO356" s="5079"/>
      <c r="BP356" s="5079"/>
      <c r="BQ356" s="5079"/>
      <c r="BR356" s="5082"/>
    </row>
    <row r="357" spans="1:328" ht="38.25" customHeight="1" x14ac:dyDescent="0.2">
      <c r="A357" s="2164"/>
      <c r="B357" s="2165"/>
      <c r="C357" s="2166"/>
      <c r="D357" s="2165"/>
      <c r="E357" s="2165"/>
      <c r="F357" s="2166"/>
      <c r="G357" s="2165"/>
      <c r="H357" s="2165"/>
      <c r="I357" s="2166"/>
      <c r="J357" s="5085"/>
      <c r="K357" s="5088"/>
      <c r="L357" s="5085"/>
      <c r="M357" s="5085"/>
      <c r="N357" s="5085"/>
      <c r="O357" s="5085"/>
      <c r="P357" s="5085"/>
      <c r="Q357" s="5088"/>
      <c r="R357" s="3793"/>
      <c r="S357" s="5102"/>
      <c r="T357" s="5088"/>
      <c r="U357" s="5072"/>
      <c r="V357" s="2194" t="s">
        <v>2083</v>
      </c>
      <c r="W357" s="2821">
        <v>20000000</v>
      </c>
      <c r="X357" s="2821">
        <v>20000000</v>
      </c>
      <c r="Y357" s="2257">
        <v>11371093</v>
      </c>
      <c r="Z357" s="2278">
        <v>72</v>
      </c>
      <c r="AA357" s="2848" t="s">
        <v>2081</v>
      </c>
      <c r="AB357" s="5085"/>
      <c r="AC357" s="5085"/>
      <c r="AD357" s="5085"/>
      <c r="AE357" s="5085"/>
      <c r="AF357" s="5085"/>
      <c r="AG357" s="5085"/>
      <c r="AH357" s="5085"/>
      <c r="AI357" s="5085"/>
      <c r="AJ357" s="5085"/>
      <c r="AK357" s="5085"/>
      <c r="AL357" s="5085"/>
      <c r="AM357" s="5085"/>
      <c r="AN357" s="5085"/>
      <c r="AO357" s="5085"/>
      <c r="AP357" s="5085"/>
      <c r="AQ357" s="5085"/>
      <c r="AR357" s="5085"/>
      <c r="AS357" s="5085"/>
      <c r="AT357" s="5085"/>
      <c r="AU357" s="5085"/>
      <c r="AV357" s="5085"/>
      <c r="AW357" s="5085"/>
      <c r="AX357" s="5085"/>
      <c r="AY357" s="5085"/>
      <c r="AZ357" s="5085"/>
      <c r="BA357" s="5085"/>
      <c r="BB357" s="5085"/>
      <c r="BC357" s="5085"/>
      <c r="BD357" s="5085"/>
      <c r="BE357" s="5085"/>
      <c r="BF357" s="5085"/>
      <c r="BG357" s="5085"/>
      <c r="BH357" s="5095"/>
      <c r="BI357" s="3822"/>
      <c r="BJ357" s="3822"/>
      <c r="BK357" s="5092"/>
      <c r="BL357" s="5095"/>
      <c r="BM357" s="5095"/>
      <c r="BN357" s="5079"/>
      <c r="BO357" s="5079"/>
      <c r="BP357" s="5079"/>
      <c r="BQ357" s="5079"/>
      <c r="BR357" s="5082"/>
    </row>
    <row r="358" spans="1:328" ht="37.5" customHeight="1" x14ac:dyDescent="0.2">
      <c r="A358" s="2164"/>
      <c r="B358" s="2165"/>
      <c r="C358" s="2166"/>
      <c r="D358" s="2165"/>
      <c r="E358" s="2165"/>
      <c r="F358" s="2166"/>
      <c r="G358" s="2165"/>
      <c r="H358" s="2165"/>
      <c r="I358" s="2166"/>
      <c r="J358" s="5085"/>
      <c r="K358" s="5088"/>
      <c r="L358" s="5085"/>
      <c r="M358" s="5085"/>
      <c r="N358" s="5085"/>
      <c r="O358" s="5085"/>
      <c r="P358" s="5085"/>
      <c r="Q358" s="5088"/>
      <c r="R358" s="3793"/>
      <c r="S358" s="5102"/>
      <c r="T358" s="5088"/>
      <c r="U358" s="5072" t="s">
        <v>2084</v>
      </c>
      <c r="V358" s="2279" t="s">
        <v>2085</v>
      </c>
      <c r="W358" s="2821">
        <v>15000000</v>
      </c>
      <c r="X358" s="2821">
        <v>15000000</v>
      </c>
      <c r="Y358" s="2257">
        <v>11371093</v>
      </c>
      <c r="Z358" s="2278">
        <v>72</v>
      </c>
      <c r="AA358" s="2848" t="s">
        <v>2081</v>
      </c>
      <c r="AB358" s="5085"/>
      <c r="AC358" s="5085"/>
      <c r="AD358" s="5085"/>
      <c r="AE358" s="5085"/>
      <c r="AF358" s="5085"/>
      <c r="AG358" s="5085"/>
      <c r="AH358" s="5085"/>
      <c r="AI358" s="5085"/>
      <c r="AJ358" s="5085"/>
      <c r="AK358" s="5085"/>
      <c r="AL358" s="5085"/>
      <c r="AM358" s="5085"/>
      <c r="AN358" s="5085"/>
      <c r="AO358" s="5085"/>
      <c r="AP358" s="5085"/>
      <c r="AQ358" s="5085"/>
      <c r="AR358" s="5085"/>
      <c r="AS358" s="5085"/>
      <c r="AT358" s="5085"/>
      <c r="AU358" s="5085"/>
      <c r="AV358" s="5085"/>
      <c r="AW358" s="5085"/>
      <c r="AX358" s="5085"/>
      <c r="AY358" s="5085"/>
      <c r="AZ358" s="5085"/>
      <c r="BA358" s="5085"/>
      <c r="BB358" s="5085"/>
      <c r="BC358" s="5085"/>
      <c r="BD358" s="5085"/>
      <c r="BE358" s="5085"/>
      <c r="BF358" s="5085"/>
      <c r="BG358" s="5085"/>
      <c r="BH358" s="5095"/>
      <c r="BI358" s="3822"/>
      <c r="BJ358" s="3822"/>
      <c r="BK358" s="5092"/>
      <c r="BL358" s="5095"/>
      <c r="BM358" s="5095"/>
      <c r="BN358" s="5079"/>
      <c r="BO358" s="5079"/>
      <c r="BP358" s="5079"/>
      <c r="BQ358" s="5079"/>
      <c r="BR358" s="5082"/>
    </row>
    <row r="359" spans="1:328" ht="40.5" customHeight="1" x14ac:dyDescent="0.2">
      <c r="A359" s="2164"/>
      <c r="B359" s="2165"/>
      <c r="C359" s="2166"/>
      <c r="D359" s="2165"/>
      <c r="E359" s="2165"/>
      <c r="F359" s="2166"/>
      <c r="G359" s="2165"/>
      <c r="H359" s="2165"/>
      <c r="I359" s="2166"/>
      <c r="J359" s="5086"/>
      <c r="K359" s="5089"/>
      <c r="L359" s="5086"/>
      <c r="M359" s="5086"/>
      <c r="N359" s="5086"/>
      <c r="O359" s="5085"/>
      <c r="P359" s="5085"/>
      <c r="Q359" s="5088"/>
      <c r="R359" s="3794"/>
      <c r="S359" s="5102"/>
      <c r="T359" s="5088"/>
      <c r="U359" s="5072"/>
      <c r="V359" s="2279" t="s">
        <v>2086</v>
      </c>
      <c r="W359" s="2821">
        <v>15000000</v>
      </c>
      <c r="X359" s="2821">
        <v>15000000</v>
      </c>
      <c r="Y359" s="2257">
        <v>11371094</v>
      </c>
      <c r="Z359" s="2278">
        <v>72</v>
      </c>
      <c r="AA359" s="2848" t="s">
        <v>2081</v>
      </c>
      <c r="AB359" s="5085"/>
      <c r="AC359" s="5085"/>
      <c r="AD359" s="5085"/>
      <c r="AE359" s="5085"/>
      <c r="AF359" s="5085"/>
      <c r="AG359" s="5085"/>
      <c r="AH359" s="5085"/>
      <c r="AI359" s="5085"/>
      <c r="AJ359" s="5085"/>
      <c r="AK359" s="5085"/>
      <c r="AL359" s="5085"/>
      <c r="AM359" s="5085"/>
      <c r="AN359" s="5085"/>
      <c r="AO359" s="5085"/>
      <c r="AP359" s="5085"/>
      <c r="AQ359" s="5085"/>
      <c r="AR359" s="5085"/>
      <c r="AS359" s="5085"/>
      <c r="AT359" s="5085"/>
      <c r="AU359" s="5085"/>
      <c r="AV359" s="5085"/>
      <c r="AW359" s="5085"/>
      <c r="AX359" s="5085"/>
      <c r="AY359" s="5085"/>
      <c r="AZ359" s="5085"/>
      <c r="BA359" s="5085"/>
      <c r="BB359" s="5085"/>
      <c r="BC359" s="5085"/>
      <c r="BD359" s="5085"/>
      <c r="BE359" s="5085"/>
      <c r="BF359" s="5085"/>
      <c r="BG359" s="5085"/>
      <c r="BH359" s="5095"/>
      <c r="BI359" s="3822"/>
      <c r="BJ359" s="3822"/>
      <c r="BK359" s="5092"/>
      <c r="BL359" s="5095"/>
      <c r="BM359" s="5095"/>
      <c r="BN359" s="5079"/>
      <c r="BO359" s="5079"/>
      <c r="BP359" s="5079"/>
      <c r="BQ359" s="5079"/>
      <c r="BR359" s="5082"/>
    </row>
    <row r="360" spans="1:328" s="2281" customFormat="1" ht="83.25" customHeight="1" thickBot="1" x14ac:dyDescent="0.25">
      <c r="A360" s="2164"/>
      <c r="B360" s="2165"/>
      <c r="C360" s="2166"/>
      <c r="D360" s="2165"/>
      <c r="E360" s="2165"/>
      <c r="F360" s="2166"/>
      <c r="G360" s="2165"/>
      <c r="H360" s="2165"/>
      <c r="I360" s="2166"/>
      <c r="J360" s="2833">
        <v>179</v>
      </c>
      <c r="K360" s="2836" t="s">
        <v>2087</v>
      </c>
      <c r="L360" s="2833" t="s">
        <v>1581</v>
      </c>
      <c r="M360" s="2833">
        <v>4</v>
      </c>
      <c r="N360" s="2834">
        <v>3</v>
      </c>
      <c r="O360" s="5085"/>
      <c r="P360" s="5085"/>
      <c r="Q360" s="5088"/>
      <c r="R360" s="2829">
        <v>0</v>
      </c>
      <c r="S360" s="5102"/>
      <c r="T360" s="5088"/>
      <c r="U360" s="2836" t="s">
        <v>2088</v>
      </c>
      <c r="V360" s="2280" t="s">
        <v>2089</v>
      </c>
      <c r="W360" s="2822">
        <v>0</v>
      </c>
      <c r="X360" s="2822">
        <v>0</v>
      </c>
      <c r="Y360" s="2822">
        <v>0</v>
      </c>
      <c r="Z360" s="2278"/>
      <c r="AA360" s="2848"/>
      <c r="AB360" s="5097"/>
      <c r="AC360" s="5097"/>
      <c r="AD360" s="5097"/>
      <c r="AE360" s="5097"/>
      <c r="AF360" s="5097"/>
      <c r="AG360" s="5097"/>
      <c r="AH360" s="5097"/>
      <c r="AI360" s="5097"/>
      <c r="AJ360" s="5097"/>
      <c r="AK360" s="5097"/>
      <c r="AL360" s="5097"/>
      <c r="AM360" s="5097"/>
      <c r="AN360" s="5097"/>
      <c r="AO360" s="5097"/>
      <c r="AP360" s="5097"/>
      <c r="AQ360" s="5097"/>
      <c r="AR360" s="5097"/>
      <c r="AS360" s="5097"/>
      <c r="AT360" s="5097"/>
      <c r="AU360" s="5097"/>
      <c r="AV360" s="5097"/>
      <c r="AW360" s="5097"/>
      <c r="AX360" s="5097"/>
      <c r="AY360" s="5097"/>
      <c r="AZ360" s="5097"/>
      <c r="BA360" s="5097"/>
      <c r="BB360" s="5097"/>
      <c r="BC360" s="5097"/>
      <c r="BD360" s="5097"/>
      <c r="BE360" s="5097"/>
      <c r="BF360" s="5097"/>
      <c r="BG360" s="5097"/>
      <c r="BH360" s="5096"/>
      <c r="BI360" s="5090"/>
      <c r="BJ360" s="5090"/>
      <c r="BK360" s="5093"/>
      <c r="BL360" s="5096"/>
      <c r="BM360" s="5096"/>
      <c r="BN360" s="5079"/>
      <c r="BO360" s="5080"/>
      <c r="BP360" s="5079"/>
      <c r="BQ360" s="5080"/>
      <c r="BR360" s="5083"/>
      <c r="BS360" s="2111"/>
      <c r="BT360" s="2111"/>
      <c r="BU360" s="2111"/>
      <c r="BV360" s="2111"/>
      <c r="BW360" s="2111"/>
      <c r="BX360" s="2111"/>
      <c r="BY360" s="2111"/>
      <c r="BZ360" s="2111"/>
      <c r="CA360" s="2111"/>
      <c r="CB360" s="2111"/>
      <c r="CC360" s="2111"/>
      <c r="CD360" s="2111"/>
      <c r="CE360" s="2111"/>
      <c r="CF360" s="2111"/>
      <c r="CG360" s="2111"/>
      <c r="CH360" s="2111"/>
      <c r="CI360" s="2111"/>
      <c r="CJ360" s="2111"/>
      <c r="CK360" s="2111"/>
      <c r="CL360" s="2111"/>
      <c r="CM360" s="2111"/>
      <c r="CN360" s="2111"/>
      <c r="CO360" s="2111"/>
      <c r="CP360" s="2111"/>
      <c r="CQ360" s="2111"/>
      <c r="CR360" s="2111"/>
      <c r="CS360" s="2111"/>
      <c r="CT360" s="2111"/>
      <c r="CU360" s="2111"/>
      <c r="CV360" s="2111"/>
      <c r="CW360" s="2111"/>
      <c r="CX360" s="2111"/>
      <c r="CY360" s="2111"/>
      <c r="CZ360" s="2111"/>
      <c r="DA360" s="2111"/>
      <c r="DB360" s="2111"/>
      <c r="DC360" s="2111"/>
      <c r="DD360" s="2111"/>
      <c r="DE360" s="2111"/>
      <c r="DF360" s="2111"/>
      <c r="DG360" s="2111"/>
      <c r="DH360" s="2111"/>
      <c r="DI360" s="2111"/>
      <c r="DJ360" s="2111"/>
      <c r="DK360" s="2111"/>
      <c r="DL360" s="2111"/>
      <c r="DM360" s="2111"/>
      <c r="DN360" s="2111"/>
      <c r="DO360" s="2111"/>
      <c r="DP360" s="2111"/>
      <c r="DQ360" s="2111"/>
      <c r="DR360" s="2111"/>
      <c r="DS360" s="2111"/>
      <c r="DT360" s="2111"/>
      <c r="DU360" s="2111"/>
      <c r="DV360" s="2111"/>
      <c r="DW360" s="2111"/>
      <c r="DX360" s="2111"/>
      <c r="DY360" s="2111"/>
      <c r="DZ360" s="2111"/>
      <c r="EA360" s="2111"/>
      <c r="EB360" s="2111"/>
      <c r="EC360" s="2111"/>
      <c r="ED360" s="2111"/>
      <c r="EE360" s="2111"/>
      <c r="EF360" s="2111"/>
      <c r="EG360" s="2111"/>
      <c r="EH360" s="2111"/>
      <c r="EI360" s="2111"/>
      <c r="EJ360" s="2111"/>
      <c r="EK360" s="2111"/>
      <c r="EL360" s="2111"/>
      <c r="EM360" s="2111"/>
      <c r="EN360" s="2111"/>
      <c r="EO360" s="2111"/>
      <c r="EP360" s="2111"/>
      <c r="EQ360" s="2111"/>
      <c r="ER360" s="2111"/>
      <c r="ES360" s="2111"/>
      <c r="ET360" s="2111"/>
      <c r="EU360" s="2111"/>
      <c r="EV360" s="2111"/>
      <c r="EW360" s="2111"/>
      <c r="EX360" s="2111"/>
      <c r="EY360" s="2111"/>
      <c r="EZ360" s="2111"/>
      <c r="FA360" s="2111"/>
      <c r="FB360" s="2111"/>
      <c r="FC360" s="2111"/>
      <c r="FD360" s="2111"/>
      <c r="FE360" s="2111"/>
      <c r="FF360" s="2111"/>
      <c r="FG360" s="2111"/>
      <c r="FH360" s="2111"/>
      <c r="FI360" s="2111"/>
      <c r="FJ360" s="2111"/>
      <c r="FK360" s="2111"/>
      <c r="FL360" s="2111"/>
      <c r="FM360" s="2111"/>
      <c r="FN360" s="2111"/>
      <c r="FO360" s="2111"/>
      <c r="FP360" s="2111"/>
      <c r="FQ360" s="2111"/>
      <c r="FR360" s="2111"/>
      <c r="FS360" s="2111"/>
      <c r="FT360" s="2111"/>
      <c r="FU360" s="2111"/>
      <c r="FV360" s="2111"/>
      <c r="FW360" s="2111"/>
      <c r="FX360" s="2111"/>
      <c r="FY360" s="2111"/>
      <c r="FZ360" s="2111"/>
      <c r="GA360" s="2111"/>
      <c r="GB360" s="2111"/>
      <c r="GC360" s="2111"/>
      <c r="GD360" s="2111"/>
      <c r="GE360" s="2111"/>
      <c r="GF360" s="2111"/>
      <c r="GG360" s="2111"/>
      <c r="GH360" s="2111"/>
      <c r="GI360" s="2111"/>
      <c r="GJ360" s="2111"/>
      <c r="GK360" s="2111"/>
      <c r="GL360" s="2111"/>
      <c r="GM360" s="2111"/>
      <c r="GN360" s="2111"/>
      <c r="GO360" s="2111"/>
      <c r="GP360" s="2111"/>
      <c r="GQ360" s="2111"/>
      <c r="GR360" s="2111"/>
      <c r="GS360" s="2111"/>
      <c r="GT360" s="2111"/>
      <c r="GU360" s="2111"/>
      <c r="GV360" s="2111"/>
      <c r="GW360" s="2111"/>
      <c r="GX360" s="2111"/>
      <c r="GY360" s="2111"/>
      <c r="GZ360" s="2111"/>
      <c r="HA360" s="2111"/>
      <c r="HB360" s="2111"/>
      <c r="HC360" s="2111"/>
      <c r="HD360" s="2111"/>
      <c r="HE360" s="2111"/>
      <c r="HF360" s="2111"/>
      <c r="HG360" s="2111"/>
      <c r="HH360" s="2111"/>
      <c r="HI360" s="2111"/>
      <c r="HJ360" s="2111"/>
      <c r="HK360" s="2111"/>
      <c r="HL360" s="2111"/>
      <c r="HM360" s="2111"/>
      <c r="HN360" s="2111"/>
      <c r="HO360" s="2111"/>
      <c r="HP360" s="2111"/>
      <c r="HQ360" s="2111"/>
      <c r="HR360" s="2111"/>
      <c r="HS360" s="2111"/>
      <c r="HT360" s="2111"/>
      <c r="HU360" s="2111"/>
      <c r="HV360" s="2111"/>
      <c r="HW360" s="2111"/>
      <c r="HX360" s="2111"/>
      <c r="HY360" s="2111"/>
      <c r="HZ360" s="2111"/>
      <c r="IA360" s="2111"/>
      <c r="IB360" s="2111"/>
      <c r="IC360" s="2111"/>
      <c r="ID360" s="2111"/>
      <c r="IE360" s="2111"/>
      <c r="IF360" s="2111"/>
      <c r="IG360" s="2111"/>
      <c r="IH360" s="2111"/>
      <c r="II360" s="2111"/>
      <c r="IJ360" s="2111"/>
      <c r="IK360" s="2111"/>
      <c r="IL360" s="2111"/>
      <c r="IM360" s="2111"/>
      <c r="IN360" s="2111"/>
      <c r="IO360" s="2111"/>
      <c r="IP360" s="2111"/>
      <c r="IQ360" s="2111"/>
      <c r="IR360" s="2111"/>
      <c r="IS360" s="2111"/>
      <c r="IT360" s="2111"/>
      <c r="IU360" s="2111"/>
      <c r="IV360" s="2111"/>
      <c r="IW360" s="2111"/>
      <c r="IX360" s="2111"/>
      <c r="IY360" s="2111"/>
      <c r="IZ360" s="2111"/>
      <c r="JA360" s="2111"/>
      <c r="JB360" s="2111"/>
      <c r="JC360" s="2111"/>
      <c r="JD360" s="2111"/>
      <c r="JE360" s="2111"/>
      <c r="JF360" s="2111"/>
      <c r="JG360" s="2111"/>
      <c r="JH360" s="2111"/>
      <c r="JI360" s="2111"/>
      <c r="JJ360" s="2111"/>
      <c r="JK360" s="2111"/>
      <c r="JL360" s="2111"/>
      <c r="JM360" s="2111"/>
      <c r="JN360" s="2111"/>
      <c r="JO360" s="2111"/>
      <c r="JP360" s="2111"/>
      <c r="JQ360" s="2111"/>
      <c r="JR360" s="2111"/>
      <c r="JS360" s="2111"/>
      <c r="JT360" s="2111"/>
      <c r="JU360" s="2111"/>
      <c r="JV360" s="2111"/>
      <c r="JW360" s="2111"/>
      <c r="JX360" s="2111"/>
      <c r="JY360" s="2111"/>
      <c r="JZ360" s="2111"/>
      <c r="KA360" s="2111"/>
      <c r="KB360" s="2111"/>
      <c r="KC360" s="2111"/>
      <c r="KD360" s="2111"/>
      <c r="KE360" s="2111"/>
      <c r="KF360" s="2111"/>
      <c r="KG360" s="2111"/>
      <c r="KH360" s="2111"/>
      <c r="KI360" s="2111"/>
      <c r="KJ360" s="2111"/>
      <c r="KK360" s="2111"/>
      <c r="KL360" s="2111"/>
      <c r="KM360" s="2111"/>
      <c r="KN360" s="2111"/>
      <c r="KO360" s="2111"/>
      <c r="KP360" s="2111"/>
      <c r="KQ360" s="2111"/>
      <c r="KR360" s="2111"/>
      <c r="KS360" s="2111"/>
      <c r="KT360" s="2111"/>
      <c r="KU360" s="2111"/>
      <c r="KV360" s="2111"/>
      <c r="KW360" s="2111"/>
      <c r="KX360" s="2111"/>
      <c r="KY360" s="2111"/>
      <c r="KZ360" s="2111"/>
      <c r="LA360" s="2111"/>
      <c r="LB360" s="2111"/>
      <c r="LC360" s="2111"/>
      <c r="LD360" s="2111"/>
      <c r="LE360" s="2111"/>
      <c r="LF360" s="2111"/>
      <c r="LG360" s="2111"/>
      <c r="LH360" s="2111"/>
      <c r="LI360" s="2111"/>
      <c r="LJ360" s="2111"/>
      <c r="LK360" s="2111"/>
      <c r="LL360" s="2111"/>
      <c r="LM360" s="2111"/>
      <c r="LN360" s="2111"/>
      <c r="LO360" s="2111"/>
      <c r="LP360" s="2111"/>
    </row>
    <row r="361" spans="1:328" ht="30" customHeight="1" thickBot="1" x14ac:dyDescent="0.25">
      <c r="A361" s="5073"/>
      <c r="B361" s="5074"/>
      <c r="C361" s="5074"/>
      <c r="D361" s="5074"/>
      <c r="E361" s="5074"/>
      <c r="F361" s="5074"/>
      <c r="G361" s="5074"/>
      <c r="H361" s="5074"/>
      <c r="I361" s="5074"/>
      <c r="J361" s="5074"/>
      <c r="K361" s="5074"/>
      <c r="L361" s="5074"/>
      <c r="M361" s="5074"/>
      <c r="N361" s="5074"/>
      <c r="O361" s="5074"/>
      <c r="P361" s="5074"/>
      <c r="Q361" s="5074"/>
      <c r="R361" s="5075"/>
      <c r="S361" s="2282">
        <f>SUM(S13:S360)</f>
        <v>46222727020</v>
      </c>
      <c r="T361" s="2283"/>
      <c r="U361" s="2284"/>
      <c r="V361" s="2285"/>
      <c r="W361" s="2286">
        <f>SUM(W13:W360)</f>
        <v>46222727020</v>
      </c>
      <c r="X361" s="2286">
        <f t="shared" ref="X361:Y361" si="172">SUM(X13:X360)</f>
        <v>35317184616</v>
      </c>
      <c r="Y361" s="2286">
        <f t="shared" si="172"/>
        <v>20502409790</v>
      </c>
      <c r="Z361" s="2287"/>
      <c r="AA361" s="2288"/>
      <c r="AB361" s="2289"/>
      <c r="AC361" s="2289"/>
      <c r="AD361" s="2289"/>
      <c r="AE361" s="2289"/>
      <c r="AF361" s="2290"/>
      <c r="AG361" s="2290"/>
      <c r="AH361" s="2289"/>
      <c r="AI361" s="2289"/>
      <c r="AJ361" s="2289"/>
      <c r="AK361" s="2289"/>
      <c r="AL361" s="2289"/>
      <c r="AM361" s="2289"/>
      <c r="AN361" s="2289"/>
      <c r="AO361" s="2289"/>
      <c r="AP361" s="2291"/>
      <c r="AQ361" s="2291"/>
      <c r="AR361" s="2289"/>
      <c r="AS361" s="2289"/>
      <c r="AT361" s="2290"/>
      <c r="AU361" s="2290"/>
      <c r="AV361" s="2289"/>
      <c r="AW361" s="2289"/>
      <c r="AX361" s="2289"/>
      <c r="AY361" s="2289"/>
      <c r="AZ361" s="2290"/>
      <c r="BA361" s="2290"/>
      <c r="BB361" s="2290"/>
      <c r="BC361" s="2290"/>
      <c r="BD361" s="2290"/>
      <c r="BE361" s="2290"/>
      <c r="BF361" s="2290"/>
      <c r="BG361" s="2290"/>
      <c r="BH361" s="2290"/>
      <c r="BI361" s="2286">
        <f t="shared" ref="BI361:BJ361" si="173">SUM(BI13:BI360)</f>
        <v>35317184616</v>
      </c>
      <c r="BJ361" s="2286">
        <f t="shared" si="173"/>
        <v>20502409790</v>
      </c>
      <c r="BK361" s="2290"/>
      <c r="BL361" s="2290"/>
      <c r="BM361" s="2290"/>
      <c r="BN361" s="2292"/>
      <c r="BO361" s="2292"/>
      <c r="BP361" s="2292"/>
      <c r="BQ361" s="2292"/>
      <c r="BR361" s="2293"/>
    </row>
    <row r="362" spans="1:328" x14ac:dyDescent="0.2">
      <c r="W362" s="2297"/>
      <c r="X362" s="2297"/>
      <c r="Y362" s="2297"/>
    </row>
    <row r="363" spans="1:328" ht="43.5" customHeight="1" x14ac:dyDescent="0.2">
      <c r="K363" s="4040"/>
      <c r="L363" s="4040"/>
      <c r="M363" s="4040"/>
      <c r="N363" s="4040"/>
      <c r="O363" s="4040"/>
      <c r="P363" s="4040"/>
      <c r="Q363" s="4040"/>
      <c r="R363" s="4040"/>
      <c r="X363" s="2301"/>
      <c r="Y363" s="2301"/>
    </row>
    <row r="364" spans="1:328" ht="43.5" customHeight="1" x14ac:dyDescent="0.2">
      <c r="S364" s="2302"/>
      <c r="W364" s="2303"/>
      <c r="X364" s="2303"/>
      <c r="Y364" s="2303"/>
    </row>
    <row r="365" spans="1:328" ht="43.5" customHeight="1" x14ac:dyDescent="0.25">
      <c r="K365" s="5076" t="s">
        <v>2090</v>
      </c>
      <c r="L365" s="5076"/>
      <c r="M365" s="5076"/>
      <c r="N365" s="2831"/>
      <c r="W365" s="2304"/>
      <c r="X365" s="2304"/>
      <c r="Y365" s="2304"/>
    </row>
    <row r="366" spans="1:328" s="2295" customFormat="1" ht="43.5" customHeight="1" x14ac:dyDescent="0.2">
      <c r="A366" s="2111"/>
      <c r="B366" s="2111"/>
      <c r="C366" s="2111"/>
      <c r="D366" s="2111"/>
      <c r="E366" s="2111"/>
      <c r="F366" s="2111"/>
      <c r="G366" s="2111"/>
      <c r="H366" s="2111"/>
      <c r="I366" s="2111"/>
      <c r="J366" s="2111"/>
      <c r="K366" s="5077" t="s">
        <v>2091</v>
      </c>
      <c r="L366" s="5077"/>
      <c r="M366" s="5077"/>
      <c r="N366" s="2832"/>
      <c r="O366" s="2832"/>
      <c r="P366" s="2144"/>
      <c r="Q366" s="2294"/>
      <c r="S366" s="2832"/>
      <c r="T366" s="2144"/>
      <c r="U366" s="2294"/>
      <c r="V366" s="2296"/>
      <c r="W366" s="2296"/>
      <c r="X366" s="2296"/>
      <c r="Y366" s="2296"/>
      <c r="AB366" s="2298"/>
      <c r="AC366" s="2298"/>
      <c r="AD366" s="2298"/>
      <c r="AE366" s="2298"/>
      <c r="AF366" s="2299"/>
      <c r="AG366" s="2299"/>
      <c r="AH366" s="2298"/>
      <c r="AI366" s="2298"/>
      <c r="AJ366" s="2298"/>
      <c r="AK366" s="2298"/>
      <c r="AL366" s="2298"/>
      <c r="AM366" s="2298"/>
      <c r="AN366" s="2298"/>
      <c r="AO366" s="2298"/>
      <c r="AP366" s="2300"/>
      <c r="AQ366" s="2300"/>
      <c r="AR366" s="2298"/>
      <c r="AS366" s="2298"/>
      <c r="AT366" s="2299"/>
      <c r="AU366" s="2299"/>
      <c r="AV366" s="2298"/>
      <c r="AW366" s="2298"/>
      <c r="AX366" s="2298"/>
      <c r="AY366" s="2298"/>
      <c r="AZ366" s="2299"/>
      <c r="BA366" s="2299"/>
      <c r="BB366" s="2299"/>
      <c r="BC366" s="2299"/>
      <c r="BD366" s="2299"/>
      <c r="BE366" s="2299"/>
      <c r="BF366" s="2299"/>
      <c r="BG366" s="2299"/>
      <c r="BH366" s="2299"/>
      <c r="BI366" s="2299"/>
      <c r="BJ366" s="2299"/>
      <c r="BK366" s="2299"/>
      <c r="BL366" s="2299"/>
      <c r="BM366" s="2299"/>
      <c r="BN366" s="2111"/>
      <c r="BO366" s="2111"/>
      <c r="BP366" s="2111"/>
      <c r="BQ366" s="2111"/>
      <c r="BR366" s="2111"/>
      <c r="BS366" s="2111"/>
      <c r="BT366" s="2111"/>
      <c r="BU366" s="2111"/>
      <c r="BV366" s="2111"/>
      <c r="BW366" s="2111"/>
      <c r="BX366" s="2111"/>
      <c r="BY366" s="2111"/>
      <c r="BZ366" s="2111"/>
      <c r="CA366" s="2111"/>
      <c r="CB366" s="2111"/>
      <c r="CC366" s="2111"/>
      <c r="CD366" s="2111"/>
      <c r="CE366" s="2111"/>
      <c r="CF366" s="2111"/>
      <c r="CG366" s="2111"/>
      <c r="CH366" s="2111"/>
      <c r="CI366" s="2111"/>
      <c r="CJ366" s="2111"/>
      <c r="CK366" s="2111"/>
      <c r="CL366" s="2111"/>
      <c r="CM366" s="2111"/>
      <c r="CN366" s="2111"/>
      <c r="CO366" s="2111"/>
      <c r="CP366" s="2111"/>
      <c r="CQ366" s="2111"/>
      <c r="CR366" s="2111"/>
      <c r="CS366" s="2111"/>
      <c r="CT366" s="2111"/>
      <c r="CU366" s="2111"/>
      <c r="CV366" s="2111"/>
      <c r="CW366" s="2111"/>
      <c r="CX366" s="2111"/>
      <c r="CY366" s="2111"/>
      <c r="CZ366" s="2111"/>
      <c r="DA366" s="2111"/>
      <c r="DB366" s="2111"/>
      <c r="DC366" s="2111"/>
      <c r="DD366" s="2111"/>
      <c r="DE366" s="2111"/>
      <c r="DF366" s="2111"/>
      <c r="DG366" s="2111"/>
      <c r="DH366" s="2111"/>
      <c r="DI366" s="2111"/>
      <c r="DJ366" s="2111"/>
      <c r="DK366" s="2111"/>
      <c r="DL366" s="2111"/>
      <c r="DM366" s="2111"/>
      <c r="DN366" s="2111"/>
      <c r="DO366" s="2111"/>
      <c r="DP366" s="2111"/>
      <c r="DQ366" s="2111"/>
      <c r="DR366" s="2111"/>
      <c r="DS366" s="2111"/>
      <c r="DT366" s="2111"/>
      <c r="DU366" s="2111"/>
      <c r="DV366" s="2111"/>
      <c r="DW366" s="2111"/>
      <c r="DX366" s="2111"/>
      <c r="DY366" s="2111"/>
      <c r="DZ366" s="2111"/>
      <c r="EA366" s="2111"/>
      <c r="EB366" s="2111"/>
      <c r="EC366" s="2111"/>
      <c r="ED366" s="2111"/>
      <c r="EE366" s="2111"/>
      <c r="EF366" s="2111"/>
      <c r="EG366" s="2111"/>
      <c r="EH366" s="2111"/>
      <c r="EI366" s="2111"/>
      <c r="EJ366" s="2111"/>
      <c r="EK366" s="2111"/>
      <c r="EL366" s="2111"/>
      <c r="EM366" s="2111"/>
      <c r="EN366" s="2111"/>
      <c r="EO366" s="2111"/>
      <c r="EP366" s="2111"/>
      <c r="EQ366" s="2111"/>
      <c r="ER366" s="2111"/>
      <c r="ES366" s="2111"/>
      <c r="ET366" s="2111"/>
      <c r="EU366" s="2111"/>
      <c r="EV366" s="2111"/>
      <c r="EW366" s="2111"/>
      <c r="EX366" s="2111"/>
      <c r="EY366" s="2111"/>
      <c r="EZ366" s="2111"/>
      <c r="FA366" s="2111"/>
      <c r="FB366" s="2111"/>
      <c r="FC366" s="2111"/>
      <c r="FD366" s="2111"/>
      <c r="FE366" s="2111"/>
      <c r="FF366" s="2111"/>
      <c r="FG366" s="2111"/>
      <c r="FH366" s="2111"/>
      <c r="FI366" s="2111"/>
      <c r="FJ366" s="2111"/>
      <c r="FK366" s="2111"/>
      <c r="FL366" s="2111"/>
      <c r="FM366" s="2111"/>
      <c r="FN366" s="2111"/>
      <c r="FO366" s="2111"/>
      <c r="FP366" s="2111"/>
      <c r="FQ366" s="2111"/>
      <c r="FR366" s="2111"/>
      <c r="FS366" s="2111"/>
      <c r="FT366" s="2111"/>
      <c r="FU366" s="2111"/>
      <c r="FV366" s="2111"/>
      <c r="FW366" s="2111"/>
      <c r="FX366" s="2111"/>
      <c r="FY366" s="2111"/>
      <c r="FZ366" s="2111"/>
      <c r="GA366" s="2111"/>
      <c r="GB366" s="2111"/>
      <c r="GC366" s="2111"/>
      <c r="GD366" s="2111"/>
      <c r="GE366" s="2111"/>
      <c r="GF366" s="2111"/>
      <c r="GG366" s="2111"/>
      <c r="GH366" s="2111"/>
      <c r="GI366" s="2111"/>
      <c r="GJ366" s="2111"/>
      <c r="GK366" s="2111"/>
      <c r="GL366" s="2111"/>
      <c r="GM366" s="2111"/>
      <c r="GN366" s="2111"/>
      <c r="GO366" s="2111"/>
      <c r="GP366" s="2111"/>
      <c r="GQ366" s="2111"/>
      <c r="GR366" s="2111"/>
      <c r="GS366" s="2111"/>
      <c r="GT366" s="2111"/>
      <c r="GU366" s="2111"/>
      <c r="GV366" s="2111"/>
      <c r="GW366" s="2111"/>
      <c r="GX366" s="2111"/>
      <c r="GY366" s="2111"/>
      <c r="GZ366" s="2111"/>
      <c r="HA366" s="2111"/>
      <c r="HB366" s="2111"/>
      <c r="HC366" s="2111"/>
      <c r="HD366" s="2111"/>
      <c r="HE366" s="2111"/>
      <c r="HF366" s="2111"/>
      <c r="HG366" s="2111"/>
      <c r="HH366" s="2111"/>
      <c r="HI366" s="2111"/>
      <c r="HJ366" s="2111"/>
      <c r="HK366" s="2111"/>
      <c r="HL366" s="2111"/>
      <c r="HM366" s="2111"/>
      <c r="HN366" s="2111"/>
      <c r="HO366" s="2111"/>
      <c r="HP366" s="2111"/>
      <c r="HQ366" s="2111"/>
      <c r="HR366" s="2111"/>
      <c r="HS366" s="2111"/>
      <c r="HT366" s="2111"/>
      <c r="HU366" s="2111"/>
      <c r="HV366" s="2111"/>
      <c r="HW366" s="2111"/>
      <c r="HX366" s="2111"/>
      <c r="HY366" s="2111"/>
      <c r="HZ366" s="2111"/>
      <c r="IA366" s="2111"/>
      <c r="IB366" s="2111"/>
      <c r="IC366" s="2111"/>
      <c r="ID366" s="2111"/>
      <c r="IE366" s="2111"/>
      <c r="IF366" s="2111"/>
      <c r="IG366" s="2111"/>
      <c r="IH366" s="2111"/>
      <c r="II366" s="2111"/>
      <c r="IJ366" s="2111"/>
      <c r="IK366" s="2111"/>
      <c r="IL366" s="2111"/>
      <c r="IM366" s="2111"/>
      <c r="IN366" s="2111"/>
      <c r="IO366" s="2111"/>
      <c r="IP366" s="2111"/>
      <c r="IQ366" s="2111"/>
      <c r="IR366" s="2111"/>
      <c r="IS366" s="2111"/>
      <c r="IT366" s="2111"/>
      <c r="IU366" s="2111"/>
      <c r="IV366" s="2111"/>
      <c r="IW366" s="2111"/>
      <c r="IX366" s="2111"/>
      <c r="IY366" s="2111"/>
      <c r="IZ366" s="2111"/>
      <c r="JA366" s="2111"/>
      <c r="JB366" s="2111"/>
      <c r="JC366" s="2111"/>
      <c r="JD366" s="2111"/>
      <c r="JE366" s="2111"/>
      <c r="JF366" s="2111"/>
      <c r="JG366" s="2111"/>
      <c r="JH366" s="2111"/>
      <c r="JI366" s="2111"/>
      <c r="JJ366" s="2111"/>
      <c r="JK366" s="2111"/>
      <c r="JL366" s="2111"/>
      <c r="JM366" s="2111"/>
      <c r="JN366" s="2111"/>
      <c r="JO366" s="2111"/>
      <c r="JP366" s="2111"/>
      <c r="JQ366" s="2111"/>
      <c r="JR366" s="2111"/>
      <c r="JS366" s="2111"/>
      <c r="JT366" s="2111"/>
      <c r="JU366" s="2111"/>
      <c r="JV366" s="2111"/>
      <c r="JW366" s="2111"/>
      <c r="JX366" s="2111"/>
      <c r="JY366" s="2111"/>
      <c r="JZ366" s="2111"/>
      <c r="KA366" s="2111"/>
      <c r="KB366" s="2111"/>
      <c r="KC366" s="2111"/>
      <c r="KD366" s="2111"/>
      <c r="KE366" s="2111"/>
      <c r="KF366" s="2111"/>
      <c r="KG366" s="2111"/>
      <c r="KH366" s="2111"/>
      <c r="KI366" s="2111"/>
      <c r="KJ366" s="2111"/>
      <c r="KK366" s="2111"/>
      <c r="KL366" s="2111"/>
      <c r="KM366" s="2111"/>
      <c r="KN366" s="2111"/>
      <c r="KO366" s="2111"/>
      <c r="KP366" s="2111"/>
      <c r="KQ366" s="2111"/>
      <c r="KR366" s="2111"/>
      <c r="KS366" s="2111"/>
      <c r="KT366" s="2111"/>
      <c r="KU366" s="2111"/>
      <c r="KV366" s="2111"/>
      <c r="KW366" s="2111"/>
      <c r="KX366" s="2111"/>
      <c r="KY366" s="2111"/>
      <c r="KZ366" s="2111"/>
      <c r="LA366" s="2111"/>
      <c r="LB366" s="2111"/>
      <c r="LC366" s="2111"/>
      <c r="LD366" s="2111"/>
      <c r="LE366" s="2111"/>
      <c r="LF366" s="2111"/>
      <c r="LG366" s="2111"/>
      <c r="LH366" s="2111"/>
      <c r="LI366" s="2111"/>
      <c r="LJ366" s="2111"/>
      <c r="LK366" s="2111"/>
      <c r="LL366" s="2111"/>
      <c r="LM366" s="2111"/>
      <c r="LN366" s="2111"/>
      <c r="LO366" s="2111"/>
      <c r="LP366" s="2111"/>
    </row>
    <row r="367" spans="1:328" s="2295" customFormat="1" ht="43.5" customHeight="1" x14ac:dyDescent="0.2">
      <c r="A367" s="2111"/>
      <c r="B367" s="2111"/>
      <c r="C367" s="2111"/>
      <c r="D367" s="2111"/>
      <c r="E367" s="2111"/>
      <c r="F367" s="2111"/>
      <c r="G367" s="2111"/>
      <c r="H367" s="2111"/>
      <c r="I367" s="2111"/>
      <c r="J367" s="2111"/>
      <c r="K367" s="2294"/>
      <c r="L367" s="2144"/>
      <c r="M367" s="2144"/>
      <c r="N367" s="2144"/>
      <c r="O367" s="2832"/>
      <c r="P367" s="2144"/>
      <c r="Q367" s="2294"/>
      <c r="S367" s="2832"/>
      <c r="T367" s="2144"/>
      <c r="U367" s="2294"/>
      <c r="V367" s="2296"/>
      <c r="W367" s="2304"/>
      <c r="X367" s="2304"/>
      <c r="Y367" s="2304"/>
      <c r="AB367" s="2298"/>
      <c r="AC367" s="2298"/>
      <c r="AD367" s="2298"/>
      <c r="AE367" s="2298"/>
      <c r="AF367" s="2299"/>
      <c r="AG367" s="2299"/>
      <c r="AH367" s="2298"/>
      <c r="AI367" s="2298"/>
      <c r="AJ367" s="2298"/>
      <c r="AK367" s="2298"/>
      <c r="AL367" s="2298"/>
      <c r="AM367" s="2298"/>
      <c r="AN367" s="2298"/>
      <c r="AO367" s="2298"/>
      <c r="AP367" s="2300"/>
      <c r="AQ367" s="2300"/>
      <c r="AR367" s="2298"/>
      <c r="AS367" s="2298"/>
      <c r="AT367" s="2299"/>
      <c r="AU367" s="2299"/>
      <c r="AV367" s="2298"/>
      <c r="AW367" s="2298"/>
      <c r="AX367" s="2298"/>
      <c r="AY367" s="2298"/>
      <c r="AZ367" s="2299"/>
      <c r="BA367" s="2299"/>
      <c r="BB367" s="2299"/>
      <c r="BC367" s="2299"/>
      <c r="BD367" s="2299"/>
      <c r="BE367" s="2299"/>
      <c r="BF367" s="2299"/>
      <c r="BG367" s="2299"/>
      <c r="BH367" s="2299"/>
      <c r="BI367" s="2299"/>
      <c r="BJ367" s="2299"/>
      <c r="BK367" s="2299"/>
      <c r="BL367" s="2299"/>
      <c r="BM367" s="2299"/>
      <c r="BN367" s="2111"/>
      <c r="BO367" s="2111"/>
      <c r="BP367" s="2111"/>
      <c r="BQ367" s="2111"/>
      <c r="BR367" s="2111"/>
      <c r="BS367" s="2111"/>
      <c r="BT367" s="2111"/>
      <c r="BU367" s="2111"/>
      <c r="BV367" s="2111"/>
      <c r="BW367" s="2111"/>
      <c r="BX367" s="2111"/>
      <c r="BY367" s="2111"/>
      <c r="BZ367" s="2111"/>
      <c r="CA367" s="2111"/>
      <c r="CB367" s="2111"/>
      <c r="CC367" s="2111"/>
      <c r="CD367" s="2111"/>
      <c r="CE367" s="2111"/>
      <c r="CF367" s="2111"/>
      <c r="CG367" s="2111"/>
      <c r="CH367" s="2111"/>
      <c r="CI367" s="2111"/>
      <c r="CJ367" s="2111"/>
      <c r="CK367" s="2111"/>
      <c r="CL367" s="2111"/>
      <c r="CM367" s="2111"/>
      <c r="CN367" s="2111"/>
      <c r="CO367" s="2111"/>
      <c r="CP367" s="2111"/>
      <c r="CQ367" s="2111"/>
      <c r="CR367" s="2111"/>
      <c r="CS367" s="2111"/>
      <c r="CT367" s="2111"/>
      <c r="CU367" s="2111"/>
      <c r="CV367" s="2111"/>
      <c r="CW367" s="2111"/>
      <c r="CX367" s="2111"/>
      <c r="CY367" s="2111"/>
      <c r="CZ367" s="2111"/>
      <c r="DA367" s="2111"/>
      <c r="DB367" s="2111"/>
      <c r="DC367" s="2111"/>
      <c r="DD367" s="2111"/>
      <c r="DE367" s="2111"/>
      <c r="DF367" s="2111"/>
      <c r="DG367" s="2111"/>
      <c r="DH367" s="2111"/>
      <c r="DI367" s="2111"/>
      <c r="DJ367" s="2111"/>
      <c r="DK367" s="2111"/>
      <c r="DL367" s="2111"/>
      <c r="DM367" s="2111"/>
      <c r="DN367" s="2111"/>
      <c r="DO367" s="2111"/>
      <c r="DP367" s="2111"/>
      <c r="DQ367" s="2111"/>
      <c r="DR367" s="2111"/>
      <c r="DS367" s="2111"/>
      <c r="DT367" s="2111"/>
      <c r="DU367" s="2111"/>
      <c r="DV367" s="2111"/>
      <c r="DW367" s="2111"/>
      <c r="DX367" s="2111"/>
      <c r="DY367" s="2111"/>
      <c r="DZ367" s="2111"/>
      <c r="EA367" s="2111"/>
      <c r="EB367" s="2111"/>
      <c r="EC367" s="2111"/>
      <c r="ED367" s="2111"/>
      <c r="EE367" s="2111"/>
      <c r="EF367" s="2111"/>
      <c r="EG367" s="2111"/>
      <c r="EH367" s="2111"/>
      <c r="EI367" s="2111"/>
      <c r="EJ367" s="2111"/>
      <c r="EK367" s="2111"/>
      <c r="EL367" s="2111"/>
      <c r="EM367" s="2111"/>
      <c r="EN367" s="2111"/>
      <c r="EO367" s="2111"/>
      <c r="EP367" s="2111"/>
      <c r="EQ367" s="2111"/>
      <c r="ER367" s="2111"/>
      <c r="ES367" s="2111"/>
      <c r="ET367" s="2111"/>
      <c r="EU367" s="2111"/>
      <c r="EV367" s="2111"/>
      <c r="EW367" s="2111"/>
      <c r="EX367" s="2111"/>
      <c r="EY367" s="2111"/>
      <c r="EZ367" s="2111"/>
      <c r="FA367" s="2111"/>
      <c r="FB367" s="2111"/>
      <c r="FC367" s="2111"/>
      <c r="FD367" s="2111"/>
      <c r="FE367" s="2111"/>
      <c r="FF367" s="2111"/>
      <c r="FG367" s="2111"/>
      <c r="FH367" s="2111"/>
      <c r="FI367" s="2111"/>
      <c r="FJ367" s="2111"/>
      <c r="FK367" s="2111"/>
      <c r="FL367" s="2111"/>
      <c r="FM367" s="2111"/>
      <c r="FN367" s="2111"/>
      <c r="FO367" s="2111"/>
      <c r="FP367" s="2111"/>
      <c r="FQ367" s="2111"/>
      <c r="FR367" s="2111"/>
      <c r="FS367" s="2111"/>
      <c r="FT367" s="2111"/>
      <c r="FU367" s="2111"/>
      <c r="FV367" s="2111"/>
      <c r="FW367" s="2111"/>
      <c r="FX367" s="2111"/>
      <c r="FY367" s="2111"/>
      <c r="FZ367" s="2111"/>
      <c r="GA367" s="2111"/>
      <c r="GB367" s="2111"/>
      <c r="GC367" s="2111"/>
      <c r="GD367" s="2111"/>
      <c r="GE367" s="2111"/>
      <c r="GF367" s="2111"/>
      <c r="GG367" s="2111"/>
      <c r="GH367" s="2111"/>
      <c r="GI367" s="2111"/>
      <c r="GJ367" s="2111"/>
      <c r="GK367" s="2111"/>
      <c r="GL367" s="2111"/>
      <c r="GM367" s="2111"/>
      <c r="GN367" s="2111"/>
      <c r="GO367" s="2111"/>
      <c r="GP367" s="2111"/>
      <c r="GQ367" s="2111"/>
      <c r="GR367" s="2111"/>
      <c r="GS367" s="2111"/>
      <c r="GT367" s="2111"/>
      <c r="GU367" s="2111"/>
      <c r="GV367" s="2111"/>
      <c r="GW367" s="2111"/>
      <c r="GX367" s="2111"/>
      <c r="GY367" s="2111"/>
      <c r="GZ367" s="2111"/>
      <c r="HA367" s="2111"/>
      <c r="HB367" s="2111"/>
      <c r="HC367" s="2111"/>
      <c r="HD367" s="2111"/>
      <c r="HE367" s="2111"/>
      <c r="HF367" s="2111"/>
      <c r="HG367" s="2111"/>
      <c r="HH367" s="2111"/>
      <c r="HI367" s="2111"/>
      <c r="HJ367" s="2111"/>
      <c r="HK367" s="2111"/>
      <c r="HL367" s="2111"/>
      <c r="HM367" s="2111"/>
      <c r="HN367" s="2111"/>
      <c r="HO367" s="2111"/>
      <c r="HP367" s="2111"/>
      <c r="HQ367" s="2111"/>
      <c r="HR367" s="2111"/>
      <c r="HS367" s="2111"/>
      <c r="HT367" s="2111"/>
      <c r="HU367" s="2111"/>
      <c r="HV367" s="2111"/>
      <c r="HW367" s="2111"/>
      <c r="HX367" s="2111"/>
      <c r="HY367" s="2111"/>
      <c r="HZ367" s="2111"/>
      <c r="IA367" s="2111"/>
      <c r="IB367" s="2111"/>
      <c r="IC367" s="2111"/>
      <c r="ID367" s="2111"/>
      <c r="IE367" s="2111"/>
      <c r="IF367" s="2111"/>
      <c r="IG367" s="2111"/>
      <c r="IH367" s="2111"/>
      <c r="II367" s="2111"/>
      <c r="IJ367" s="2111"/>
      <c r="IK367" s="2111"/>
      <c r="IL367" s="2111"/>
      <c r="IM367" s="2111"/>
      <c r="IN367" s="2111"/>
      <c r="IO367" s="2111"/>
      <c r="IP367" s="2111"/>
      <c r="IQ367" s="2111"/>
      <c r="IR367" s="2111"/>
      <c r="IS367" s="2111"/>
      <c r="IT367" s="2111"/>
      <c r="IU367" s="2111"/>
      <c r="IV367" s="2111"/>
      <c r="IW367" s="2111"/>
      <c r="IX367" s="2111"/>
      <c r="IY367" s="2111"/>
      <c r="IZ367" s="2111"/>
      <c r="JA367" s="2111"/>
      <c r="JB367" s="2111"/>
      <c r="JC367" s="2111"/>
      <c r="JD367" s="2111"/>
      <c r="JE367" s="2111"/>
      <c r="JF367" s="2111"/>
      <c r="JG367" s="2111"/>
      <c r="JH367" s="2111"/>
      <c r="JI367" s="2111"/>
      <c r="JJ367" s="2111"/>
      <c r="JK367" s="2111"/>
      <c r="JL367" s="2111"/>
      <c r="JM367" s="2111"/>
      <c r="JN367" s="2111"/>
      <c r="JO367" s="2111"/>
      <c r="JP367" s="2111"/>
      <c r="JQ367" s="2111"/>
      <c r="JR367" s="2111"/>
      <c r="JS367" s="2111"/>
      <c r="JT367" s="2111"/>
      <c r="JU367" s="2111"/>
      <c r="JV367" s="2111"/>
      <c r="JW367" s="2111"/>
      <c r="JX367" s="2111"/>
      <c r="JY367" s="2111"/>
      <c r="JZ367" s="2111"/>
      <c r="KA367" s="2111"/>
      <c r="KB367" s="2111"/>
      <c r="KC367" s="2111"/>
      <c r="KD367" s="2111"/>
      <c r="KE367" s="2111"/>
      <c r="KF367" s="2111"/>
      <c r="KG367" s="2111"/>
      <c r="KH367" s="2111"/>
      <c r="KI367" s="2111"/>
      <c r="KJ367" s="2111"/>
      <c r="KK367" s="2111"/>
      <c r="KL367" s="2111"/>
      <c r="KM367" s="2111"/>
      <c r="KN367" s="2111"/>
      <c r="KO367" s="2111"/>
      <c r="KP367" s="2111"/>
      <c r="KQ367" s="2111"/>
      <c r="KR367" s="2111"/>
      <c r="KS367" s="2111"/>
      <c r="KT367" s="2111"/>
      <c r="KU367" s="2111"/>
      <c r="KV367" s="2111"/>
      <c r="KW367" s="2111"/>
      <c r="KX367" s="2111"/>
      <c r="KY367" s="2111"/>
      <c r="KZ367" s="2111"/>
      <c r="LA367" s="2111"/>
      <c r="LB367" s="2111"/>
      <c r="LC367" s="2111"/>
      <c r="LD367" s="2111"/>
      <c r="LE367" s="2111"/>
      <c r="LF367" s="2111"/>
      <c r="LG367" s="2111"/>
      <c r="LH367" s="2111"/>
      <c r="LI367" s="2111"/>
      <c r="LJ367" s="2111"/>
      <c r="LK367" s="2111"/>
      <c r="LL367" s="2111"/>
      <c r="LM367" s="2111"/>
      <c r="LN367" s="2111"/>
      <c r="LO367" s="2111"/>
      <c r="LP367" s="2111"/>
    </row>
    <row r="368" spans="1:328" s="2295" customFormat="1" ht="43.5" customHeight="1" x14ac:dyDescent="0.2">
      <c r="A368" s="2111"/>
      <c r="B368" s="2111"/>
      <c r="C368" s="2111"/>
      <c r="D368" s="2111"/>
      <c r="E368" s="2111"/>
      <c r="F368" s="2111"/>
      <c r="G368" s="2111"/>
      <c r="H368" s="2111"/>
      <c r="I368" s="2111"/>
      <c r="J368" s="2111"/>
      <c r="K368" s="2294"/>
      <c r="L368" s="2144"/>
      <c r="M368" s="2144"/>
      <c r="N368" s="2144"/>
      <c r="O368" s="2832"/>
      <c r="P368" s="2144"/>
      <c r="Q368" s="2294"/>
      <c r="S368" s="2832"/>
      <c r="T368" s="2144"/>
      <c r="U368" s="2294"/>
      <c r="V368" s="2296"/>
      <c r="W368" s="2296"/>
      <c r="X368" s="2296"/>
      <c r="Y368" s="2296"/>
      <c r="AB368" s="2298"/>
      <c r="AC368" s="2298"/>
      <c r="AD368" s="2298"/>
      <c r="AE368" s="2298"/>
      <c r="AF368" s="2299"/>
      <c r="AG368" s="2299"/>
      <c r="AH368" s="2298"/>
      <c r="AI368" s="2298"/>
      <c r="AJ368" s="2298"/>
      <c r="AK368" s="2298"/>
      <c r="AL368" s="2298"/>
      <c r="AM368" s="2298"/>
      <c r="AN368" s="2298"/>
      <c r="AO368" s="2298"/>
      <c r="AP368" s="2300"/>
      <c r="AQ368" s="2300"/>
      <c r="AR368" s="2298"/>
      <c r="AS368" s="2298"/>
      <c r="AT368" s="2299"/>
      <c r="AU368" s="2299"/>
      <c r="AV368" s="2298"/>
      <c r="AW368" s="2298"/>
      <c r="AX368" s="2298"/>
      <c r="AY368" s="2298"/>
      <c r="AZ368" s="2299"/>
      <c r="BA368" s="2299"/>
      <c r="BB368" s="2299"/>
      <c r="BC368" s="2299"/>
      <c r="BD368" s="2299"/>
      <c r="BE368" s="2299"/>
      <c r="BF368" s="2299"/>
      <c r="BG368" s="2299"/>
      <c r="BH368" s="2299"/>
      <c r="BI368" s="2299"/>
      <c r="BJ368" s="2299"/>
      <c r="BK368" s="2299"/>
      <c r="BL368" s="2299"/>
      <c r="BM368" s="2299"/>
      <c r="BN368" s="2111"/>
      <c r="BO368" s="2111"/>
      <c r="BP368" s="2111"/>
      <c r="BQ368" s="2111"/>
      <c r="BR368" s="2111"/>
      <c r="BS368" s="2111"/>
      <c r="BT368" s="2111"/>
      <c r="BU368" s="2111"/>
      <c r="BV368" s="2111"/>
      <c r="BW368" s="2111"/>
      <c r="BX368" s="2111"/>
      <c r="BY368" s="2111"/>
      <c r="BZ368" s="2111"/>
      <c r="CA368" s="2111"/>
      <c r="CB368" s="2111"/>
      <c r="CC368" s="2111"/>
      <c r="CD368" s="2111"/>
      <c r="CE368" s="2111"/>
      <c r="CF368" s="2111"/>
      <c r="CG368" s="2111"/>
      <c r="CH368" s="2111"/>
      <c r="CI368" s="2111"/>
      <c r="CJ368" s="2111"/>
      <c r="CK368" s="2111"/>
      <c r="CL368" s="2111"/>
      <c r="CM368" s="2111"/>
      <c r="CN368" s="2111"/>
      <c r="CO368" s="2111"/>
      <c r="CP368" s="2111"/>
      <c r="CQ368" s="2111"/>
      <c r="CR368" s="2111"/>
      <c r="CS368" s="2111"/>
      <c r="CT368" s="2111"/>
      <c r="CU368" s="2111"/>
      <c r="CV368" s="2111"/>
      <c r="CW368" s="2111"/>
      <c r="CX368" s="2111"/>
      <c r="CY368" s="2111"/>
      <c r="CZ368" s="2111"/>
      <c r="DA368" s="2111"/>
      <c r="DB368" s="2111"/>
      <c r="DC368" s="2111"/>
      <c r="DD368" s="2111"/>
      <c r="DE368" s="2111"/>
      <c r="DF368" s="2111"/>
      <c r="DG368" s="2111"/>
      <c r="DH368" s="2111"/>
      <c r="DI368" s="2111"/>
      <c r="DJ368" s="2111"/>
      <c r="DK368" s="2111"/>
      <c r="DL368" s="2111"/>
      <c r="DM368" s="2111"/>
      <c r="DN368" s="2111"/>
      <c r="DO368" s="2111"/>
      <c r="DP368" s="2111"/>
      <c r="DQ368" s="2111"/>
      <c r="DR368" s="2111"/>
      <c r="DS368" s="2111"/>
      <c r="DT368" s="2111"/>
      <c r="DU368" s="2111"/>
      <c r="DV368" s="2111"/>
      <c r="DW368" s="2111"/>
      <c r="DX368" s="2111"/>
      <c r="DY368" s="2111"/>
      <c r="DZ368" s="2111"/>
      <c r="EA368" s="2111"/>
      <c r="EB368" s="2111"/>
      <c r="EC368" s="2111"/>
      <c r="ED368" s="2111"/>
      <c r="EE368" s="2111"/>
      <c r="EF368" s="2111"/>
      <c r="EG368" s="2111"/>
      <c r="EH368" s="2111"/>
      <c r="EI368" s="2111"/>
      <c r="EJ368" s="2111"/>
      <c r="EK368" s="2111"/>
      <c r="EL368" s="2111"/>
      <c r="EM368" s="2111"/>
      <c r="EN368" s="2111"/>
      <c r="EO368" s="2111"/>
      <c r="EP368" s="2111"/>
      <c r="EQ368" s="2111"/>
      <c r="ER368" s="2111"/>
      <c r="ES368" s="2111"/>
      <c r="ET368" s="2111"/>
      <c r="EU368" s="2111"/>
      <c r="EV368" s="2111"/>
      <c r="EW368" s="2111"/>
      <c r="EX368" s="2111"/>
      <c r="EY368" s="2111"/>
      <c r="EZ368" s="2111"/>
      <c r="FA368" s="2111"/>
      <c r="FB368" s="2111"/>
      <c r="FC368" s="2111"/>
      <c r="FD368" s="2111"/>
      <c r="FE368" s="2111"/>
      <c r="FF368" s="2111"/>
      <c r="FG368" s="2111"/>
      <c r="FH368" s="2111"/>
      <c r="FI368" s="2111"/>
      <c r="FJ368" s="2111"/>
      <c r="FK368" s="2111"/>
      <c r="FL368" s="2111"/>
      <c r="FM368" s="2111"/>
      <c r="FN368" s="2111"/>
      <c r="FO368" s="2111"/>
      <c r="FP368" s="2111"/>
      <c r="FQ368" s="2111"/>
      <c r="FR368" s="2111"/>
      <c r="FS368" s="2111"/>
      <c r="FT368" s="2111"/>
      <c r="FU368" s="2111"/>
      <c r="FV368" s="2111"/>
      <c r="FW368" s="2111"/>
      <c r="FX368" s="2111"/>
      <c r="FY368" s="2111"/>
      <c r="FZ368" s="2111"/>
      <c r="GA368" s="2111"/>
      <c r="GB368" s="2111"/>
      <c r="GC368" s="2111"/>
      <c r="GD368" s="2111"/>
      <c r="GE368" s="2111"/>
      <c r="GF368" s="2111"/>
      <c r="GG368" s="2111"/>
      <c r="GH368" s="2111"/>
      <c r="GI368" s="2111"/>
      <c r="GJ368" s="2111"/>
      <c r="GK368" s="2111"/>
      <c r="GL368" s="2111"/>
      <c r="GM368" s="2111"/>
      <c r="GN368" s="2111"/>
      <c r="GO368" s="2111"/>
      <c r="GP368" s="2111"/>
      <c r="GQ368" s="2111"/>
      <c r="GR368" s="2111"/>
      <c r="GS368" s="2111"/>
      <c r="GT368" s="2111"/>
      <c r="GU368" s="2111"/>
      <c r="GV368" s="2111"/>
      <c r="GW368" s="2111"/>
      <c r="GX368" s="2111"/>
      <c r="GY368" s="2111"/>
      <c r="GZ368" s="2111"/>
      <c r="HA368" s="2111"/>
      <c r="HB368" s="2111"/>
      <c r="HC368" s="2111"/>
      <c r="HD368" s="2111"/>
      <c r="HE368" s="2111"/>
      <c r="HF368" s="2111"/>
      <c r="HG368" s="2111"/>
      <c r="HH368" s="2111"/>
      <c r="HI368" s="2111"/>
      <c r="HJ368" s="2111"/>
      <c r="HK368" s="2111"/>
      <c r="HL368" s="2111"/>
      <c r="HM368" s="2111"/>
      <c r="HN368" s="2111"/>
      <c r="HO368" s="2111"/>
      <c r="HP368" s="2111"/>
      <c r="HQ368" s="2111"/>
      <c r="HR368" s="2111"/>
      <c r="HS368" s="2111"/>
      <c r="HT368" s="2111"/>
      <c r="HU368" s="2111"/>
      <c r="HV368" s="2111"/>
      <c r="HW368" s="2111"/>
      <c r="HX368" s="2111"/>
      <c r="HY368" s="2111"/>
      <c r="HZ368" s="2111"/>
      <c r="IA368" s="2111"/>
      <c r="IB368" s="2111"/>
      <c r="IC368" s="2111"/>
      <c r="ID368" s="2111"/>
      <c r="IE368" s="2111"/>
      <c r="IF368" s="2111"/>
      <c r="IG368" s="2111"/>
      <c r="IH368" s="2111"/>
      <c r="II368" s="2111"/>
      <c r="IJ368" s="2111"/>
      <c r="IK368" s="2111"/>
      <c r="IL368" s="2111"/>
      <c r="IM368" s="2111"/>
      <c r="IN368" s="2111"/>
      <c r="IO368" s="2111"/>
      <c r="IP368" s="2111"/>
      <c r="IQ368" s="2111"/>
      <c r="IR368" s="2111"/>
      <c r="IS368" s="2111"/>
      <c r="IT368" s="2111"/>
      <c r="IU368" s="2111"/>
      <c r="IV368" s="2111"/>
      <c r="IW368" s="2111"/>
      <c r="IX368" s="2111"/>
      <c r="IY368" s="2111"/>
      <c r="IZ368" s="2111"/>
      <c r="JA368" s="2111"/>
      <c r="JB368" s="2111"/>
      <c r="JC368" s="2111"/>
      <c r="JD368" s="2111"/>
      <c r="JE368" s="2111"/>
      <c r="JF368" s="2111"/>
      <c r="JG368" s="2111"/>
      <c r="JH368" s="2111"/>
      <c r="JI368" s="2111"/>
      <c r="JJ368" s="2111"/>
      <c r="JK368" s="2111"/>
      <c r="JL368" s="2111"/>
      <c r="JM368" s="2111"/>
      <c r="JN368" s="2111"/>
      <c r="JO368" s="2111"/>
      <c r="JP368" s="2111"/>
      <c r="JQ368" s="2111"/>
      <c r="JR368" s="2111"/>
      <c r="JS368" s="2111"/>
      <c r="JT368" s="2111"/>
      <c r="JU368" s="2111"/>
      <c r="JV368" s="2111"/>
      <c r="JW368" s="2111"/>
      <c r="JX368" s="2111"/>
      <c r="JY368" s="2111"/>
      <c r="JZ368" s="2111"/>
      <c r="KA368" s="2111"/>
      <c r="KB368" s="2111"/>
      <c r="KC368" s="2111"/>
      <c r="KD368" s="2111"/>
      <c r="KE368" s="2111"/>
      <c r="KF368" s="2111"/>
      <c r="KG368" s="2111"/>
      <c r="KH368" s="2111"/>
      <c r="KI368" s="2111"/>
      <c r="KJ368" s="2111"/>
      <c r="KK368" s="2111"/>
      <c r="KL368" s="2111"/>
      <c r="KM368" s="2111"/>
      <c r="KN368" s="2111"/>
      <c r="KO368" s="2111"/>
      <c r="KP368" s="2111"/>
      <c r="KQ368" s="2111"/>
      <c r="KR368" s="2111"/>
      <c r="KS368" s="2111"/>
      <c r="KT368" s="2111"/>
      <c r="KU368" s="2111"/>
      <c r="KV368" s="2111"/>
      <c r="KW368" s="2111"/>
      <c r="KX368" s="2111"/>
      <c r="KY368" s="2111"/>
      <c r="KZ368" s="2111"/>
      <c r="LA368" s="2111"/>
      <c r="LB368" s="2111"/>
      <c r="LC368" s="2111"/>
      <c r="LD368" s="2111"/>
      <c r="LE368" s="2111"/>
      <c r="LF368" s="2111"/>
      <c r="LG368" s="2111"/>
      <c r="LH368" s="2111"/>
      <c r="LI368" s="2111"/>
      <c r="LJ368" s="2111"/>
      <c r="LK368" s="2111"/>
      <c r="LL368" s="2111"/>
      <c r="LM368" s="2111"/>
      <c r="LN368" s="2111"/>
      <c r="LO368" s="2111"/>
      <c r="LP368" s="2111"/>
    </row>
  </sheetData>
  <sheetProtection password="A60F" sheet="1" objects="1" scenarios="1"/>
  <mergeCells count="1589">
    <mergeCell ref="K7:K9"/>
    <mergeCell ref="L7:L9"/>
    <mergeCell ref="M7:N8"/>
    <mergeCell ref="O7:O9"/>
    <mergeCell ref="P7:P9"/>
    <mergeCell ref="Q7:Q9"/>
    <mergeCell ref="A1:BP4"/>
    <mergeCell ref="A5:P6"/>
    <mergeCell ref="Q5:BR6"/>
    <mergeCell ref="A7:A9"/>
    <mergeCell ref="B7:C9"/>
    <mergeCell ref="D7:D9"/>
    <mergeCell ref="E7:F9"/>
    <mergeCell ref="G7:G9"/>
    <mergeCell ref="H7:I9"/>
    <mergeCell ref="J7:J9"/>
    <mergeCell ref="BN7:BO8"/>
    <mergeCell ref="BP7:BQ8"/>
    <mergeCell ref="BR7:BR8"/>
    <mergeCell ref="AB8:AC8"/>
    <mergeCell ref="AD8:AE8"/>
    <mergeCell ref="AF8:AG8"/>
    <mergeCell ref="AH8:AI8"/>
    <mergeCell ref="AJ8:AK8"/>
    <mergeCell ref="Z7:Z9"/>
    <mergeCell ref="AA7:AA9"/>
    <mergeCell ref="AB7:AD7"/>
    <mergeCell ref="AF7:AM7"/>
    <mergeCell ref="AN7:AY7"/>
    <mergeCell ref="AZ7:BE7"/>
    <mergeCell ref="AL8:AM8"/>
    <mergeCell ref="AN8:AO8"/>
    <mergeCell ref="BH8:BH9"/>
    <mergeCell ref="BI8:BI9"/>
    <mergeCell ref="BJ8:BJ9"/>
    <mergeCell ref="BK8:BK9"/>
    <mergeCell ref="BL8:BL9"/>
    <mergeCell ref="BM8:BM9"/>
    <mergeCell ref="AT8:AU8"/>
    <mergeCell ref="AV8:AW8"/>
    <mergeCell ref="AX8:AY8"/>
    <mergeCell ref="AZ8:BA8"/>
    <mergeCell ref="BB8:BC8"/>
    <mergeCell ref="BD8:BE8"/>
    <mergeCell ref="BF7:BG8"/>
    <mergeCell ref="BH7:BM7"/>
    <mergeCell ref="R7:R9"/>
    <mergeCell ref="S7:S9"/>
    <mergeCell ref="T7:T9"/>
    <mergeCell ref="U7:U9"/>
    <mergeCell ref="V7:V9"/>
    <mergeCell ref="W7:Y8"/>
    <mergeCell ref="AP8:AQ8"/>
    <mergeCell ref="AR8:AS8"/>
    <mergeCell ref="U13:U22"/>
    <mergeCell ref="V13:V14"/>
    <mergeCell ref="AA13:AA46"/>
    <mergeCell ref="AB13:AB46"/>
    <mergeCell ref="AC13:AC46"/>
    <mergeCell ref="AD13:AD46"/>
    <mergeCell ref="U23:U32"/>
    <mergeCell ref="V31:V32"/>
    <mergeCell ref="U33:U46"/>
    <mergeCell ref="V33:V34"/>
    <mergeCell ref="V35:V36"/>
    <mergeCell ref="V37:V38"/>
    <mergeCell ref="V39:V40"/>
    <mergeCell ref="V41:V42"/>
    <mergeCell ref="V43:V44"/>
    <mergeCell ref="V45:V46"/>
    <mergeCell ref="A11:C11"/>
    <mergeCell ref="J13:J22"/>
    <mergeCell ref="K13:K22"/>
    <mergeCell ref="L13:L22"/>
    <mergeCell ref="M13:M22"/>
    <mergeCell ref="N13:N22"/>
    <mergeCell ref="BB13:BB46"/>
    <mergeCell ref="AQ13:AQ46"/>
    <mergeCell ref="AR13:AR46"/>
    <mergeCell ref="AS13:AS46"/>
    <mergeCell ref="AT13:AT46"/>
    <mergeCell ref="AU13:AU46"/>
    <mergeCell ref="AV13:AV46"/>
    <mergeCell ref="AK13:AK46"/>
    <mergeCell ref="AL13:AL46"/>
    <mergeCell ref="AM13:AM46"/>
    <mergeCell ref="AN13:AN46"/>
    <mergeCell ref="AO13:AO46"/>
    <mergeCell ref="AP13:AP46"/>
    <mergeCell ref="AE13:AE46"/>
    <mergeCell ref="AF13:AF46"/>
    <mergeCell ref="AG13:AG46"/>
    <mergeCell ref="AH13:AH46"/>
    <mergeCell ref="AI13:AI46"/>
    <mergeCell ref="AJ13:AJ46"/>
    <mergeCell ref="O13:O46"/>
    <mergeCell ref="P13:P46"/>
    <mergeCell ref="Q13:Q46"/>
    <mergeCell ref="R13:R22"/>
    <mergeCell ref="S13:S46"/>
    <mergeCell ref="BO13:BO46"/>
    <mergeCell ref="BP13:BP46"/>
    <mergeCell ref="BQ13:BQ46"/>
    <mergeCell ref="BR13:BR46"/>
    <mergeCell ref="V16:V17"/>
    <mergeCell ref="V18:V19"/>
    <mergeCell ref="V23:V24"/>
    <mergeCell ref="V25:V26"/>
    <mergeCell ref="V27:V28"/>
    <mergeCell ref="V29:V30"/>
    <mergeCell ref="BI13:BI46"/>
    <mergeCell ref="BJ13:BJ46"/>
    <mergeCell ref="BK13:BK46"/>
    <mergeCell ref="BL13:BL46"/>
    <mergeCell ref="BM13:BM46"/>
    <mergeCell ref="BN13:BN46"/>
    <mergeCell ref="BC13:BC46"/>
    <mergeCell ref="BD13:BD46"/>
    <mergeCell ref="BE13:BE46"/>
    <mergeCell ref="BF13:BF46"/>
    <mergeCell ref="BG13:BG46"/>
    <mergeCell ref="BH13:BH46"/>
    <mergeCell ref="AW13:AW46"/>
    <mergeCell ref="AX13:AX46"/>
    <mergeCell ref="AY13:AY46"/>
    <mergeCell ref="AZ13:AZ46"/>
    <mergeCell ref="BA13:BA46"/>
    <mergeCell ref="T13:T46"/>
    <mergeCell ref="V49:V50"/>
    <mergeCell ref="AA49:AA54"/>
    <mergeCell ref="AB49:AB54"/>
    <mergeCell ref="AC49:AC54"/>
    <mergeCell ref="AD49:AD54"/>
    <mergeCell ref="AE49:AE54"/>
    <mergeCell ref="V52:V53"/>
    <mergeCell ref="P49:P54"/>
    <mergeCell ref="Q49:Q54"/>
    <mergeCell ref="R49:R50"/>
    <mergeCell ref="S49:S54"/>
    <mergeCell ref="T49:T54"/>
    <mergeCell ref="U49:U50"/>
    <mergeCell ref="J49:J50"/>
    <mergeCell ref="K49:K50"/>
    <mergeCell ref="L49:L50"/>
    <mergeCell ref="M49:M50"/>
    <mergeCell ref="N49:N50"/>
    <mergeCell ref="O49:O54"/>
    <mergeCell ref="J33:J46"/>
    <mergeCell ref="K33:K46"/>
    <mergeCell ref="L33:L46"/>
    <mergeCell ref="M33:M46"/>
    <mergeCell ref="N33:N46"/>
    <mergeCell ref="R33:R46"/>
    <mergeCell ref="J23:J32"/>
    <mergeCell ref="K23:K32"/>
    <mergeCell ref="L23:L32"/>
    <mergeCell ref="M23:M32"/>
    <mergeCell ref="N23:N32"/>
    <mergeCell ref="R23:R32"/>
    <mergeCell ref="AS49:AS54"/>
    <mergeCell ref="AT49:AT54"/>
    <mergeCell ref="AU49:AU54"/>
    <mergeCell ref="AV49:AV54"/>
    <mergeCell ref="AW49:AW54"/>
    <mergeCell ref="AL49:AL54"/>
    <mergeCell ref="AM49:AM54"/>
    <mergeCell ref="AN49:AN54"/>
    <mergeCell ref="AO49:AO54"/>
    <mergeCell ref="AP49:AP54"/>
    <mergeCell ref="AQ49:AQ54"/>
    <mergeCell ref="AF49:AF54"/>
    <mergeCell ref="AG49:AG54"/>
    <mergeCell ref="AH49:AH54"/>
    <mergeCell ref="AI49:AI54"/>
    <mergeCell ref="AJ49:AJ54"/>
    <mergeCell ref="AK49:AK54"/>
    <mergeCell ref="K67:K78"/>
    <mergeCell ref="L67:L78"/>
    <mergeCell ref="M67:M78"/>
    <mergeCell ref="BP49:BP54"/>
    <mergeCell ref="BQ49:BQ54"/>
    <mergeCell ref="BR49:BR54"/>
    <mergeCell ref="J51:J54"/>
    <mergeCell ref="K51:K54"/>
    <mergeCell ref="L51:L54"/>
    <mergeCell ref="M51:M54"/>
    <mergeCell ref="N51:N54"/>
    <mergeCell ref="R51:R54"/>
    <mergeCell ref="U51:U54"/>
    <mergeCell ref="BJ49:BJ54"/>
    <mergeCell ref="BK49:BK54"/>
    <mergeCell ref="BL49:BL54"/>
    <mergeCell ref="BM49:BM54"/>
    <mergeCell ref="BN49:BN54"/>
    <mergeCell ref="BO49:BO54"/>
    <mergeCell ref="BD49:BD54"/>
    <mergeCell ref="BE49:BE54"/>
    <mergeCell ref="BF49:BF54"/>
    <mergeCell ref="BG49:BG54"/>
    <mergeCell ref="BH49:BH54"/>
    <mergeCell ref="BI49:BI54"/>
    <mergeCell ref="AX49:AX54"/>
    <mergeCell ref="AY49:AY54"/>
    <mergeCell ref="AZ49:AZ54"/>
    <mergeCell ref="BA49:BA54"/>
    <mergeCell ref="BB49:BB54"/>
    <mergeCell ref="BC49:BC54"/>
    <mergeCell ref="AR49:AR54"/>
    <mergeCell ref="AV56:AV83"/>
    <mergeCell ref="AW56:AW83"/>
    <mergeCell ref="AL56:AL83"/>
    <mergeCell ref="AM56:AM83"/>
    <mergeCell ref="AN56:AN83"/>
    <mergeCell ref="AO56:AO83"/>
    <mergeCell ref="AP56:AP83"/>
    <mergeCell ref="AQ56:AQ83"/>
    <mergeCell ref="AF56:AF83"/>
    <mergeCell ref="AG56:AG83"/>
    <mergeCell ref="AH56:AH83"/>
    <mergeCell ref="AI56:AI83"/>
    <mergeCell ref="AJ56:AJ83"/>
    <mergeCell ref="AK56:AK83"/>
    <mergeCell ref="V56:V57"/>
    <mergeCell ref="AA56:AA83"/>
    <mergeCell ref="AB56:AB83"/>
    <mergeCell ref="AC56:AC83"/>
    <mergeCell ref="AD56:AD83"/>
    <mergeCell ref="AE56:AE83"/>
    <mergeCell ref="BP56:BP83"/>
    <mergeCell ref="BQ56:BQ83"/>
    <mergeCell ref="BR56:BR83"/>
    <mergeCell ref="V58:V59"/>
    <mergeCell ref="J62:J66"/>
    <mergeCell ref="K62:K66"/>
    <mergeCell ref="L62:L66"/>
    <mergeCell ref="M62:M66"/>
    <mergeCell ref="N62:N66"/>
    <mergeCell ref="R62:R66"/>
    <mergeCell ref="BJ56:BJ83"/>
    <mergeCell ref="BK56:BK83"/>
    <mergeCell ref="BL56:BL83"/>
    <mergeCell ref="BM56:BM83"/>
    <mergeCell ref="BN56:BN83"/>
    <mergeCell ref="BO56:BO83"/>
    <mergeCell ref="BD56:BD83"/>
    <mergeCell ref="BE56:BE83"/>
    <mergeCell ref="BF56:BF83"/>
    <mergeCell ref="BG56:BG83"/>
    <mergeCell ref="BH56:BH83"/>
    <mergeCell ref="BI56:BI83"/>
    <mergeCell ref="AX56:AX83"/>
    <mergeCell ref="AY56:AY83"/>
    <mergeCell ref="AZ56:AZ83"/>
    <mergeCell ref="BA56:BA83"/>
    <mergeCell ref="BB56:BB83"/>
    <mergeCell ref="BC56:BC83"/>
    <mergeCell ref="AR56:AR83"/>
    <mergeCell ref="AS56:AS83"/>
    <mergeCell ref="AT56:AT83"/>
    <mergeCell ref="AU56:AU83"/>
    <mergeCell ref="J85:J95"/>
    <mergeCell ref="K85:K95"/>
    <mergeCell ref="L85:L95"/>
    <mergeCell ref="M85:M95"/>
    <mergeCell ref="N85:N95"/>
    <mergeCell ref="O85:O105"/>
    <mergeCell ref="J101:J105"/>
    <mergeCell ref="K101:K105"/>
    <mergeCell ref="L101:L105"/>
    <mergeCell ref="M101:M105"/>
    <mergeCell ref="N67:N78"/>
    <mergeCell ref="R67:R78"/>
    <mergeCell ref="U67:U83"/>
    <mergeCell ref="J79:J83"/>
    <mergeCell ref="K79:K83"/>
    <mergeCell ref="L79:L83"/>
    <mergeCell ref="M79:M83"/>
    <mergeCell ref="N79:N83"/>
    <mergeCell ref="R79:R83"/>
    <mergeCell ref="P56:P83"/>
    <mergeCell ref="Q56:Q83"/>
    <mergeCell ref="R56:R61"/>
    <mergeCell ref="S56:S83"/>
    <mergeCell ref="T56:T83"/>
    <mergeCell ref="U56:U66"/>
    <mergeCell ref="J56:J61"/>
    <mergeCell ref="K56:K61"/>
    <mergeCell ref="L56:L61"/>
    <mergeCell ref="M56:M61"/>
    <mergeCell ref="N56:N61"/>
    <mergeCell ref="O56:O83"/>
    <mergeCell ref="J67:J78"/>
    <mergeCell ref="AF85:AF105"/>
    <mergeCell ref="AG85:AG105"/>
    <mergeCell ref="AH85:AH105"/>
    <mergeCell ref="AI85:AI105"/>
    <mergeCell ref="AJ85:AJ105"/>
    <mergeCell ref="AK85:AK105"/>
    <mergeCell ref="V85:V86"/>
    <mergeCell ref="AA85:AA105"/>
    <mergeCell ref="AB85:AB105"/>
    <mergeCell ref="AC85:AC105"/>
    <mergeCell ref="AD85:AD105"/>
    <mergeCell ref="AE85:AE105"/>
    <mergeCell ref="P85:P105"/>
    <mergeCell ref="Q85:Q105"/>
    <mergeCell ref="R85:R95"/>
    <mergeCell ref="S85:S105"/>
    <mergeCell ref="T85:T105"/>
    <mergeCell ref="U85:U95"/>
    <mergeCell ref="U96:U100"/>
    <mergeCell ref="BH85:BH105"/>
    <mergeCell ref="BI85:BI105"/>
    <mergeCell ref="AX85:AX105"/>
    <mergeCell ref="AY85:AY105"/>
    <mergeCell ref="AZ85:AZ105"/>
    <mergeCell ref="BA85:BA105"/>
    <mergeCell ref="BB85:BB105"/>
    <mergeCell ref="BC85:BC105"/>
    <mergeCell ref="AR85:AR105"/>
    <mergeCell ref="AS85:AS105"/>
    <mergeCell ref="AT85:AT105"/>
    <mergeCell ref="AU85:AU105"/>
    <mergeCell ref="AV85:AV105"/>
    <mergeCell ref="AW85:AW105"/>
    <mergeCell ref="AL85:AL105"/>
    <mergeCell ref="AM85:AM105"/>
    <mergeCell ref="AN85:AN105"/>
    <mergeCell ref="AO85:AO105"/>
    <mergeCell ref="AP85:AP105"/>
    <mergeCell ref="AQ85:AQ105"/>
    <mergeCell ref="AA107:AA119"/>
    <mergeCell ref="V118:V119"/>
    <mergeCell ref="N101:N105"/>
    <mergeCell ref="R101:R105"/>
    <mergeCell ref="U101:U105"/>
    <mergeCell ref="J107:J111"/>
    <mergeCell ref="K107:K111"/>
    <mergeCell ref="L107:L111"/>
    <mergeCell ref="M107:M111"/>
    <mergeCell ref="N107:N111"/>
    <mergeCell ref="O107:O119"/>
    <mergeCell ref="P107:P119"/>
    <mergeCell ref="BP85:BP105"/>
    <mergeCell ref="BQ85:BQ105"/>
    <mergeCell ref="BR85:BR105"/>
    <mergeCell ref="V87:V88"/>
    <mergeCell ref="J96:J100"/>
    <mergeCell ref="K96:K100"/>
    <mergeCell ref="L96:L100"/>
    <mergeCell ref="M96:M100"/>
    <mergeCell ref="N96:N100"/>
    <mergeCell ref="R96:R100"/>
    <mergeCell ref="BJ85:BJ105"/>
    <mergeCell ref="BK85:BK105"/>
    <mergeCell ref="BL85:BL105"/>
    <mergeCell ref="BM85:BM105"/>
    <mergeCell ref="BN85:BN105"/>
    <mergeCell ref="BO85:BO105"/>
    <mergeCell ref="BD85:BD105"/>
    <mergeCell ref="BE85:BE105"/>
    <mergeCell ref="BF85:BF105"/>
    <mergeCell ref="BG85:BG105"/>
    <mergeCell ref="AX107:AX119"/>
    <mergeCell ref="AY107:AY119"/>
    <mergeCell ref="AN107:AN119"/>
    <mergeCell ref="AO107:AO119"/>
    <mergeCell ref="AP107:AP119"/>
    <mergeCell ref="AQ107:AQ119"/>
    <mergeCell ref="AR107:AR119"/>
    <mergeCell ref="AS107:AS119"/>
    <mergeCell ref="AH107:AH119"/>
    <mergeCell ref="AI107:AI119"/>
    <mergeCell ref="AJ107:AJ119"/>
    <mergeCell ref="AK107:AK119"/>
    <mergeCell ref="AL107:AL119"/>
    <mergeCell ref="AM107:AM119"/>
    <mergeCell ref="AB107:AB119"/>
    <mergeCell ref="AC107:AC119"/>
    <mergeCell ref="AD107:AD119"/>
    <mergeCell ref="AE107:AE119"/>
    <mergeCell ref="AF107:AF119"/>
    <mergeCell ref="AG107:AG119"/>
    <mergeCell ref="BR107:BR119"/>
    <mergeCell ref="V108:V109"/>
    <mergeCell ref="J112:J115"/>
    <mergeCell ref="K112:K115"/>
    <mergeCell ref="L112:L115"/>
    <mergeCell ref="M112:M115"/>
    <mergeCell ref="N112:N115"/>
    <mergeCell ref="R112:R115"/>
    <mergeCell ref="U112:U115"/>
    <mergeCell ref="J116:J119"/>
    <mergeCell ref="BL107:BL119"/>
    <mergeCell ref="BM107:BM119"/>
    <mergeCell ref="BN107:BN119"/>
    <mergeCell ref="BO107:BO119"/>
    <mergeCell ref="BP107:BP119"/>
    <mergeCell ref="BQ107:BQ119"/>
    <mergeCell ref="BF107:BF119"/>
    <mergeCell ref="BG107:BG119"/>
    <mergeCell ref="BH107:BH119"/>
    <mergeCell ref="BI107:BI119"/>
    <mergeCell ref="BJ107:BJ119"/>
    <mergeCell ref="BK107:BK119"/>
    <mergeCell ref="AZ107:AZ119"/>
    <mergeCell ref="BA107:BA119"/>
    <mergeCell ref="BB107:BB119"/>
    <mergeCell ref="BC107:BC119"/>
    <mergeCell ref="BD107:BD119"/>
    <mergeCell ref="BE107:BE119"/>
    <mergeCell ref="AT107:AT119"/>
    <mergeCell ref="AU107:AU119"/>
    <mergeCell ref="AV107:AV119"/>
    <mergeCell ref="AW107:AW119"/>
    <mergeCell ref="P121:P130"/>
    <mergeCell ref="Q121:Q130"/>
    <mergeCell ref="R121:R125"/>
    <mergeCell ref="S121:S130"/>
    <mergeCell ref="T121:T130"/>
    <mergeCell ref="U121:U125"/>
    <mergeCell ref="J121:J125"/>
    <mergeCell ref="K121:K125"/>
    <mergeCell ref="L121:L125"/>
    <mergeCell ref="M121:M125"/>
    <mergeCell ref="N121:N125"/>
    <mergeCell ref="O121:O130"/>
    <mergeCell ref="K116:K119"/>
    <mergeCell ref="L116:L119"/>
    <mergeCell ref="M116:M119"/>
    <mergeCell ref="N116:N119"/>
    <mergeCell ref="R116:R119"/>
    <mergeCell ref="U116:U119"/>
    <mergeCell ref="Q107:Q119"/>
    <mergeCell ref="R107:R111"/>
    <mergeCell ref="S107:S119"/>
    <mergeCell ref="T107:T119"/>
    <mergeCell ref="U107:U111"/>
    <mergeCell ref="AT121:AT130"/>
    <mergeCell ref="AU121:AU130"/>
    <mergeCell ref="AV121:AV130"/>
    <mergeCell ref="AW121:AW130"/>
    <mergeCell ref="AX121:AX130"/>
    <mergeCell ref="AM121:AM130"/>
    <mergeCell ref="AN121:AN130"/>
    <mergeCell ref="AO121:AO130"/>
    <mergeCell ref="AP121:AP130"/>
    <mergeCell ref="AQ121:AQ130"/>
    <mergeCell ref="AR121:AR130"/>
    <mergeCell ref="AG121:AG130"/>
    <mergeCell ref="AH121:AH130"/>
    <mergeCell ref="AI121:AI130"/>
    <mergeCell ref="AJ121:AJ130"/>
    <mergeCell ref="AK121:AK130"/>
    <mergeCell ref="AL121:AL130"/>
    <mergeCell ref="P131:P154"/>
    <mergeCell ref="Q131:Q154"/>
    <mergeCell ref="R131:R146"/>
    <mergeCell ref="BQ121:BQ130"/>
    <mergeCell ref="BR121:BR130"/>
    <mergeCell ref="V124:V125"/>
    <mergeCell ref="J126:J130"/>
    <mergeCell ref="K126:K130"/>
    <mergeCell ref="L126:L130"/>
    <mergeCell ref="M126:M130"/>
    <mergeCell ref="N126:N130"/>
    <mergeCell ref="R126:R130"/>
    <mergeCell ref="U126:U130"/>
    <mergeCell ref="BK121:BK130"/>
    <mergeCell ref="BL121:BL130"/>
    <mergeCell ref="BM121:BM130"/>
    <mergeCell ref="BN121:BN130"/>
    <mergeCell ref="BO121:BO130"/>
    <mergeCell ref="BP121:BP130"/>
    <mergeCell ref="BE121:BE130"/>
    <mergeCell ref="BF121:BF130"/>
    <mergeCell ref="BG121:BG130"/>
    <mergeCell ref="BH121:BH130"/>
    <mergeCell ref="BI121:BI130"/>
    <mergeCell ref="BJ121:BJ130"/>
    <mergeCell ref="AY121:AY130"/>
    <mergeCell ref="AZ121:AZ130"/>
    <mergeCell ref="BA121:BA130"/>
    <mergeCell ref="BB121:BB130"/>
    <mergeCell ref="BC121:BC130"/>
    <mergeCell ref="BD121:BD130"/>
    <mergeCell ref="AS121:AS130"/>
    <mergeCell ref="AC131:AC154"/>
    <mergeCell ref="AD131:AD154"/>
    <mergeCell ref="AE131:AE154"/>
    <mergeCell ref="AF131:AF154"/>
    <mergeCell ref="AG131:AG154"/>
    <mergeCell ref="AH131:AH154"/>
    <mergeCell ref="S131:S154"/>
    <mergeCell ref="T131:T154"/>
    <mergeCell ref="U131:U146"/>
    <mergeCell ref="V131:V134"/>
    <mergeCell ref="AA131:AA154"/>
    <mergeCell ref="AB131:AB154"/>
    <mergeCell ref="V135:V137"/>
    <mergeCell ref="W136:W137"/>
    <mergeCell ref="Z136:Z137"/>
    <mergeCell ref="V138:V140"/>
    <mergeCell ref="V126:V127"/>
    <mergeCell ref="AA121:AA130"/>
    <mergeCell ref="AB121:AB130"/>
    <mergeCell ref="AC121:AC130"/>
    <mergeCell ref="AD121:AD130"/>
    <mergeCell ref="AE121:AE130"/>
    <mergeCell ref="AF121:AF130"/>
    <mergeCell ref="AU131:AU154"/>
    <mergeCell ref="AV131:AV154"/>
    <mergeCell ref="AW131:AW154"/>
    <mergeCell ref="AX131:AX154"/>
    <mergeCell ref="AY131:AY154"/>
    <mergeCell ref="AZ131:AZ154"/>
    <mergeCell ref="AO131:AO154"/>
    <mergeCell ref="AP131:AP154"/>
    <mergeCell ref="AQ131:AQ154"/>
    <mergeCell ref="AR131:AR154"/>
    <mergeCell ref="AS131:AS154"/>
    <mergeCell ref="AT131:AT154"/>
    <mergeCell ref="AI131:AI154"/>
    <mergeCell ref="AJ131:AJ154"/>
    <mergeCell ref="AK131:AK154"/>
    <mergeCell ref="AL131:AL154"/>
    <mergeCell ref="AM131:AM154"/>
    <mergeCell ref="AN131:AN154"/>
    <mergeCell ref="BM131:BM154"/>
    <mergeCell ref="BN131:BN154"/>
    <mergeCell ref="BO131:BO154"/>
    <mergeCell ref="BP131:BP154"/>
    <mergeCell ref="BQ131:BQ154"/>
    <mergeCell ref="BR131:BR154"/>
    <mergeCell ref="BG131:BG154"/>
    <mergeCell ref="BH131:BH154"/>
    <mergeCell ref="BI131:BI154"/>
    <mergeCell ref="BJ131:BJ154"/>
    <mergeCell ref="BK131:BK154"/>
    <mergeCell ref="BL131:BL154"/>
    <mergeCell ref="BA131:BA154"/>
    <mergeCell ref="BB131:BB154"/>
    <mergeCell ref="BC131:BC154"/>
    <mergeCell ref="BD131:BD154"/>
    <mergeCell ref="BE131:BE154"/>
    <mergeCell ref="BF131:BF154"/>
    <mergeCell ref="Q155:Q178"/>
    <mergeCell ref="R155:R178"/>
    <mergeCell ref="S155:S178"/>
    <mergeCell ref="T155:T178"/>
    <mergeCell ref="U155:U165"/>
    <mergeCell ref="V155:V157"/>
    <mergeCell ref="V147:V148"/>
    <mergeCell ref="V149:V150"/>
    <mergeCell ref="V151:V152"/>
    <mergeCell ref="V153:V154"/>
    <mergeCell ref="J155:J178"/>
    <mergeCell ref="K155:K178"/>
    <mergeCell ref="L155:L178"/>
    <mergeCell ref="M155:M178"/>
    <mergeCell ref="N155:N178"/>
    <mergeCell ref="P155:P178"/>
    <mergeCell ref="V141:V142"/>
    <mergeCell ref="V143:V144"/>
    <mergeCell ref="V145:V146"/>
    <mergeCell ref="J147:J154"/>
    <mergeCell ref="K147:K154"/>
    <mergeCell ref="L147:L154"/>
    <mergeCell ref="M147:M154"/>
    <mergeCell ref="N147:N154"/>
    <mergeCell ref="R147:R154"/>
    <mergeCell ref="U147:U154"/>
    <mergeCell ref="J131:J146"/>
    <mergeCell ref="K131:K146"/>
    <mergeCell ref="L131:L146"/>
    <mergeCell ref="M131:M146"/>
    <mergeCell ref="N131:N146"/>
    <mergeCell ref="O131:O154"/>
    <mergeCell ref="AW155:AW178"/>
    <mergeCell ref="AX155:AX178"/>
    <mergeCell ref="AM155:AM178"/>
    <mergeCell ref="AN155:AN178"/>
    <mergeCell ref="AO155:AO178"/>
    <mergeCell ref="AP155:AP178"/>
    <mergeCell ref="AQ155:AQ178"/>
    <mergeCell ref="AR155:AR178"/>
    <mergeCell ref="AG155:AG178"/>
    <mergeCell ref="AH155:AH178"/>
    <mergeCell ref="AI155:AI178"/>
    <mergeCell ref="AJ155:AJ178"/>
    <mergeCell ref="AK155:AK178"/>
    <mergeCell ref="AL155:AL178"/>
    <mergeCell ref="AA155:AA178"/>
    <mergeCell ref="AB155:AB178"/>
    <mergeCell ref="AC155:AC178"/>
    <mergeCell ref="AD155:AD178"/>
    <mergeCell ref="AE155:AE178"/>
    <mergeCell ref="AF155:AF178"/>
    <mergeCell ref="BQ155:BQ178"/>
    <mergeCell ref="BR155:BR178"/>
    <mergeCell ref="V158:V161"/>
    <mergeCell ref="V163:V165"/>
    <mergeCell ref="U166:U171"/>
    <mergeCell ref="V166:V168"/>
    <mergeCell ref="V169:V171"/>
    <mergeCell ref="U172:U178"/>
    <mergeCell ref="V173:V175"/>
    <mergeCell ref="V176:V178"/>
    <mergeCell ref="BK155:BK178"/>
    <mergeCell ref="BL155:BL178"/>
    <mergeCell ref="BM155:BM178"/>
    <mergeCell ref="BN155:BN178"/>
    <mergeCell ref="BO155:BO178"/>
    <mergeCell ref="BP155:BP178"/>
    <mergeCell ref="BE155:BE178"/>
    <mergeCell ref="BF155:BF178"/>
    <mergeCell ref="BG155:BG178"/>
    <mergeCell ref="BH155:BH178"/>
    <mergeCell ref="BI155:BI178"/>
    <mergeCell ref="BJ155:BJ178"/>
    <mergeCell ref="AY155:AY178"/>
    <mergeCell ref="AZ155:AZ178"/>
    <mergeCell ref="BA155:BA178"/>
    <mergeCell ref="BB155:BB178"/>
    <mergeCell ref="BC155:BC178"/>
    <mergeCell ref="BD155:BD178"/>
    <mergeCell ref="AS155:AS178"/>
    <mergeCell ref="AT155:AT178"/>
    <mergeCell ref="AU155:AU178"/>
    <mergeCell ref="AV155:AV178"/>
    <mergeCell ref="V180:V181"/>
    <mergeCell ref="AA180:AA188"/>
    <mergeCell ref="AB180:AB188"/>
    <mergeCell ref="AC180:AC188"/>
    <mergeCell ref="AD180:AD188"/>
    <mergeCell ref="AE180:AE188"/>
    <mergeCell ref="V184:V185"/>
    <mergeCell ref="P180:P188"/>
    <mergeCell ref="Q180:Q188"/>
    <mergeCell ref="R180:R183"/>
    <mergeCell ref="S180:S188"/>
    <mergeCell ref="T180:T188"/>
    <mergeCell ref="U180:U183"/>
    <mergeCell ref="J180:J183"/>
    <mergeCell ref="K180:K183"/>
    <mergeCell ref="L180:L183"/>
    <mergeCell ref="M180:M183"/>
    <mergeCell ref="N180:N183"/>
    <mergeCell ref="O180:O188"/>
    <mergeCell ref="BB180:BB188"/>
    <mergeCell ref="BC180:BC188"/>
    <mergeCell ref="AR180:AR188"/>
    <mergeCell ref="AS180:AS188"/>
    <mergeCell ref="AT180:AT188"/>
    <mergeCell ref="AU180:AU188"/>
    <mergeCell ref="AV180:AV188"/>
    <mergeCell ref="AW180:AW188"/>
    <mergeCell ref="AL180:AL188"/>
    <mergeCell ref="AM180:AM188"/>
    <mergeCell ref="AN180:AN188"/>
    <mergeCell ref="AO180:AO188"/>
    <mergeCell ref="AP180:AP188"/>
    <mergeCell ref="AQ180:AQ188"/>
    <mergeCell ref="AF180:AF188"/>
    <mergeCell ref="AG180:AG188"/>
    <mergeCell ref="AH180:AH188"/>
    <mergeCell ref="AI180:AI188"/>
    <mergeCell ref="AJ180:AJ188"/>
    <mergeCell ref="AK180:AK188"/>
    <mergeCell ref="J190:J195"/>
    <mergeCell ref="K190:K195"/>
    <mergeCell ref="L190:L195"/>
    <mergeCell ref="M190:M195"/>
    <mergeCell ref="N190:N195"/>
    <mergeCell ref="O190:O200"/>
    <mergeCell ref="BP180:BP188"/>
    <mergeCell ref="BQ180:BQ188"/>
    <mergeCell ref="BR180:BR188"/>
    <mergeCell ref="J184:J188"/>
    <mergeCell ref="K184:K188"/>
    <mergeCell ref="L184:L188"/>
    <mergeCell ref="M184:M188"/>
    <mergeCell ref="N184:N188"/>
    <mergeCell ref="R184:R188"/>
    <mergeCell ref="U184:U188"/>
    <mergeCell ref="BJ180:BJ188"/>
    <mergeCell ref="BK180:BK188"/>
    <mergeCell ref="BL180:BL188"/>
    <mergeCell ref="BM180:BM188"/>
    <mergeCell ref="BN180:BN188"/>
    <mergeCell ref="BO180:BO188"/>
    <mergeCell ref="BD180:BD188"/>
    <mergeCell ref="BE180:BE188"/>
    <mergeCell ref="BF180:BF188"/>
    <mergeCell ref="BG180:BG188"/>
    <mergeCell ref="BH180:BH188"/>
    <mergeCell ref="BI180:BI188"/>
    <mergeCell ref="AX180:AX188"/>
    <mergeCell ref="AY180:AY188"/>
    <mergeCell ref="AZ180:AZ188"/>
    <mergeCell ref="BA180:BA188"/>
    <mergeCell ref="AG190:AG200"/>
    <mergeCell ref="AH190:AH200"/>
    <mergeCell ref="AI190:AI200"/>
    <mergeCell ref="AJ190:AJ200"/>
    <mergeCell ref="AK190:AK200"/>
    <mergeCell ref="AL190:AL200"/>
    <mergeCell ref="AA190:AA200"/>
    <mergeCell ref="AB190:AB200"/>
    <mergeCell ref="AC190:AC200"/>
    <mergeCell ref="AD190:AD200"/>
    <mergeCell ref="AE190:AE200"/>
    <mergeCell ref="AF190:AF200"/>
    <mergeCell ref="P190:P200"/>
    <mergeCell ref="Q190:Q200"/>
    <mergeCell ref="R190:R195"/>
    <mergeCell ref="S190:S200"/>
    <mergeCell ref="T190:T200"/>
    <mergeCell ref="U190:U195"/>
    <mergeCell ref="AZ190:AZ200"/>
    <mergeCell ref="BA190:BA200"/>
    <mergeCell ref="BB190:BB200"/>
    <mergeCell ref="BC190:BC200"/>
    <mergeCell ref="BD190:BD200"/>
    <mergeCell ref="AS190:AS200"/>
    <mergeCell ref="AT190:AT200"/>
    <mergeCell ref="AU190:AU200"/>
    <mergeCell ref="AV190:AV200"/>
    <mergeCell ref="AW190:AW200"/>
    <mergeCell ref="AX190:AX200"/>
    <mergeCell ref="AM190:AM200"/>
    <mergeCell ref="AN190:AN200"/>
    <mergeCell ref="AO190:AO200"/>
    <mergeCell ref="AP190:AP200"/>
    <mergeCell ref="AQ190:AQ200"/>
    <mergeCell ref="AR190:AR200"/>
    <mergeCell ref="J202:J206"/>
    <mergeCell ref="K202:K206"/>
    <mergeCell ref="L202:L206"/>
    <mergeCell ref="M202:M206"/>
    <mergeCell ref="N202:N206"/>
    <mergeCell ref="P202:P216"/>
    <mergeCell ref="J209:J216"/>
    <mergeCell ref="K209:K216"/>
    <mergeCell ref="L209:L216"/>
    <mergeCell ref="M209:M216"/>
    <mergeCell ref="BQ190:BQ200"/>
    <mergeCell ref="BR190:BR200"/>
    <mergeCell ref="J196:J200"/>
    <mergeCell ref="K196:K200"/>
    <mergeCell ref="L196:L200"/>
    <mergeCell ref="M196:M200"/>
    <mergeCell ref="N196:N200"/>
    <mergeCell ref="R196:R200"/>
    <mergeCell ref="U196:U200"/>
    <mergeCell ref="BK190:BK200"/>
    <mergeCell ref="BL190:BL200"/>
    <mergeCell ref="BM190:BM200"/>
    <mergeCell ref="BN190:BN200"/>
    <mergeCell ref="BO190:BO200"/>
    <mergeCell ref="BP190:BP200"/>
    <mergeCell ref="BE190:BE200"/>
    <mergeCell ref="BF190:BF200"/>
    <mergeCell ref="BG190:BG200"/>
    <mergeCell ref="BH190:BH200"/>
    <mergeCell ref="BI190:BI200"/>
    <mergeCell ref="BJ190:BJ200"/>
    <mergeCell ref="AY190:AY200"/>
    <mergeCell ref="AH202:AH216"/>
    <mergeCell ref="AI202:AI216"/>
    <mergeCell ref="AJ202:AJ216"/>
    <mergeCell ref="AK202:AK216"/>
    <mergeCell ref="AL202:AL216"/>
    <mergeCell ref="AM202:AM216"/>
    <mergeCell ref="AB202:AB216"/>
    <mergeCell ref="AC202:AC216"/>
    <mergeCell ref="AD202:AD216"/>
    <mergeCell ref="AE202:AE216"/>
    <mergeCell ref="AF202:AF216"/>
    <mergeCell ref="AG202:AG216"/>
    <mergeCell ref="Q202:Q216"/>
    <mergeCell ref="R202:R206"/>
    <mergeCell ref="S202:S216"/>
    <mergeCell ref="T202:T216"/>
    <mergeCell ref="U202:U206"/>
    <mergeCell ref="AA202:AA216"/>
    <mergeCell ref="AZ202:AZ216"/>
    <mergeCell ref="BA202:BA216"/>
    <mergeCell ref="BB202:BB216"/>
    <mergeCell ref="BC202:BC216"/>
    <mergeCell ref="BD202:BD216"/>
    <mergeCell ref="BE202:BE216"/>
    <mergeCell ref="AT202:AT216"/>
    <mergeCell ref="AU202:AU216"/>
    <mergeCell ref="AV202:AV216"/>
    <mergeCell ref="AW202:AW216"/>
    <mergeCell ref="AX202:AX216"/>
    <mergeCell ref="AY202:AY216"/>
    <mergeCell ref="AN202:AN216"/>
    <mergeCell ref="AO202:AO216"/>
    <mergeCell ref="AP202:AP216"/>
    <mergeCell ref="AQ202:AQ216"/>
    <mergeCell ref="AR202:AR216"/>
    <mergeCell ref="AS202:AS216"/>
    <mergeCell ref="N209:N216"/>
    <mergeCell ref="R209:R216"/>
    <mergeCell ref="V210:V211"/>
    <mergeCell ref="J218:J224"/>
    <mergeCell ref="K218:K224"/>
    <mergeCell ref="L218:L224"/>
    <mergeCell ref="M218:M224"/>
    <mergeCell ref="N218:N224"/>
    <mergeCell ref="O218:O248"/>
    <mergeCell ref="P218:P248"/>
    <mergeCell ref="BR202:BR216"/>
    <mergeCell ref="V203:V205"/>
    <mergeCell ref="J207:J208"/>
    <mergeCell ref="K207:K208"/>
    <mergeCell ref="L207:L208"/>
    <mergeCell ref="M207:M208"/>
    <mergeCell ref="N207:N208"/>
    <mergeCell ref="R207:R208"/>
    <mergeCell ref="U207:U216"/>
    <mergeCell ref="V207:V208"/>
    <mergeCell ref="BL202:BL216"/>
    <mergeCell ref="BM202:BM216"/>
    <mergeCell ref="BN202:BN216"/>
    <mergeCell ref="BO202:BO216"/>
    <mergeCell ref="BP202:BP216"/>
    <mergeCell ref="BQ202:BQ216"/>
    <mergeCell ref="BF202:BF216"/>
    <mergeCell ref="BG202:BG216"/>
    <mergeCell ref="BH202:BH216"/>
    <mergeCell ref="BI202:BI216"/>
    <mergeCell ref="BJ202:BJ216"/>
    <mergeCell ref="BK202:BK216"/>
    <mergeCell ref="AH218:AH248"/>
    <mergeCell ref="AI218:AI248"/>
    <mergeCell ref="AJ218:AJ248"/>
    <mergeCell ref="AK218:AK248"/>
    <mergeCell ref="AL218:AL248"/>
    <mergeCell ref="AM218:AM248"/>
    <mergeCell ref="AB218:AB248"/>
    <mergeCell ref="AC218:AC248"/>
    <mergeCell ref="AD218:AD248"/>
    <mergeCell ref="AE218:AE248"/>
    <mergeCell ref="AF218:AF248"/>
    <mergeCell ref="AG218:AG248"/>
    <mergeCell ref="Q218:Q248"/>
    <mergeCell ref="R218:R224"/>
    <mergeCell ref="S218:S248"/>
    <mergeCell ref="T218:T248"/>
    <mergeCell ref="U218:U224"/>
    <mergeCell ref="AA218:AA248"/>
    <mergeCell ref="U234:U240"/>
    <mergeCell ref="V237:V238"/>
    <mergeCell ref="U241:U248"/>
    <mergeCell ref="BJ218:BJ248"/>
    <mergeCell ref="BK218:BK248"/>
    <mergeCell ref="AZ218:AZ248"/>
    <mergeCell ref="BA218:BA248"/>
    <mergeCell ref="BB218:BB248"/>
    <mergeCell ref="BC218:BC248"/>
    <mergeCell ref="BD218:BD248"/>
    <mergeCell ref="BE218:BE248"/>
    <mergeCell ref="AT218:AT248"/>
    <mergeCell ref="AU218:AU248"/>
    <mergeCell ref="AV218:AV248"/>
    <mergeCell ref="AW218:AW248"/>
    <mergeCell ref="AX218:AX248"/>
    <mergeCell ref="AY218:AY248"/>
    <mergeCell ref="AN218:AN248"/>
    <mergeCell ref="AO218:AO248"/>
    <mergeCell ref="AP218:AP248"/>
    <mergeCell ref="AQ218:AQ248"/>
    <mergeCell ref="AR218:AR248"/>
    <mergeCell ref="AS218:AS248"/>
    <mergeCell ref="J241:J248"/>
    <mergeCell ref="K241:K248"/>
    <mergeCell ref="L241:L248"/>
    <mergeCell ref="M241:M248"/>
    <mergeCell ref="N241:N248"/>
    <mergeCell ref="R241:R248"/>
    <mergeCell ref="J234:J240"/>
    <mergeCell ref="K234:K240"/>
    <mergeCell ref="L234:L240"/>
    <mergeCell ref="M234:M240"/>
    <mergeCell ref="N234:N240"/>
    <mergeCell ref="R234:R240"/>
    <mergeCell ref="BR218:BR248"/>
    <mergeCell ref="V223:V224"/>
    <mergeCell ref="J225:J233"/>
    <mergeCell ref="K225:K233"/>
    <mergeCell ref="L225:L233"/>
    <mergeCell ref="M225:M233"/>
    <mergeCell ref="N225:N233"/>
    <mergeCell ref="R225:R233"/>
    <mergeCell ref="U225:U233"/>
    <mergeCell ref="V227:V228"/>
    <mergeCell ref="BL218:BL248"/>
    <mergeCell ref="BM218:BM248"/>
    <mergeCell ref="BN218:BN248"/>
    <mergeCell ref="BO218:BO248"/>
    <mergeCell ref="BP218:BP248"/>
    <mergeCell ref="BQ218:BQ248"/>
    <mergeCell ref="BF218:BF248"/>
    <mergeCell ref="BG218:BG248"/>
    <mergeCell ref="BH218:BH248"/>
    <mergeCell ref="BI218:BI248"/>
    <mergeCell ref="V250:V251"/>
    <mergeCell ref="AA250:AA257"/>
    <mergeCell ref="AB250:AB257"/>
    <mergeCell ref="AC250:AC257"/>
    <mergeCell ref="AD250:AD257"/>
    <mergeCell ref="AE250:AE257"/>
    <mergeCell ref="P250:P257"/>
    <mergeCell ref="Q250:Q257"/>
    <mergeCell ref="R250:R256"/>
    <mergeCell ref="S250:S257"/>
    <mergeCell ref="T250:T257"/>
    <mergeCell ref="U250:U256"/>
    <mergeCell ref="J250:J256"/>
    <mergeCell ref="K250:K256"/>
    <mergeCell ref="L250:L256"/>
    <mergeCell ref="M250:M256"/>
    <mergeCell ref="N250:N256"/>
    <mergeCell ref="O250:O257"/>
    <mergeCell ref="BB250:BB257"/>
    <mergeCell ref="BC250:BC257"/>
    <mergeCell ref="AR250:AR257"/>
    <mergeCell ref="AS250:AS257"/>
    <mergeCell ref="AT250:AT257"/>
    <mergeCell ref="AU250:AU257"/>
    <mergeCell ref="AV250:AV257"/>
    <mergeCell ref="AW250:AW257"/>
    <mergeCell ref="AL250:AL257"/>
    <mergeCell ref="AM250:AM257"/>
    <mergeCell ref="AN250:AN257"/>
    <mergeCell ref="AO250:AO257"/>
    <mergeCell ref="AP250:AP257"/>
    <mergeCell ref="AQ250:AQ257"/>
    <mergeCell ref="AF250:AF257"/>
    <mergeCell ref="AG250:AG257"/>
    <mergeCell ref="AH250:AH257"/>
    <mergeCell ref="AI250:AI257"/>
    <mergeCell ref="AJ250:AJ257"/>
    <mergeCell ref="AK250:AK257"/>
    <mergeCell ref="O259:O273"/>
    <mergeCell ref="P259:P273"/>
    <mergeCell ref="Q259:Q273"/>
    <mergeCell ref="R259:R273"/>
    <mergeCell ref="S259:S273"/>
    <mergeCell ref="T259:T273"/>
    <mergeCell ref="BP250:BP257"/>
    <mergeCell ref="BQ250:BQ257"/>
    <mergeCell ref="BR250:BR257"/>
    <mergeCell ref="V252:V253"/>
    <mergeCell ref="V255:V256"/>
    <mergeCell ref="J259:J273"/>
    <mergeCell ref="K259:K273"/>
    <mergeCell ref="L259:L273"/>
    <mergeCell ref="M259:M273"/>
    <mergeCell ref="N259:N273"/>
    <mergeCell ref="BJ250:BJ257"/>
    <mergeCell ref="BK250:BK257"/>
    <mergeCell ref="BL250:BL257"/>
    <mergeCell ref="BM250:BM257"/>
    <mergeCell ref="BN250:BN257"/>
    <mergeCell ref="BO250:BO257"/>
    <mergeCell ref="BD250:BD257"/>
    <mergeCell ref="BE250:BE257"/>
    <mergeCell ref="BF250:BF257"/>
    <mergeCell ref="BG250:BG257"/>
    <mergeCell ref="BH250:BH257"/>
    <mergeCell ref="BI250:BI257"/>
    <mergeCell ref="AX250:AX257"/>
    <mergeCell ref="AY250:AY257"/>
    <mergeCell ref="AZ250:AZ257"/>
    <mergeCell ref="BA250:BA257"/>
    <mergeCell ref="AV259:AV273"/>
    <mergeCell ref="AK259:AK273"/>
    <mergeCell ref="AL259:AL273"/>
    <mergeCell ref="AM259:AM273"/>
    <mergeCell ref="AN259:AN273"/>
    <mergeCell ref="AO259:AO273"/>
    <mergeCell ref="AP259:AP273"/>
    <mergeCell ref="AE259:AE273"/>
    <mergeCell ref="AF259:AF273"/>
    <mergeCell ref="AG259:AG273"/>
    <mergeCell ref="AH259:AH273"/>
    <mergeCell ref="AI259:AI273"/>
    <mergeCell ref="AJ259:AJ273"/>
    <mergeCell ref="U259:U264"/>
    <mergeCell ref="V259:V262"/>
    <mergeCell ref="AA259:AA273"/>
    <mergeCell ref="AB259:AB273"/>
    <mergeCell ref="AC259:AC273"/>
    <mergeCell ref="AD259:AD273"/>
    <mergeCell ref="BO259:BO273"/>
    <mergeCell ref="BP259:BP273"/>
    <mergeCell ref="BQ259:BQ273"/>
    <mergeCell ref="BR259:BR273"/>
    <mergeCell ref="V263:V264"/>
    <mergeCell ref="U265:U271"/>
    <mergeCell ref="V268:V271"/>
    <mergeCell ref="U272:U273"/>
    <mergeCell ref="V272:V273"/>
    <mergeCell ref="BI259:BI273"/>
    <mergeCell ref="BJ259:BJ273"/>
    <mergeCell ref="BK259:BK273"/>
    <mergeCell ref="BL259:BL273"/>
    <mergeCell ref="BM259:BM273"/>
    <mergeCell ref="BN259:BN273"/>
    <mergeCell ref="BC259:BC273"/>
    <mergeCell ref="BD259:BD273"/>
    <mergeCell ref="BE259:BE273"/>
    <mergeCell ref="BF259:BF273"/>
    <mergeCell ref="BG259:BG273"/>
    <mergeCell ref="BH259:BH273"/>
    <mergeCell ref="AW259:AW273"/>
    <mergeCell ref="AX259:AX273"/>
    <mergeCell ref="AY259:AY273"/>
    <mergeCell ref="AZ259:AZ273"/>
    <mergeCell ref="BA259:BA273"/>
    <mergeCell ref="BB259:BB273"/>
    <mergeCell ref="AQ259:AQ273"/>
    <mergeCell ref="AR259:AR273"/>
    <mergeCell ref="AS259:AS273"/>
    <mergeCell ref="AT259:AT273"/>
    <mergeCell ref="AU259:AU273"/>
    <mergeCell ref="AW274:AW285"/>
    <mergeCell ref="AX274:AX285"/>
    <mergeCell ref="AM274:AM285"/>
    <mergeCell ref="AN274:AN285"/>
    <mergeCell ref="AO274:AO285"/>
    <mergeCell ref="AP274:AP285"/>
    <mergeCell ref="AQ274:AQ285"/>
    <mergeCell ref="AR274:AR285"/>
    <mergeCell ref="AG274:AG285"/>
    <mergeCell ref="AH274:AH285"/>
    <mergeCell ref="AI274:AI285"/>
    <mergeCell ref="AJ274:AJ285"/>
    <mergeCell ref="AK274:AK285"/>
    <mergeCell ref="AL274:AL285"/>
    <mergeCell ref="AA274:AA285"/>
    <mergeCell ref="AB274:AB285"/>
    <mergeCell ref="AC274:AC285"/>
    <mergeCell ref="AD274:AD285"/>
    <mergeCell ref="AE274:AE285"/>
    <mergeCell ref="AF274:AF285"/>
    <mergeCell ref="BQ274:BQ285"/>
    <mergeCell ref="BR274:BR285"/>
    <mergeCell ref="V275:V276"/>
    <mergeCell ref="V277:V278"/>
    <mergeCell ref="J280:J285"/>
    <mergeCell ref="K280:K285"/>
    <mergeCell ref="L280:L285"/>
    <mergeCell ref="M280:M285"/>
    <mergeCell ref="N280:N285"/>
    <mergeCell ref="R280:R285"/>
    <mergeCell ref="BK274:BK285"/>
    <mergeCell ref="BL274:BL285"/>
    <mergeCell ref="BM274:BM285"/>
    <mergeCell ref="BN274:BN285"/>
    <mergeCell ref="BO274:BO285"/>
    <mergeCell ref="BP274:BP285"/>
    <mergeCell ref="BE274:BE285"/>
    <mergeCell ref="BF274:BF285"/>
    <mergeCell ref="BG274:BG285"/>
    <mergeCell ref="BH274:BH285"/>
    <mergeCell ref="BI274:BI285"/>
    <mergeCell ref="BJ274:BJ285"/>
    <mergeCell ref="AY274:AY285"/>
    <mergeCell ref="AZ274:AZ285"/>
    <mergeCell ref="BA274:BA285"/>
    <mergeCell ref="BB274:BB285"/>
    <mergeCell ref="BC274:BC285"/>
    <mergeCell ref="BD274:BD285"/>
    <mergeCell ref="AS274:AS285"/>
    <mergeCell ref="AT274:AT285"/>
    <mergeCell ref="AU274:AU285"/>
    <mergeCell ref="AV274:AV285"/>
    <mergeCell ref="Q288:Q298"/>
    <mergeCell ref="R288:R289"/>
    <mergeCell ref="S288:S298"/>
    <mergeCell ref="T288:T298"/>
    <mergeCell ref="U288:U289"/>
    <mergeCell ref="AA288:AA289"/>
    <mergeCell ref="V291:V293"/>
    <mergeCell ref="V282:V283"/>
    <mergeCell ref="D287:F298"/>
    <mergeCell ref="G288:I289"/>
    <mergeCell ref="J288:J289"/>
    <mergeCell ref="K288:K289"/>
    <mergeCell ref="L288:L289"/>
    <mergeCell ref="M288:M289"/>
    <mergeCell ref="N288:N289"/>
    <mergeCell ref="O288:O289"/>
    <mergeCell ref="P288:P298"/>
    <mergeCell ref="P274:P285"/>
    <mergeCell ref="Q274:Q285"/>
    <mergeCell ref="R274:R279"/>
    <mergeCell ref="S274:S285"/>
    <mergeCell ref="T274:T285"/>
    <mergeCell ref="U274:U279"/>
    <mergeCell ref="U280:U285"/>
    <mergeCell ref="J274:J279"/>
    <mergeCell ref="K274:K279"/>
    <mergeCell ref="L274:L279"/>
    <mergeCell ref="M274:M279"/>
    <mergeCell ref="N274:N279"/>
    <mergeCell ref="O274:O285"/>
    <mergeCell ref="O295:O298"/>
    <mergeCell ref="R295:R298"/>
    <mergeCell ref="AN288:AN298"/>
    <mergeCell ref="AO288:AO298"/>
    <mergeCell ref="AP288:AP298"/>
    <mergeCell ref="AQ288:AQ298"/>
    <mergeCell ref="AR288:AR298"/>
    <mergeCell ref="AS288:AS298"/>
    <mergeCell ref="AH288:AH298"/>
    <mergeCell ref="AI288:AI298"/>
    <mergeCell ref="AJ288:AJ298"/>
    <mergeCell ref="AK288:AK298"/>
    <mergeCell ref="AL288:AL298"/>
    <mergeCell ref="AM288:AM298"/>
    <mergeCell ref="AB288:AB298"/>
    <mergeCell ref="AC288:AC298"/>
    <mergeCell ref="AD288:AD298"/>
    <mergeCell ref="AE288:AE298"/>
    <mergeCell ref="AF288:AF298"/>
    <mergeCell ref="AG288:AG298"/>
    <mergeCell ref="BF288:BF298"/>
    <mergeCell ref="BG288:BG298"/>
    <mergeCell ref="BH288:BH298"/>
    <mergeCell ref="BI288:BI298"/>
    <mergeCell ref="BJ288:BJ298"/>
    <mergeCell ref="BK288:BK298"/>
    <mergeCell ref="AZ288:AZ298"/>
    <mergeCell ref="BA288:BA298"/>
    <mergeCell ref="BB288:BB298"/>
    <mergeCell ref="BC288:BC298"/>
    <mergeCell ref="BD288:BD298"/>
    <mergeCell ref="BE288:BE298"/>
    <mergeCell ref="AT288:AT298"/>
    <mergeCell ref="AU288:AU298"/>
    <mergeCell ref="AV288:AV298"/>
    <mergeCell ref="AW288:AW298"/>
    <mergeCell ref="AX288:AX298"/>
    <mergeCell ref="AY288:AY298"/>
    <mergeCell ref="U295:U298"/>
    <mergeCell ref="V295:V296"/>
    <mergeCell ref="V297:V298"/>
    <mergeCell ref="O301:O316"/>
    <mergeCell ref="P301:P316"/>
    <mergeCell ref="Q301:Q316"/>
    <mergeCell ref="S301:S316"/>
    <mergeCell ref="T301:T316"/>
    <mergeCell ref="G295:I298"/>
    <mergeCell ref="J295:J298"/>
    <mergeCell ref="K295:K298"/>
    <mergeCell ref="L295:L298"/>
    <mergeCell ref="M295:M298"/>
    <mergeCell ref="N295:N298"/>
    <mergeCell ref="BR288:BR298"/>
    <mergeCell ref="G291:I293"/>
    <mergeCell ref="J291:J293"/>
    <mergeCell ref="K291:K293"/>
    <mergeCell ref="L291:L293"/>
    <mergeCell ref="M291:M293"/>
    <mergeCell ref="N291:N293"/>
    <mergeCell ref="O291:O293"/>
    <mergeCell ref="R291:R293"/>
    <mergeCell ref="U291:U293"/>
    <mergeCell ref="BL288:BL298"/>
    <mergeCell ref="BM288:BM298"/>
    <mergeCell ref="BN288:BN298"/>
    <mergeCell ref="BO288:BO298"/>
    <mergeCell ref="BP288:BP298"/>
    <mergeCell ref="BQ288:BQ298"/>
    <mergeCell ref="AN301:AN316"/>
    <mergeCell ref="AO301:AO316"/>
    <mergeCell ref="AP301:AP316"/>
    <mergeCell ref="AQ301:AQ316"/>
    <mergeCell ref="AR301:AR316"/>
    <mergeCell ref="AS301:AS316"/>
    <mergeCell ref="AH301:AH316"/>
    <mergeCell ref="AI301:AI316"/>
    <mergeCell ref="AJ301:AJ316"/>
    <mergeCell ref="AK301:AK316"/>
    <mergeCell ref="AL301:AL316"/>
    <mergeCell ref="AM301:AM316"/>
    <mergeCell ref="AB301:AB316"/>
    <mergeCell ref="AC301:AC316"/>
    <mergeCell ref="AD301:AD316"/>
    <mergeCell ref="AE301:AE316"/>
    <mergeCell ref="AF301:AF316"/>
    <mergeCell ref="AG301:AG316"/>
    <mergeCell ref="BF301:BF316"/>
    <mergeCell ref="BG301:BG316"/>
    <mergeCell ref="BH301:BH316"/>
    <mergeCell ref="BI301:BI316"/>
    <mergeCell ref="BJ301:BJ316"/>
    <mergeCell ref="BK301:BK316"/>
    <mergeCell ref="AZ301:AZ316"/>
    <mergeCell ref="BA301:BA316"/>
    <mergeCell ref="BB301:BB316"/>
    <mergeCell ref="BC301:BC316"/>
    <mergeCell ref="BD301:BD316"/>
    <mergeCell ref="BE301:BE316"/>
    <mergeCell ref="AT301:AT316"/>
    <mergeCell ref="AU301:AU316"/>
    <mergeCell ref="AV301:AV316"/>
    <mergeCell ref="AW301:AW316"/>
    <mergeCell ref="AX301:AX316"/>
    <mergeCell ref="AY301:AY316"/>
    <mergeCell ref="AF317:BD317"/>
    <mergeCell ref="J318:J320"/>
    <mergeCell ref="K318:K320"/>
    <mergeCell ref="L318:L320"/>
    <mergeCell ref="M318:M320"/>
    <mergeCell ref="N318:N320"/>
    <mergeCell ref="O318:O320"/>
    <mergeCell ref="P318:P320"/>
    <mergeCell ref="Q318:Q320"/>
    <mergeCell ref="R318:R320"/>
    <mergeCell ref="K315:K316"/>
    <mergeCell ref="L315:L316"/>
    <mergeCell ref="M315:M316"/>
    <mergeCell ref="N315:N316"/>
    <mergeCell ref="R315:R316"/>
    <mergeCell ref="U315:U316"/>
    <mergeCell ref="BR301:BR316"/>
    <mergeCell ref="J302:J314"/>
    <mergeCell ref="K302:K314"/>
    <mergeCell ref="L302:L314"/>
    <mergeCell ref="M302:M314"/>
    <mergeCell ref="N302:N314"/>
    <mergeCell ref="R302:R314"/>
    <mergeCell ref="U302:U314"/>
    <mergeCell ref="V302:V314"/>
    <mergeCell ref="J315:J316"/>
    <mergeCell ref="BL301:BL316"/>
    <mergeCell ref="BM301:BM316"/>
    <mergeCell ref="BN301:BN316"/>
    <mergeCell ref="BO301:BO316"/>
    <mergeCell ref="BP301:BP316"/>
    <mergeCell ref="BQ301:BQ316"/>
    <mergeCell ref="J322:J324"/>
    <mergeCell ref="K322:K324"/>
    <mergeCell ref="L322:L324"/>
    <mergeCell ref="M322:M324"/>
    <mergeCell ref="N322:N324"/>
    <mergeCell ref="BI318:BI320"/>
    <mergeCell ref="BJ318:BJ320"/>
    <mergeCell ref="BK318:BK320"/>
    <mergeCell ref="BL318:BL320"/>
    <mergeCell ref="BM318:BM320"/>
    <mergeCell ref="BN318:BN320"/>
    <mergeCell ref="BC318:BC320"/>
    <mergeCell ref="BD318:BD320"/>
    <mergeCell ref="BE318:BE320"/>
    <mergeCell ref="BF318:BF320"/>
    <mergeCell ref="BG318:BG320"/>
    <mergeCell ref="BH318:BH320"/>
    <mergeCell ref="AW318:AW320"/>
    <mergeCell ref="AX318:AX320"/>
    <mergeCell ref="AY318:AY320"/>
    <mergeCell ref="AZ318:AZ320"/>
    <mergeCell ref="BA318:BA320"/>
    <mergeCell ref="BB318:BB320"/>
    <mergeCell ref="AQ318:AQ320"/>
    <mergeCell ref="AR318:AR320"/>
    <mergeCell ref="AS318:AS320"/>
    <mergeCell ref="AT318:AT320"/>
    <mergeCell ref="AU318:AU320"/>
    <mergeCell ref="AV318:AV320"/>
    <mergeCell ref="AK318:AK320"/>
    <mergeCell ref="AL318:AL320"/>
    <mergeCell ref="AM318:AM320"/>
    <mergeCell ref="U322:U324"/>
    <mergeCell ref="AB322:AB326"/>
    <mergeCell ref="AC322:AC326"/>
    <mergeCell ref="AD322:AD326"/>
    <mergeCell ref="AE322:AE326"/>
    <mergeCell ref="AF322:AF326"/>
    <mergeCell ref="O322:O326"/>
    <mergeCell ref="P322:P326"/>
    <mergeCell ref="Q322:Q326"/>
    <mergeCell ref="R322:R324"/>
    <mergeCell ref="S322:S326"/>
    <mergeCell ref="T322:T326"/>
    <mergeCell ref="BO318:BO320"/>
    <mergeCell ref="BP318:BP320"/>
    <mergeCell ref="BQ318:BQ320"/>
    <mergeCell ref="BR318:BR320"/>
    <mergeCell ref="AF321:BD321"/>
    <mergeCell ref="AN318:AN320"/>
    <mergeCell ref="AO318:AO320"/>
    <mergeCell ref="AP318:AP320"/>
    <mergeCell ref="AE318:AE320"/>
    <mergeCell ref="AF318:AF320"/>
    <mergeCell ref="AG318:AG320"/>
    <mergeCell ref="AH318:AH320"/>
    <mergeCell ref="AI318:AI320"/>
    <mergeCell ref="AJ318:AJ320"/>
    <mergeCell ref="S318:S320"/>
    <mergeCell ref="T318:T320"/>
    <mergeCell ref="AA318:AA320"/>
    <mergeCell ref="AB318:AB320"/>
    <mergeCell ref="AC318:AC320"/>
    <mergeCell ref="AD318:AD320"/>
    <mergeCell ref="BD322:BD326"/>
    <mergeCell ref="AS322:AS326"/>
    <mergeCell ref="AT322:AT326"/>
    <mergeCell ref="AU322:AU326"/>
    <mergeCell ref="AV322:AV326"/>
    <mergeCell ref="AW322:AW326"/>
    <mergeCell ref="AX322:AX326"/>
    <mergeCell ref="AM322:AM326"/>
    <mergeCell ref="AN322:AN326"/>
    <mergeCell ref="AO322:AO326"/>
    <mergeCell ref="AP322:AP326"/>
    <mergeCell ref="AQ322:AQ326"/>
    <mergeCell ref="AR322:AR326"/>
    <mergeCell ref="AG322:AG326"/>
    <mergeCell ref="AH322:AH326"/>
    <mergeCell ref="AI322:AI326"/>
    <mergeCell ref="AJ322:AJ326"/>
    <mergeCell ref="AK322:AK326"/>
    <mergeCell ref="AL322:AL326"/>
    <mergeCell ref="J327:J334"/>
    <mergeCell ref="K327:K334"/>
    <mergeCell ref="L327:L334"/>
    <mergeCell ref="M327:M334"/>
    <mergeCell ref="N327:N334"/>
    <mergeCell ref="O327:O334"/>
    <mergeCell ref="BQ322:BQ326"/>
    <mergeCell ref="BR322:BR326"/>
    <mergeCell ref="J325:J326"/>
    <mergeCell ref="K325:K326"/>
    <mergeCell ref="L325:L326"/>
    <mergeCell ref="M325:M326"/>
    <mergeCell ref="N325:N326"/>
    <mergeCell ref="R325:R326"/>
    <mergeCell ref="U325:U326"/>
    <mergeCell ref="BK322:BK326"/>
    <mergeCell ref="BL322:BL326"/>
    <mergeCell ref="BM322:BM326"/>
    <mergeCell ref="BN322:BN326"/>
    <mergeCell ref="BO322:BO326"/>
    <mergeCell ref="BP322:BP326"/>
    <mergeCell ref="BE322:BE326"/>
    <mergeCell ref="BF322:BF326"/>
    <mergeCell ref="BG322:BG326"/>
    <mergeCell ref="BH322:BH326"/>
    <mergeCell ref="BI322:BI326"/>
    <mergeCell ref="BJ322:BJ326"/>
    <mergeCell ref="AY322:AY326"/>
    <mergeCell ref="AZ322:AZ326"/>
    <mergeCell ref="BA322:BA326"/>
    <mergeCell ref="BB322:BB326"/>
    <mergeCell ref="BC322:BC326"/>
    <mergeCell ref="AG327:AG334"/>
    <mergeCell ref="AH327:AH334"/>
    <mergeCell ref="AI327:AI334"/>
    <mergeCell ref="AJ327:AJ334"/>
    <mergeCell ref="AK327:AK334"/>
    <mergeCell ref="AL327:AL334"/>
    <mergeCell ref="V327:V328"/>
    <mergeCell ref="AB327:AB334"/>
    <mergeCell ref="AC327:AC334"/>
    <mergeCell ref="AD327:AD334"/>
    <mergeCell ref="AE327:AE334"/>
    <mergeCell ref="AF327:AF334"/>
    <mergeCell ref="P327:P334"/>
    <mergeCell ref="Q327:Q334"/>
    <mergeCell ref="R327:R334"/>
    <mergeCell ref="S327:S334"/>
    <mergeCell ref="T327:T334"/>
    <mergeCell ref="U327:U333"/>
    <mergeCell ref="BH327:BH334"/>
    <mergeCell ref="BI327:BI334"/>
    <mergeCell ref="BJ327:BJ334"/>
    <mergeCell ref="AY327:AY334"/>
    <mergeCell ref="AZ327:AZ334"/>
    <mergeCell ref="BA327:BA334"/>
    <mergeCell ref="BB327:BB334"/>
    <mergeCell ref="BC327:BC334"/>
    <mergeCell ref="BD327:BD334"/>
    <mergeCell ref="AS327:AS334"/>
    <mergeCell ref="AT327:AT334"/>
    <mergeCell ref="AU327:AU334"/>
    <mergeCell ref="AV327:AV334"/>
    <mergeCell ref="AW327:AW334"/>
    <mergeCell ref="AX327:AX334"/>
    <mergeCell ref="AM327:AM334"/>
    <mergeCell ref="AN327:AN334"/>
    <mergeCell ref="AO327:AO334"/>
    <mergeCell ref="AP327:AP334"/>
    <mergeCell ref="AQ327:AQ334"/>
    <mergeCell ref="AR327:AR334"/>
    <mergeCell ref="AF336:AF345"/>
    <mergeCell ref="AG336:AG345"/>
    <mergeCell ref="AH336:AH345"/>
    <mergeCell ref="Q336:Q345"/>
    <mergeCell ref="R336:R344"/>
    <mergeCell ref="S336:S345"/>
    <mergeCell ref="T336:T345"/>
    <mergeCell ref="U336:U339"/>
    <mergeCell ref="AB336:AB345"/>
    <mergeCell ref="V338:V339"/>
    <mergeCell ref="U340:U341"/>
    <mergeCell ref="V340:V341"/>
    <mergeCell ref="U342:U344"/>
    <mergeCell ref="BQ327:BQ334"/>
    <mergeCell ref="BR327:BR334"/>
    <mergeCell ref="V330:V331"/>
    <mergeCell ref="J336:J344"/>
    <mergeCell ref="K336:K344"/>
    <mergeCell ref="L336:L344"/>
    <mergeCell ref="M336:M344"/>
    <mergeCell ref="N336:N344"/>
    <mergeCell ref="O336:O345"/>
    <mergeCell ref="P336:P345"/>
    <mergeCell ref="BK327:BK334"/>
    <mergeCell ref="BL327:BL334"/>
    <mergeCell ref="BM327:BM334"/>
    <mergeCell ref="BN327:BN334"/>
    <mergeCell ref="BO327:BO334"/>
    <mergeCell ref="BP327:BP334"/>
    <mergeCell ref="BE327:BE334"/>
    <mergeCell ref="BF327:BF334"/>
    <mergeCell ref="BG327:BG334"/>
    <mergeCell ref="BR336:BR345"/>
    <mergeCell ref="BG336:BG345"/>
    <mergeCell ref="BH336:BH345"/>
    <mergeCell ref="BI336:BI345"/>
    <mergeCell ref="BJ336:BJ345"/>
    <mergeCell ref="BK336:BK345"/>
    <mergeCell ref="BL336:BL345"/>
    <mergeCell ref="BA336:BA345"/>
    <mergeCell ref="BB336:BB345"/>
    <mergeCell ref="BC336:BC345"/>
    <mergeCell ref="BD336:BD345"/>
    <mergeCell ref="BE336:BE345"/>
    <mergeCell ref="BF336:BF345"/>
    <mergeCell ref="AU336:AU345"/>
    <mergeCell ref="AV336:AV345"/>
    <mergeCell ref="AW336:AW345"/>
    <mergeCell ref="AX336:AX345"/>
    <mergeCell ref="AY336:AY345"/>
    <mergeCell ref="AZ336:AZ345"/>
    <mergeCell ref="P347:P351"/>
    <mergeCell ref="Q347:Q351"/>
    <mergeCell ref="R347:R350"/>
    <mergeCell ref="S347:S351"/>
    <mergeCell ref="T347:T351"/>
    <mergeCell ref="U347:U350"/>
    <mergeCell ref="J347:J349"/>
    <mergeCell ref="K347:K349"/>
    <mergeCell ref="L347:L349"/>
    <mergeCell ref="M347:M349"/>
    <mergeCell ref="N347:N350"/>
    <mergeCell ref="O347:O351"/>
    <mergeCell ref="BM336:BM345"/>
    <mergeCell ref="BN336:BN345"/>
    <mergeCell ref="BO336:BO345"/>
    <mergeCell ref="BP336:BP345"/>
    <mergeCell ref="BQ336:BQ345"/>
    <mergeCell ref="AO336:AO345"/>
    <mergeCell ref="AP336:AP345"/>
    <mergeCell ref="AQ336:AQ345"/>
    <mergeCell ref="AR336:AR345"/>
    <mergeCell ref="AS336:AS345"/>
    <mergeCell ref="AT336:AT345"/>
    <mergeCell ref="AI336:AI345"/>
    <mergeCell ref="AJ336:AJ345"/>
    <mergeCell ref="AK336:AK345"/>
    <mergeCell ref="AL336:AL345"/>
    <mergeCell ref="AM336:AM345"/>
    <mergeCell ref="AN336:AN345"/>
    <mergeCell ref="AC336:AC345"/>
    <mergeCell ref="AD336:AD345"/>
    <mergeCell ref="AE336:AE345"/>
    <mergeCell ref="AX347:AX351"/>
    <mergeCell ref="AY347:AY351"/>
    <mergeCell ref="AN347:AN351"/>
    <mergeCell ref="AO347:AO351"/>
    <mergeCell ref="AP347:AP351"/>
    <mergeCell ref="AQ347:AQ351"/>
    <mergeCell ref="AR347:AR351"/>
    <mergeCell ref="AS347:AS351"/>
    <mergeCell ref="AH347:AH351"/>
    <mergeCell ref="AI347:AI351"/>
    <mergeCell ref="AJ347:AJ351"/>
    <mergeCell ref="AK347:AK351"/>
    <mergeCell ref="AL347:AL351"/>
    <mergeCell ref="AM347:AM351"/>
    <mergeCell ref="AB347:AB351"/>
    <mergeCell ref="AC347:AC351"/>
    <mergeCell ref="AD347:AD351"/>
    <mergeCell ref="AE347:AE351"/>
    <mergeCell ref="AF347:AF351"/>
    <mergeCell ref="AG347:AG351"/>
    <mergeCell ref="BR347:BR351"/>
    <mergeCell ref="V349:V350"/>
    <mergeCell ref="O354:O360"/>
    <mergeCell ref="P354:P360"/>
    <mergeCell ref="Q354:Q360"/>
    <mergeCell ref="S354:S360"/>
    <mergeCell ref="T354:T360"/>
    <mergeCell ref="AB354:AB360"/>
    <mergeCell ref="AC354:AC360"/>
    <mergeCell ref="AD354:AD360"/>
    <mergeCell ref="BL347:BL351"/>
    <mergeCell ref="BM347:BM351"/>
    <mergeCell ref="BN347:BN351"/>
    <mergeCell ref="BO347:BO351"/>
    <mergeCell ref="BP347:BP351"/>
    <mergeCell ref="BQ347:BQ351"/>
    <mergeCell ref="BF347:BF351"/>
    <mergeCell ref="BG347:BG351"/>
    <mergeCell ref="BH347:BH351"/>
    <mergeCell ref="BI347:BI351"/>
    <mergeCell ref="BJ347:BJ351"/>
    <mergeCell ref="BK347:BK351"/>
    <mergeCell ref="AZ347:AZ351"/>
    <mergeCell ref="BA347:BA351"/>
    <mergeCell ref="BB347:BB351"/>
    <mergeCell ref="BC347:BC351"/>
    <mergeCell ref="BD347:BD351"/>
    <mergeCell ref="BE347:BE351"/>
    <mergeCell ref="AT347:AT351"/>
    <mergeCell ref="AU347:AU351"/>
    <mergeCell ref="AV347:AV351"/>
    <mergeCell ref="AW347:AW351"/>
    <mergeCell ref="BA354:BA360"/>
    <mergeCell ref="BB354:BB360"/>
    <mergeCell ref="AQ354:AQ360"/>
    <mergeCell ref="AR354:AR360"/>
    <mergeCell ref="AS354:AS360"/>
    <mergeCell ref="AT354:AT360"/>
    <mergeCell ref="AU354:AU360"/>
    <mergeCell ref="AV354:AV360"/>
    <mergeCell ref="AK354:AK360"/>
    <mergeCell ref="AL354:AL360"/>
    <mergeCell ref="AM354:AM360"/>
    <mergeCell ref="AN354:AN360"/>
    <mergeCell ref="AO354:AO360"/>
    <mergeCell ref="AP354:AP360"/>
    <mergeCell ref="AE354:AE360"/>
    <mergeCell ref="AF354:AF360"/>
    <mergeCell ref="AG354:AG360"/>
    <mergeCell ref="AH354:AH360"/>
    <mergeCell ref="AI354:AI360"/>
    <mergeCell ref="AJ354:AJ360"/>
    <mergeCell ref="U355:U357"/>
    <mergeCell ref="U358:U359"/>
    <mergeCell ref="A361:R361"/>
    <mergeCell ref="K363:R363"/>
    <mergeCell ref="K365:M365"/>
    <mergeCell ref="K366:M366"/>
    <mergeCell ref="BO354:BO360"/>
    <mergeCell ref="BP354:BP360"/>
    <mergeCell ref="BQ354:BQ360"/>
    <mergeCell ref="BR354:BR360"/>
    <mergeCell ref="J355:J359"/>
    <mergeCell ref="K355:K359"/>
    <mergeCell ref="L355:L359"/>
    <mergeCell ref="M355:M359"/>
    <mergeCell ref="N355:N359"/>
    <mergeCell ref="R355:R359"/>
    <mergeCell ref="BI354:BI360"/>
    <mergeCell ref="BJ354:BJ360"/>
    <mergeCell ref="BK354:BK360"/>
    <mergeCell ref="BL354:BL360"/>
    <mergeCell ref="BM354:BM360"/>
    <mergeCell ref="BN354:BN360"/>
    <mergeCell ref="BC354:BC360"/>
    <mergeCell ref="BD354:BD360"/>
    <mergeCell ref="BE354:BE360"/>
    <mergeCell ref="BF354:BF360"/>
    <mergeCell ref="BG354:BG360"/>
    <mergeCell ref="BH354:BH360"/>
    <mergeCell ref="AW354:AW360"/>
    <mergeCell ref="AX354:AX360"/>
    <mergeCell ref="AY354:AY360"/>
    <mergeCell ref="AZ354:AZ36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2"/>
  <sheetViews>
    <sheetView showGridLines="0" zoomScale="70" zoomScaleNormal="70" workbookViewId="0">
      <selection sqref="A1:BP4"/>
    </sheetView>
  </sheetViews>
  <sheetFormatPr baseColWidth="10" defaultColWidth="11.42578125" defaultRowHeight="15" x14ac:dyDescent="0.2"/>
  <cols>
    <col min="1" max="1" width="11.85546875" style="134" customWidth="1"/>
    <col min="2" max="2" width="6" style="134" customWidth="1"/>
    <col min="3" max="3" width="10.42578125" style="134" customWidth="1"/>
    <col min="4" max="4" width="13.28515625" style="134" customWidth="1"/>
    <col min="5" max="5" width="5.85546875" style="134" customWidth="1"/>
    <col min="6" max="6" width="11" style="134" customWidth="1"/>
    <col min="7" max="7" width="13.7109375" style="134" customWidth="1"/>
    <col min="8" max="8" width="6.5703125" style="134" customWidth="1"/>
    <col min="9" max="9" width="16.85546875" style="134" customWidth="1"/>
    <col min="10" max="10" width="11" style="253" customWidth="1"/>
    <col min="11" max="11" width="29" style="253" customWidth="1"/>
    <col min="12" max="12" width="19.42578125" style="253" customWidth="1"/>
    <col min="13" max="13" width="11.85546875" style="253" customWidth="1"/>
    <col min="14" max="14" width="10.42578125" style="253" customWidth="1"/>
    <col min="15" max="15" width="33" style="253" customWidth="1"/>
    <col min="16" max="16" width="20.42578125" style="253" customWidth="1"/>
    <col min="17" max="17" width="27.28515625" style="253" customWidth="1"/>
    <col min="18" max="18" width="13.28515625" style="254" customWidth="1"/>
    <col min="19" max="19" width="22.7109375" style="253" customWidth="1"/>
    <col min="20" max="20" width="35.5703125" style="253" customWidth="1"/>
    <col min="21" max="21" width="36.5703125" style="253" customWidth="1"/>
    <col min="22" max="22" width="30.5703125" style="253" customWidth="1"/>
    <col min="23" max="23" width="22" style="134" customWidth="1"/>
    <col min="24" max="24" width="25.7109375" style="134" customWidth="1"/>
    <col min="25" max="25" width="22" style="134" customWidth="1"/>
    <col min="26" max="26" width="11.7109375" style="134" customWidth="1"/>
    <col min="27" max="27" width="34.7109375" style="134" bestFit="1" customWidth="1"/>
    <col min="28" max="28" width="11" style="134" bestFit="1" customWidth="1"/>
    <col min="29" max="29" width="11" style="134" customWidth="1"/>
    <col min="30" max="30" width="11" style="134" bestFit="1" customWidth="1"/>
    <col min="31" max="31" width="11" style="134" customWidth="1"/>
    <col min="32" max="32" width="9.5703125" style="134" bestFit="1" customWidth="1"/>
    <col min="33" max="33" width="9.5703125" style="134" customWidth="1"/>
    <col min="34" max="34" width="8.7109375" style="134" bestFit="1" customWidth="1"/>
    <col min="35" max="35" width="8.7109375" style="134" customWidth="1"/>
    <col min="36" max="37" width="9.5703125" style="134" customWidth="1"/>
    <col min="38" max="38" width="9" style="134" bestFit="1" customWidth="1"/>
    <col min="39" max="39" width="9" style="134" customWidth="1"/>
    <col min="40" max="40" width="7.28515625" style="134" bestFit="1" customWidth="1"/>
    <col min="41" max="41" width="7.28515625" style="134" customWidth="1"/>
    <col min="42" max="42" width="8.28515625" style="134" bestFit="1" customWidth="1"/>
    <col min="43" max="43" width="8.28515625" style="134" customWidth="1"/>
    <col min="44" max="51" width="6.42578125" style="134" customWidth="1"/>
    <col min="52" max="52" width="8.7109375" style="134" bestFit="1" customWidth="1"/>
    <col min="53" max="53" width="8.7109375" style="134" customWidth="1"/>
    <col min="54" max="54" width="9" style="134" bestFit="1" customWidth="1"/>
    <col min="55" max="55" width="9" style="134" customWidth="1"/>
    <col min="56" max="56" width="9" style="134" bestFit="1" customWidth="1"/>
    <col min="57" max="57" width="9" style="134" customWidth="1"/>
    <col min="58" max="58" width="9.85546875" style="134" customWidth="1"/>
    <col min="59" max="59" width="14" style="134" customWidth="1"/>
    <col min="60" max="60" width="16" style="134" customWidth="1"/>
    <col min="61" max="61" width="23" style="134" customWidth="1"/>
    <col min="62" max="62" width="23.85546875" style="134" customWidth="1"/>
    <col min="63" max="63" width="14.5703125" style="134" customWidth="1"/>
    <col min="64" max="64" width="18.42578125" style="134" customWidth="1"/>
    <col min="65" max="65" width="27" style="134" customWidth="1"/>
    <col min="66" max="66" width="12.28515625" style="134" customWidth="1"/>
    <col min="67" max="67" width="18" style="134" customWidth="1"/>
    <col min="68" max="68" width="15.140625" style="134" customWidth="1"/>
    <col min="69" max="69" width="19" style="134" customWidth="1"/>
    <col min="70" max="70" width="30.5703125" style="134" customWidth="1"/>
    <col min="71" max="71" width="22.5703125" style="134" customWidth="1"/>
    <col min="72" max="16384" width="11.42578125" style="134"/>
  </cols>
  <sheetData>
    <row r="1" spans="1:71" ht="30.75" customHeight="1" x14ac:dyDescent="0.2">
      <c r="A1" s="2963" t="s">
        <v>2353</v>
      </c>
      <c r="B1" s="2964"/>
      <c r="C1" s="2964"/>
      <c r="D1" s="2964"/>
      <c r="E1" s="2964"/>
      <c r="F1" s="2964"/>
      <c r="G1" s="2964"/>
      <c r="H1" s="2964"/>
      <c r="I1" s="2964"/>
      <c r="J1" s="2964"/>
      <c r="K1" s="2964"/>
      <c r="L1" s="2964"/>
      <c r="M1" s="2964"/>
      <c r="N1" s="2964"/>
      <c r="O1" s="2964"/>
      <c r="P1" s="2964"/>
      <c r="Q1" s="2964"/>
      <c r="R1" s="2964"/>
      <c r="S1" s="2964"/>
      <c r="T1" s="2964"/>
      <c r="U1" s="2964"/>
      <c r="V1" s="2964"/>
      <c r="W1" s="2964"/>
      <c r="X1" s="2964"/>
      <c r="Y1" s="2964"/>
      <c r="Z1" s="2964"/>
      <c r="AA1" s="2964"/>
      <c r="AB1" s="2964"/>
      <c r="AC1" s="2964"/>
      <c r="AD1" s="2964"/>
      <c r="AE1" s="2964"/>
      <c r="AF1" s="2964"/>
      <c r="AG1" s="2964"/>
      <c r="AH1" s="2964"/>
      <c r="AI1" s="2964"/>
      <c r="AJ1" s="2964"/>
      <c r="AK1" s="2964"/>
      <c r="AL1" s="2964"/>
      <c r="AM1" s="2964"/>
      <c r="AN1" s="2964"/>
      <c r="AO1" s="2964"/>
      <c r="AP1" s="2964"/>
      <c r="AQ1" s="2964"/>
      <c r="AR1" s="2964"/>
      <c r="AS1" s="2964"/>
      <c r="AT1" s="2964"/>
      <c r="AU1" s="2964"/>
      <c r="AV1" s="2964"/>
      <c r="AW1" s="2964"/>
      <c r="AX1" s="2964"/>
      <c r="AY1" s="2964"/>
      <c r="AZ1" s="2964"/>
      <c r="BA1" s="2964"/>
      <c r="BB1" s="2964"/>
      <c r="BC1" s="2964"/>
      <c r="BD1" s="2964"/>
      <c r="BE1" s="2964"/>
      <c r="BF1" s="2964"/>
      <c r="BG1" s="2964"/>
      <c r="BH1" s="2964"/>
      <c r="BI1" s="2964"/>
      <c r="BJ1" s="2964"/>
      <c r="BK1" s="2964"/>
      <c r="BL1" s="2964"/>
      <c r="BM1" s="2964"/>
      <c r="BN1" s="2964"/>
      <c r="BO1" s="2964"/>
      <c r="BP1" s="5311"/>
      <c r="BQ1" s="515" t="s">
        <v>0</v>
      </c>
      <c r="BR1" s="542" t="s">
        <v>1</v>
      </c>
    </row>
    <row r="2" spans="1:71" ht="18" customHeight="1" x14ac:dyDescent="0.2">
      <c r="A2" s="2965"/>
      <c r="B2" s="2966"/>
      <c r="C2" s="2966"/>
      <c r="D2" s="2966"/>
      <c r="E2" s="2966"/>
      <c r="F2" s="2966"/>
      <c r="G2" s="2966"/>
      <c r="H2" s="2966"/>
      <c r="I2" s="2966"/>
      <c r="J2" s="2966"/>
      <c r="K2" s="2966"/>
      <c r="L2" s="2966"/>
      <c r="M2" s="2966"/>
      <c r="N2" s="2966"/>
      <c r="O2" s="2966"/>
      <c r="P2" s="2966"/>
      <c r="Q2" s="2966"/>
      <c r="R2" s="2966"/>
      <c r="S2" s="2966"/>
      <c r="T2" s="2966"/>
      <c r="U2" s="2966"/>
      <c r="V2" s="2966"/>
      <c r="W2" s="2966"/>
      <c r="X2" s="2966"/>
      <c r="Y2" s="2966"/>
      <c r="Z2" s="2966"/>
      <c r="AA2" s="2966"/>
      <c r="AB2" s="2966"/>
      <c r="AC2" s="2966"/>
      <c r="AD2" s="2966"/>
      <c r="AE2" s="2966"/>
      <c r="AF2" s="2966"/>
      <c r="AG2" s="2966"/>
      <c r="AH2" s="2966"/>
      <c r="AI2" s="2966"/>
      <c r="AJ2" s="2966"/>
      <c r="AK2" s="2966"/>
      <c r="AL2" s="2966"/>
      <c r="AM2" s="2966"/>
      <c r="AN2" s="2966"/>
      <c r="AO2" s="2966"/>
      <c r="AP2" s="2966"/>
      <c r="AQ2" s="2966"/>
      <c r="AR2" s="2966"/>
      <c r="AS2" s="2966"/>
      <c r="AT2" s="2966"/>
      <c r="AU2" s="2966"/>
      <c r="AV2" s="2966"/>
      <c r="AW2" s="2966"/>
      <c r="AX2" s="2966"/>
      <c r="AY2" s="2966"/>
      <c r="AZ2" s="2966"/>
      <c r="BA2" s="2966"/>
      <c r="BB2" s="2966"/>
      <c r="BC2" s="2966"/>
      <c r="BD2" s="2966"/>
      <c r="BE2" s="2966"/>
      <c r="BF2" s="2966"/>
      <c r="BG2" s="2966"/>
      <c r="BH2" s="2966"/>
      <c r="BI2" s="2966"/>
      <c r="BJ2" s="2966"/>
      <c r="BK2" s="2966"/>
      <c r="BL2" s="2966"/>
      <c r="BM2" s="2966"/>
      <c r="BN2" s="2966"/>
      <c r="BO2" s="2966"/>
      <c r="BP2" s="5312"/>
      <c r="BQ2" s="133" t="s">
        <v>2</v>
      </c>
      <c r="BR2" s="543">
        <v>6</v>
      </c>
    </row>
    <row r="3" spans="1:71" ht="18" customHeight="1" x14ac:dyDescent="0.2">
      <c r="A3" s="2965"/>
      <c r="B3" s="2966"/>
      <c r="C3" s="2966"/>
      <c r="D3" s="2966"/>
      <c r="E3" s="2966"/>
      <c r="F3" s="2966"/>
      <c r="G3" s="2966"/>
      <c r="H3" s="2966"/>
      <c r="I3" s="2966"/>
      <c r="J3" s="2966"/>
      <c r="K3" s="2966"/>
      <c r="L3" s="2966"/>
      <c r="M3" s="2966"/>
      <c r="N3" s="2966"/>
      <c r="O3" s="2966"/>
      <c r="P3" s="2966"/>
      <c r="Q3" s="2966"/>
      <c r="R3" s="2966"/>
      <c r="S3" s="2966"/>
      <c r="T3" s="2966"/>
      <c r="U3" s="2966"/>
      <c r="V3" s="2966"/>
      <c r="W3" s="2966"/>
      <c r="X3" s="2966"/>
      <c r="Y3" s="2966"/>
      <c r="Z3" s="2966"/>
      <c r="AA3" s="2966"/>
      <c r="AB3" s="2966"/>
      <c r="AC3" s="2966"/>
      <c r="AD3" s="2966"/>
      <c r="AE3" s="2966"/>
      <c r="AF3" s="2966"/>
      <c r="AG3" s="2966"/>
      <c r="AH3" s="2966"/>
      <c r="AI3" s="2966"/>
      <c r="AJ3" s="2966"/>
      <c r="AK3" s="2966"/>
      <c r="AL3" s="2966"/>
      <c r="AM3" s="2966"/>
      <c r="AN3" s="2966"/>
      <c r="AO3" s="2966"/>
      <c r="AP3" s="2966"/>
      <c r="AQ3" s="2966"/>
      <c r="AR3" s="2966"/>
      <c r="AS3" s="2966"/>
      <c r="AT3" s="2966"/>
      <c r="AU3" s="2966"/>
      <c r="AV3" s="2966"/>
      <c r="AW3" s="2966"/>
      <c r="AX3" s="2966"/>
      <c r="AY3" s="2966"/>
      <c r="AZ3" s="2966"/>
      <c r="BA3" s="2966"/>
      <c r="BB3" s="2966"/>
      <c r="BC3" s="2966"/>
      <c r="BD3" s="2966"/>
      <c r="BE3" s="2966"/>
      <c r="BF3" s="2966"/>
      <c r="BG3" s="2966"/>
      <c r="BH3" s="2966"/>
      <c r="BI3" s="2966"/>
      <c r="BJ3" s="2966"/>
      <c r="BK3" s="2966"/>
      <c r="BL3" s="2966"/>
      <c r="BM3" s="2966"/>
      <c r="BN3" s="2966"/>
      <c r="BO3" s="2966"/>
      <c r="BP3" s="5312"/>
      <c r="BQ3" s="132" t="s">
        <v>3</v>
      </c>
      <c r="BR3" s="544" t="s">
        <v>4</v>
      </c>
    </row>
    <row r="4" spans="1:71" ht="20.25" customHeight="1" x14ac:dyDescent="0.2">
      <c r="A4" s="2967"/>
      <c r="B4" s="2968"/>
      <c r="C4" s="2968"/>
      <c r="D4" s="2968"/>
      <c r="E4" s="2968"/>
      <c r="F4" s="2968"/>
      <c r="G4" s="2968"/>
      <c r="H4" s="2968"/>
      <c r="I4" s="2968"/>
      <c r="J4" s="2968"/>
      <c r="K4" s="2968"/>
      <c r="L4" s="2968"/>
      <c r="M4" s="2968"/>
      <c r="N4" s="2968"/>
      <c r="O4" s="2968"/>
      <c r="P4" s="2968"/>
      <c r="Q4" s="2968"/>
      <c r="R4" s="2968"/>
      <c r="S4" s="2968"/>
      <c r="T4" s="2968"/>
      <c r="U4" s="2968"/>
      <c r="V4" s="2968"/>
      <c r="W4" s="2968"/>
      <c r="X4" s="2968"/>
      <c r="Y4" s="2968"/>
      <c r="Z4" s="2968"/>
      <c r="AA4" s="2968"/>
      <c r="AB4" s="2968"/>
      <c r="AC4" s="2968"/>
      <c r="AD4" s="2968"/>
      <c r="AE4" s="2968"/>
      <c r="AF4" s="2968"/>
      <c r="AG4" s="2968"/>
      <c r="AH4" s="2968"/>
      <c r="AI4" s="2968"/>
      <c r="AJ4" s="2968"/>
      <c r="AK4" s="2968"/>
      <c r="AL4" s="2968"/>
      <c r="AM4" s="2968"/>
      <c r="AN4" s="2968"/>
      <c r="AO4" s="2968"/>
      <c r="AP4" s="2968"/>
      <c r="AQ4" s="2968"/>
      <c r="AR4" s="2968"/>
      <c r="AS4" s="2968"/>
      <c r="AT4" s="2968"/>
      <c r="AU4" s="2968"/>
      <c r="AV4" s="2968"/>
      <c r="AW4" s="2968"/>
      <c r="AX4" s="2968"/>
      <c r="AY4" s="2968"/>
      <c r="AZ4" s="2968"/>
      <c r="BA4" s="2968"/>
      <c r="BB4" s="2968"/>
      <c r="BC4" s="2968"/>
      <c r="BD4" s="2968"/>
      <c r="BE4" s="2968"/>
      <c r="BF4" s="2968"/>
      <c r="BG4" s="2968"/>
      <c r="BH4" s="2968"/>
      <c r="BI4" s="2968"/>
      <c r="BJ4" s="2968"/>
      <c r="BK4" s="2968"/>
      <c r="BL4" s="2968"/>
      <c r="BM4" s="2968"/>
      <c r="BN4" s="2968"/>
      <c r="BO4" s="2968"/>
      <c r="BP4" s="5313"/>
      <c r="BQ4" s="132" t="s">
        <v>5</v>
      </c>
      <c r="BR4" s="521" t="s">
        <v>6</v>
      </c>
    </row>
    <row r="5" spans="1:71" ht="15.75" customHeight="1" x14ac:dyDescent="0.2">
      <c r="A5" s="2969" t="s">
        <v>7</v>
      </c>
      <c r="B5" s="2970"/>
      <c r="C5" s="2970"/>
      <c r="D5" s="2970"/>
      <c r="E5" s="2970"/>
      <c r="F5" s="2970"/>
      <c r="G5" s="2970"/>
      <c r="H5" s="2970"/>
      <c r="I5" s="2970"/>
      <c r="J5" s="2970"/>
      <c r="K5" s="2970"/>
      <c r="L5" s="2970"/>
      <c r="M5" s="2970"/>
      <c r="N5" s="472"/>
      <c r="O5" s="2973" t="s">
        <v>8</v>
      </c>
      <c r="P5" s="2973"/>
      <c r="Q5" s="2973"/>
      <c r="R5" s="2973"/>
      <c r="S5" s="2973"/>
      <c r="T5" s="2973"/>
      <c r="U5" s="2973"/>
      <c r="V5" s="2973"/>
      <c r="W5" s="2973"/>
      <c r="X5" s="2973"/>
      <c r="Y5" s="2973"/>
      <c r="Z5" s="2973"/>
      <c r="AA5" s="2973"/>
      <c r="AB5" s="2973"/>
      <c r="AC5" s="2973"/>
      <c r="AD5" s="2973"/>
      <c r="AE5" s="2973"/>
      <c r="AF5" s="2973"/>
      <c r="AG5" s="2973"/>
      <c r="AH5" s="2973"/>
      <c r="AI5" s="2973"/>
      <c r="AJ5" s="2973"/>
      <c r="AK5" s="2973"/>
      <c r="AL5" s="2973"/>
      <c r="AM5" s="2973"/>
      <c r="AN5" s="2973"/>
      <c r="AO5" s="2973"/>
      <c r="AP5" s="2973"/>
      <c r="AQ5" s="2973"/>
      <c r="AR5" s="2973"/>
      <c r="AS5" s="2973"/>
      <c r="AT5" s="2973"/>
      <c r="AU5" s="2973"/>
      <c r="AV5" s="2973"/>
      <c r="AW5" s="2973"/>
      <c r="AX5" s="2973"/>
      <c r="AY5" s="2973"/>
      <c r="AZ5" s="2973"/>
      <c r="BA5" s="2973"/>
      <c r="BB5" s="2973"/>
      <c r="BC5" s="2973"/>
      <c r="BD5" s="2973"/>
      <c r="BE5" s="2973"/>
      <c r="BF5" s="2973"/>
      <c r="BG5" s="2973"/>
      <c r="BH5" s="2973"/>
      <c r="BI5" s="2973"/>
      <c r="BJ5" s="2973"/>
      <c r="BK5" s="2973"/>
      <c r="BL5" s="2973"/>
      <c r="BM5" s="2973"/>
      <c r="BN5" s="2973"/>
      <c r="BO5" s="2973"/>
      <c r="BP5" s="5314"/>
      <c r="BQ5" s="2973"/>
      <c r="BR5" s="2974"/>
    </row>
    <row r="6" spans="1:71" ht="16.5" thickBot="1" x14ac:dyDescent="0.25">
      <c r="A6" s="2971"/>
      <c r="B6" s="2972"/>
      <c r="C6" s="2972"/>
      <c r="D6" s="2972"/>
      <c r="E6" s="2972"/>
      <c r="F6" s="2972"/>
      <c r="G6" s="2972"/>
      <c r="H6" s="2972"/>
      <c r="I6" s="2972"/>
      <c r="J6" s="2972"/>
      <c r="K6" s="2972"/>
      <c r="L6" s="2972"/>
      <c r="M6" s="2972"/>
      <c r="N6" s="473"/>
      <c r="O6" s="135"/>
      <c r="P6" s="136"/>
      <c r="Q6" s="136"/>
      <c r="R6" s="137"/>
      <c r="S6" s="136"/>
      <c r="T6" s="136"/>
      <c r="U6" s="136"/>
      <c r="V6" s="136"/>
      <c r="W6" s="138"/>
      <c r="X6" s="138"/>
      <c r="Y6" s="138"/>
      <c r="Z6" s="138"/>
      <c r="AA6" s="138"/>
      <c r="AB6" s="2975" t="s">
        <v>107</v>
      </c>
      <c r="AC6" s="2972"/>
      <c r="AD6" s="2972"/>
      <c r="AE6" s="2972"/>
      <c r="AF6" s="2972"/>
      <c r="AG6" s="2972"/>
      <c r="AH6" s="2972"/>
      <c r="AI6" s="2972"/>
      <c r="AJ6" s="2972"/>
      <c r="AK6" s="2972"/>
      <c r="AL6" s="2972"/>
      <c r="AM6" s="2972"/>
      <c r="AN6" s="2972"/>
      <c r="AO6" s="2972"/>
      <c r="AP6" s="2972"/>
      <c r="AQ6" s="2972"/>
      <c r="AR6" s="2972"/>
      <c r="AS6" s="2972"/>
      <c r="AT6" s="2972"/>
      <c r="AU6" s="2972"/>
      <c r="AV6" s="2972"/>
      <c r="AW6" s="2972"/>
      <c r="AX6" s="2972"/>
      <c r="AY6" s="2972"/>
      <c r="AZ6" s="2972"/>
      <c r="BA6" s="2972"/>
      <c r="BB6" s="2972"/>
      <c r="BC6" s="2972"/>
      <c r="BD6" s="2976"/>
      <c r="BE6" s="473"/>
      <c r="BF6" s="473"/>
      <c r="BG6" s="473"/>
      <c r="BH6" s="473"/>
      <c r="BI6" s="473"/>
      <c r="BJ6" s="473"/>
      <c r="BK6" s="473"/>
      <c r="BL6" s="473"/>
      <c r="BM6" s="473"/>
      <c r="BN6" s="138"/>
      <c r="BO6" s="138"/>
      <c r="BP6" s="138"/>
      <c r="BQ6" s="138"/>
      <c r="BR6" s="522"/>
    </row>
    <row r="7" spans="1:71" ht="15.75" customHeight="1" x14ac:dyDescent="0.2">
      <c r="A7" s="5315" t="s">
        <v>0</v>
      </c>
      <c r="B7" s="2930" t="s">
        <v>9</v>
      </c>
      <c r="C7" s="2955"/>
      <c r="D7" s="2955" t="s">
        <v>0</v>
      </c>
      <c r="E7" s="2930" t="s">
        <v>10</v>
      </c>
      <c r="F7" s="2955"/>
      <c r="G7" s="2955" t="s">
        <v>0</v>
      </c>
      <c r="H7" s="2930" t="s">
        <v>11</v>
      </c>
      <c r="I7" s="2955"/>
      <c r="J7" s="2955" t="s">
        <v>0</v>
      </c>
      <c r="K7" s="2930" t="s">
        <v>12</v>
      </c>
      <c r="L7" s="2924" t="s">
        <v>13</v>
      </c>
      <c r="M7" s="2930" t="s">
        <v>14</v>
      </c>
      <c r="N7" s="2955"/>
      <c r="O7" s="2924" t="s">
        <v>15</v>
      </c>
      <c r="P7" s="2924" t="s">
        <v>108</v>
      </c>
      <c r="Q7" s="2924" t="s">
        <v>8</v>
      </c>
      <c r="R7" s="2926" t="s">
        <v>17</v>
      </c>
      <c r="S7" s="2928" t="s">
        <v>18</v>
      </c>
      <c r="T7" s="2924" t="s">
        <v>19</v>
      </c>
      <c r="U7" s="2924" t="s">
        <v>20</v>
      </c>
      <c r="V7" s="2924" t="s">
        <v>21</v>
      </c>
      <c r="W7" s="2930" t="s">
        <v>18</v>
      </c>
      <c r="X7" s="2954"/>
      <c r="Y7" s="2955"/>
      <c r="Z7" s="139"/>
      <c r="AA7" s="2924" t="s">
        <v>22</v>
      </c>
      <c r="AB7" s="2940" t="s">
        <v>23</v>
      </c>
      <c r="AC7" s="2941"/>
      <c r="AD7" s="2941"/>
      <c r="AE7" s="5317"/>
      <c r="AF7" s="2942" t="s">
        <v>24</v>
      </c>
      <c r="AG7" s="2943"/>
      <c r="AH7" s="2943"/>
      <c r="AI7" s="2943"/>
      <c r="AJ7" s="2943"/>
      <c r="AK7" s="2943"/>
      <c r="AL7" s="2943"/>
      <c r="AM7" s="2946"/>
      <c r="AN7" s="2944" t="s">
        <v>25</v>
      </c>
      <c r="AO7" s="2945"/>
      <c r="AP7" s="2945"/>
      <c r="AQ7" s="2945"/>
      <c r="AR7" s="2945"/>
      <c r="AS7" s="2945"/>
      <c r="AT7" s="2945"/>
      <c r="AU7" s="2945"/>
      <c r="AV7" s="2945"/>
      <c r="AW7" s="2945"/>
      <c r="AX7" s="2945"/>
      <c r="AY7" s="5318"/>
      <c r="AZ7" s="2979" t="s">
        <v>26</v>
      </c>
      <c r="BA7" s="2980"/>
      <c r="BB7" s="2980"/>
      <c r="BC7" s="2980"/>
      <c r="BD7" s="2980"/>
      <c r="BE7" s="2981"/>
      <c r="BF7" s="5319" t="s">
        <v>27</v>
      </c>
      <c r="BG7" s="5320"/>
      <c r="BH7" s="3017" t="s">
        <v>28</v>
      </c>
      <c r="BI7" s="3018"/>
      <c r="BJ7" s="3018"/>
      <c r="BK7" s="3018"/>
      <c r="BL7" s="3018"/>
      <c r="BM7" s="3019"/>
      <c r="BN7" s="2982" t="s">
        <v>29</v>
      </c>
      <c r="BO7" s="2983"/>
      <c r="BP7" s="2982" t="s">
        <v>30</v>
      </c>
      <c r="BQ7" s="2983"/>
      <c r="BR7" s="2988" t="s">
        <v>31</v>
      </c>
    </row>
    <row r="8" spans="1:71" ht="15.75" customHeight="1" x14ac:dyDescent="0.2">
      <c r="A8" s="5316"/>
      <c r="B8" s="2931"/>
      <c r="C8" s="2939"/>
      <c r="D8" s="2939"/>
      <c r="E8" s="2931"/>
      <c r="F8" s="2939"/>
      <c r="G8" s="2939"/>
      <c r="H8" s="2931"/>
      <c r="I8" s="2939"/>
      <c r="J8" s="2939"/>
      <c r="K8" s="2931"/>
      <c r="L8" s="2925"/>
      <c r="M8" s="2931"/>
      <c r="N8" s="2939"/>
      <c r="O8" s="2925"/>
      <c r="P8" s="2925"/>
      <c r="Q8" s="2925"/>
      <c r="R8" s="2927"/>
      <c r="S8" s="2929"/>
      <c r="T8" s="2925"/>
      <c r="U8" s="2925"/>
      <c r="V8" s="2925"/>
      <c r="W8" s="2931"/>
      <c r="X8" s="2956"/>
      <c r="Y8" s="2939"/>
      <c r="Z8" s="2961" t="s">
        <v>0</v>
      </c>
      <c r="AA8" s="2925"/>
      <c r="AB8" s="2933" t="s">
        <v>37</v>
      </c>
      <c r="AC8" s="2934"/>
      <c r="AD8" s="2991" t="s">
        <v>38</v>
      </c>
      <c r="AE8" s="2992"/>
      <c r="AF8" s="2933" t="s">
        <v>39</v>
      </c>
      <c r="AG8" s="2934"/>
      <c r="AH8" s="2933" t="s">
        <v>109</v>
      </c>
      <c r="AI8" s="2934"/>
      <c r="AJ8" s="2933" t="s">
        <v>110</v>
      </c>
      <c r="AK8" s="2934"/>
      <c r="AL8" s="2933" t="s">
        <v>111</v>
      </c>
      <c r="AM8" s="2934"/>
      <c r="AN8" s="2933" t="s">
        <v>43</v>
      </c>
      <c r="AO8" s="2934"/>
      <c r="AP8" s="2933" t="s">
        <v>44</v>
      </c>
      <c r="AQ8" s="2934"/>
      <c r="AR8" s="2933" t="s">
        <v>45</v>
      </c>
      <c r="AS8" s="2934"/>
      <c r="AT8" s="2933" t="s">
        <v>46</v>
      </c>
      <c r="AU8" s="2934"/>
      <c r="AV8" s="2933" t="s">
        <v>47</v>
      </c>
      <c r="AW8" s="2934"/>
      <c r="AX8" s="2933" t="s">
        <v>48</v>
      </c>
      <c r="AY8" s="2934"/>
      <c r="AZ8" s="2933" t="s">
        <v>49</v>
      </c>
      <c r="BA8" s="2934"/>
      <c r="BB8" s="2933" t="s">
        <v>50</v>
      </c>
      <c r="BC8" s="2934"/>
      <c r="BD8" s="2935" t="s">
        <v>51</v>
      </c>
      <c r="BE8" s="2936"/>
      <c r="BF8" s="5321"/>
      <c r="BG8" s="5322"/>
      <c r="BH8" s="3050" t="s">
        <v>112</v>
      </c>
      <c r="BI8" s="5261" t="s">
        <v>53</v>
      </c>
      <c r="BJ8" s="5261" t="s">
        <v>54</v>
      </c>
      <c r="BK8" s="5263" t="s">
        <v>55</v>
      </c>
      <c r="BL8" s="3050" t="s">
        <v>56</v>
      </c>
      <c r="BM8" s="3050" t="s">
        <v>57</v>
      </c>
      <c r="BN8" s="2984"/>
      <c r="BO8" s="2985"/>
      <c r="BP8" s="2984"/>
      <c r="BQ8" s="2985"/>
      <c r="BR8" s="2989"/>
    </row>
    <row r="9" spans="1:71" ht="15" customHeight="1" x14ac:dyDescent="0.2">
      <c r="A9" s="5316"/>
      <c r="B9" s="2931"/>
      <c r="C9" s="2939"/>
      <c r="D9" s="2939"/>
      <c r="E9" s="2931"/>
      <c r="F9" s="2939"/>
      <c r="G9" s="2939"/>
      <c r="H9" s="2931"/>
      <c r="I9" s="2939"/>
      <c r="J9" s="2939"/>
      <c r="K9" s="2931"/>
      <c r="L9" s="2925"/>
      <c r="M9" s="140"/>
      <c r="N9" s="474"/>
      <c r="O9" s="2925"/>
      <c r="P9" s="2925"/>
      <c r="Q9" s="2925"/>
      <c r="R9" s="2927"/>
      <c r="S9" s="2929"/>
      <c r="T9" s="2925"/>
      <c r="U9" s="2925"/>
      <c r="V9" s="2925"/>
      <c r="W9" s="140"/>
      <c r="X9" s="474"/>
      <c r="Y9" s="474"/>
      <c r="Z9" s="2961"/>
      <c r="AA9" s="2925"/>
      <c r="AB9" s="2935"/>
      <c r="AC9" s="2936"/>
      <c r="AD9" s="2993"/>
      <c r="AE9" s="2994"/>
      <c r="AF9" s="2935"/>
      <c r="AG9" s="2936"/>
      <c r="AH9" s="2935"/>
      <c r="AI9" s="2936"/>
      <c r="AJ9" s="2935"/>
      <c r="AK9" s="2936"/>
      <c r="AL9" s="2935"/>
      <c r="AM9" s="2936"/>
      <c r="AN9" s="2935"/>
      <c r="AO9" s="2936"/>
      <c r="AP9" s="2935"/>
      <c r="AQ9" s="2936"/>
      <c r="AR9" s="2935"/>
      <c r="AS9" s="2936"/>
      <c r="AT9" s="2935"/>
      <c r="AU9" s="2936"/>
      <c r="AV9" s="2935"/>
      <c r="AW9" s="2936"/>
      <c r="AX9" s="2935"/>
      <c r="AY9" s="2936"/>
      <c r="AZ9" s="2935"/>
      <c r="BA9" s="2936"/>
      <c r="BB9" s="2935"/>
      <c r="BC9" s="2936"/>
      <c r="BD9" s="2935"/>
      <c r="BE9" s="2936"/>
      <c r="BF9" s="5321"/>
      <c r="BG9" s="5322"/>
      <c r="BH9" s="5327"/>
      <c r="BI9" s="5335"/>
      <c r="BJ9" s="5335"/>
      <c r="BK9" s="5336"/>
      <c r="BL9" s="5327"/>
      <c r="BM9" s="5327"/>
      <c r="BN9" s="2984"/>
      <c r="BO9" s="2985"/>
      <c r="BP9" s="2984"/>
      <c r="BQ9" s="2985"/>
      <c r="BR9" s="2989"/>
    </row>
    <row r="10" spans="1:71" ht="15" customHeight="1" x14ac:dyDescent="0.2">
      <c r="A10" s="5316"/>
      <c r="B10" s="2931"/>
      <c r="C10" s="2939"/>
      <c r="D10" s="2939"/>
      <c r="E10" s="2931"/>
      <c r="F10" s="2939"/>
      <c r="G10" s="2939"/>
      <c r="H10" s="2931"/>
      <c r="I10" s="2939"/>
      <c r="J10" s="2939"/>
      <c r="K10" s="2931"/>
      <c r="L10" s="2925"/>
      <c r="M10" s="5328" t="s">
        <v>32</v>
      </c>
      <c r="N10" s="5328" t="s">
        <v>33</v>
      </c>
      <c r="O10" s="2925"/>
      <c r="P10" s="2925"/>
      <c r="Q10" s="2925"/>
      <c r="R10" s="2927"/>
      <c r="S10" s="2929"/>
      <c r="T10" s="2925"/>
      <c r="U10" s="2925"/>
      <c r="V10" s="2925"/>
      <c r="W10" s="4500" t="s">
        <v>34</v>
      </c>
      <c r="X10" s="5332" t="s">
        <v>35</v>
      </c>
      <c r="Y10" s="5332" t="s">
        <v>36</v>
      </c>
      <c r="Z10" s="2961"/>
      <c r="AA10" s="2925"/>
      <c r="AB10" s="2935"/>
      <c r="AC10" s="2936"/>
      <c r="AD10" s="2993"/>
      <c r="AE10" s="2994"/>
      <c r="AF10" s="2935"/>
      <c r="AG10" s="2936"/>
      <c r="AH10" s="2935"/>
      <c r="AI10" s="2936"/>
      <c r="AJ10" s="2935"/>
      <c r="AK10" s="2936"/>
      <c r="AL10" s="2935"/>
      <c r="AM10" s="2936"/>
      <c r="AN10" s="2935"/>
      <c r="AO10" s="2936"/>
      <c r="AP10" s="2935"/>
      <c r="AQ10" s="2936"/>
      <c r="AR10" s="2935"/>
      <c r="AS10" s="2936"/>
      <c r="AT10" s="2935"/>
      <c r="AU10" s="2936"/>
      <c r="AV10" s="2935"/>
      <c r="AW10" s="2936"/>
      <c r="AX10" s="2935"/>
      <c r="AY10" s="2936"/>
      <c r="AZ10" s="2935"/>
      <c r="BA10" s="2936"/>
      <c r="BB10" s="2935"/>
      <c r="BC10" s="2936"/>
      <c r="BD10" s="2935"/>
      <c r="BE10" s="2936"/>
      <c r="BF10" s="5321"/>
      <c r="BG10" s="5322"/>
      <c r="BH10" s="5327"/>
      <c r="BI10" s="5335"/>
      <c r="BJ10" s="5335"/>
      <c r="BK10" s="5336"/>
      <c r="BL10" s="5327"/>
      <c r="BM10" s="5327"/>
      <c r="BN10" s="2984"/>
      <c r="BO10" s="2985"/>
      <c r="BP10" s="2984"/>
      <c r="BQ10" s="2985"/>
      <c r="BR10" s="2989"/>
    </row>
    <row r="11" spans="1:71" ht="15" customHeight="1" x14ac:dyDescent="0.2">
      <c r="A11" s="5316"/>
      <c r="B11" s="2931"/>
      <c r="C11" s="2939"/>
      <c r="D11" s="2939"/>
      <c r="E11" s="2931"/>
      <c r="F11" s="2939"/>
      <c r="G11" s="2939"/>
      <c r="H11" s="2931"/>
      <c r="I11" s="2939"/>
      <c r="J11" s="2939"/>
      <c r="K11" s="2931"/>
      <c r="L11" s="2925"/>
      <c r="M11" s="5329"/>
      <c r="N11" s="5329"/>
      <c r="O11" s="2925"/>
      <c r="P11" s="2925"/>
      <c r="Q11" s="2925"/>
      <c r="R11" s="2927"/>
      <c r="S11" s="2929"/>
      <c r="T11" s="2925"/>
      <c r="U11" s="2925"/>
      <c r="V11" s="2925"/>
      <c r="W11" s="4501"/>
      <c r="X11" s="5333"/>
      <c r="Y11" s="5333"/>
      <c r="Z11" s="2961"/>
      <c r="AA11" s="2925"/>
      <c r="AB11" s="2935"/>
      <c r="AC11" s="2936"/>
      <c r="AD11" s="2993"/>
      <c r="AE11" s="2994"/>
      <c r="AF11" s="2935"/>
      <c r="AG11" s="2936"/>
      <c r="AH11" s="2935"/>
      <c r="AI11" s="2936"/>
      <c r="AJ11" s="2935"/>
      <c r="AK11" s="2936"/>
      <c r="AL11" s="2935"/>
      <c r="AM11" s="2936"/>
      <c r="AN11" s="2935"/>
      <c r="AO11" s="2936"/>
      <c r="AP11" s="2935"/>
      <c r="AQ11" s="2936"/>
      <c r="AR11" s="2935"/>
      <c r="AS11" s="2936"/>
      <c r="AT11" s="2935"/>
      <c r="AU11" s="2936"/>
      <c r="AV11" s="2935"/>
      <c r="AW11" s="2936"/>
      <c r="AX11" s="2935"/>
      <c r="AY11" s="2936"/>
      <c r="AZ11" s="2935"/>
      <c r="BA11" s="2936"/>
      <c r="BB11" s="2935"/>
      <c r="BC11" s="2936"/>
      <c r="BD11" s="2935"/>
      <c r="BE11" s="2936"/>
      <c r="BF11" s="5321"/>
      <c r="BG11" s="5322"/>
      <c r="BH11" s="5327"/>
      <c r="BI11" s="5335"/>
      <c r="BJ11" s="5335"/>
      <c r="BK11" s="5336"/>
      <c r="BL11" s="5327"/>
      <c r="BM11" s="5327"/>
      <c r="BN11" s="2984"/>
      <c r="BO11" s="2985"/>
      <c r="BP11" s="2984"/>
      <c r="BQ11" s="2985"/>
      <c r="BR11" s="2989"/>
    </row>
    <row r="12" spans="1:71" ht="15" customHeight="1" x14ac:dyDescent="0.2">
      <c r="A12" s="5316"/>
      <c r="B12" s="2931"/>
      <c r="C12" s="2939"/>
      <c r="D12" s="2939"/>
      <c r="E12" s="2931"/>
      <c r="F12" s="2939"/>
      <c r="G12" s="2939"/>
      <c r="H12" s="2931"/>
      <c r="I12" s="2939"/>
      <c r="J12" s="2939"/>
      <c r="K12" s="2931"/>
      <c r="L12" s="2925"/>
      <c r="M12" s="5330"/>
      <c r="N12" s="5330"/>
      <c r="O12" s="2925"/>
      <c r="P12" s="2925"/>
      <c r="Q12" s="2925"/>
      <c r="R12" s="2927"/>
      <c r="S12" s="2929"/>
      <c r="T12" s="2925"/>
      <c r="U12" s="2925"/>
      <c r="V12" s="2925"/>
      <c r="W12" s="5331"/>
      <c r="X12" s="5334"/>
      <c r="Y12" s="5334"/>
      <c r="Z12" s="2961"/>
      <c r="AA12" s="2925"/>
      <c r="AB12" s="2937"/>
      <c r="AC12" s="2938"/>
      <c r="AD12" s="2995"/>
      <c r="AE12" s="2996"/>
      <c r="AF12" s="2937"/>
      <c r="AG12" s="2938"/>
      <c r="AH12" s="2937"/>
      <c r="AI12" s="2938"/>
      <c r="AJ12" s="2937"/>
      <c r="AK12" s="2938"/>
      <c r="AL12" s="2937"/>
      <c r="AM12" s="2938"/>
      <c r="AN12" s="2937"/>
      <c r="AO12" s="2938"/>
      <c r="AP12" s="2937"/>
      <c r="AQ12" s="2938"/>
      <c r="AR12" s="2937"/>
      <c r="AS12" s="2938"/>
      <c r="AT12" s="2937"/>
      <c r="AU12" s="2938"/>
      <c r="AV12" s="2937"/>
      <c r="AW12" s="2938"/>
      <c r="AX12" s="2937"/>
      <c r="AY12" s="2938"/>
      <c r="AZ12" s="2937"/>
      <c r="BA12" s="2938"/>
      <c r="BB12" s="2937"/>
      <c r="BC12" s="2938"/>
      <c r="BD12" s="2937"/>
      <c r="BE12" s="2938"/>
      <c r="BF12" s="5323"/>
      <c r="BG12" s="5324"/>
      <c r="BH12" s="3051"/>
      <c r="BI12" s="5262"/>
      <c r="BJ12" s="5262"/>
      <c r="BK12" s="5264"/>
      <c r="BL12" s="3051"/>
      <c r="BM12" s="3051"/>
      <c r="BN12" s="2986"/>
      <c r="BO12" s="2987"/>
      <c r="BP12" s="2986"/>
      <c r="BQ12" s="2987"/>
      <c r="BR12" s="2989"/>
    </row>
    <row r="13" spans="1:71" ht="15.75" x14ac:dyDescent="0.2">
      <c r="A13" s="525">
        <v>5</v>
      </c>
      <c r="B13" s="141" t="s">
        <v>58</v>
      </c>
      <c r="C13" s="141"/>
      <c r="D13" s="141"/>
      <c r="E13" s="141"/>
      <c r="F13" s="141"/>
      <c r="G13" s="141"/>
      <c r="H13" s="141"/>
      <c r="I13" s="141"/>
      <c r="J13" s="142"/>
      <c r="K13" s="142"/>
      <c r="L13" s="143"/>
      <c r="M13" s="142"/>
      <c r="N13" s="142"/>
      <c r="O13" s="142"/>
      <c r="P13" s="142"/>
      <c r="Q13" s="142"/>
      <c r="R13" s="144"/>
      <c r="S13" s="145"/>
      <c r="T13" s="142"/>
      <c r="U13" s="142"/>
      <c r="V13" s="142"/>
      <c r="W13" s="146"/>
      <c r="X13" s="146"/>
      <c r="Y13" s="146"/>
      <c r="Z13" s="147"/>
      <c r="AA13" s="143"/>
      <c r="AB13" s="148" t="s">
        <v>32</v>
      </c>
      <c r="AC13" s="148" t="s">
        <v>33</v>
      </c>
      <c r="AD13" s="148" t="s">
        <v>32</v>
      </c>
      <c r="AE13" s="148" t="s">
        <v>33</v>
      </c>
      <c r="AF13" s="148" t="s">
        <v>32</v>
      </c>
      <c r="AG13" s="148" t="s">
        <v>33</v>
      </c>
      <c r="AH13" s="148" t="s">
        <v>32</v>
      </c>
      <c r="AI13" s="148" t="s">
        <v>33</v>
      </c>
      <c r="AJ13" s="148" t="s">
        <v>32</v>
      </c>
      <c r="AK13" s="148" t="s">
        <v>33</v>
      </c>
      <c r="AL13" s="148" t="s">
        <v>32</v>
      </c>
      <c r="AM13" s="148" t="s">
        <v>33</v>
      </c>
      <c r="AN13" s="148" t="s">
        <v>32</v>
      </c>
      <c r="AO13" s="148" t="s">
        <v>33</v>
      </c>
      <c r="AP13" s="148" t="s">
        <v>32</v>
      </c>
      <c r="AQ13" s="148" t="s">
        <v>33</v>
      </c>
      <c r="AR13" s="148" t="s">
        <v>32</v>
      </c>
      <c r="AS13" s="148" t="s">
        <v>33</v>
      </c>
      <c r="AT13" s="148" t="s">
        <v>32</v>
      </c>
      <c r="AU13" s="148" t="s">
        <v>33</v>
      </c>
      <c r="AV13" s="148" t="s">
        <v>32</v>
      </c>
      <c r="AW13" s="148" t="s">
        <v>33</v>
      </c>
      <c r="AX13" s="148" t="s">
        <v>32</v>
      </c>
      <c r="AY13" s="148" t="s">
        <v>33</v>
      </c>
      <c r="AZ13" s="148" t="s">
        <v>32</v>
      </c>
      <c r="BA13" s="148" t="s">
        <v>33</v>
      </c>
      <c r="BB13" s="148" t="s">
        <v>32</v>
      </c>
      <c r="BC13" s="148" t="s">
        <v>33</v>
      </c>
      <c r="BD13" s="148" t="s">
        <v>32</v>
      </c>
      <c r="BE13" s="148" t="s">
        <v>33</v>
      </c>
      <c r="BF13" s="148" t="s">
        <v>32</v>
      </c>
      <c r="BG13" s="148" t="s">
        <v>33</v>
      </c>
      <c r="BH13" s="262"/>
      <c r="BI13" s="262"/>
      <c r="BJ13" s="262"/>
      <c r="BK13" s="262"/>
      <c r="BL13" s="262"/>
      <c r="BM13" s="262"/>
      <c r="BN13" s="148" t="s">
        <v>32</v>
      </c>
      <c r="BO13" s="148" t="s">
        <v>33</v>
      </c>
      <c r="BP13" s="148" t="s">
        <v>32</v>
      </c>
      <c r="BQ13" s="148" t="s">
        <v>33</v>
      </c>
      <c r="BR13" s="545"/>
    </row>
    <row r="14" spans="1:71" ht="15.75" x14ac:dyDescent="0.2">
      <c r="A14" s="527"/>
      <c r="B14" s="149"/>
      <c r="C14" s="150"/>
      <c r="D14" s="151">
        <v>28</v>
      </c>
      <c r="E14" s="152" t="s">
        <v>113</v>
      </c>
      <c r="F14" s="152"/>
      <c r="G14" s="152"/>
      <c r="H14" s="152"/>
      <c r="I14" s="152"/>
      <c r="J14" s="153"/>
      <c r="K14" s="153"/>
      <c r="L14" s="153"/>
      <c r="M14" s="153"/>
      <c r="N14" s="153"/>
      <c r="O14" s="153"/>
      <c r="P14" s="153"/>
      <c r="Q14" s="153"/>
      <c r="R14" s="154"/>
      <c r="S14" s="155"/>
      <c r="T14" s="153"/>
      <c r="U14" s="153"/>
      <c r="V14" s="153"/>
      <c r="W14" s="156"/>
      <c r="X14" s="156"/>
      <c r="Y14" s="156"/>
      <c r="Z14" s="157"/>
      <c r="AA14" s="158"/>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9"/>
      <c r="BO14" s="159"/>
      <c r="BP14" s="159"/>
      <c r="BQ14" s="159"/>
      <c r="BR14" s="528"/>
    </row>
    <row r="15" spans="1:71" ht="15.75" x14ac:dyDescent="0.2">
      <c r="A15" s="529"/>
      <c r="B15" s="278"/>
      <c r="C15" s="160"/>
      <c r="D15" s="161"/>
      <c r="E15" s="162"/>
      <c r="F15" s="163"/>
      <c r="G15" s="164">
        <v>89</v>
      </c>
      <c r="H15" s="165" t="s">
        <v>114</v>
      </c>
      <c r="I15" s="165"/>
      <c r="J15" s="166"/>
      <c r="K15" s="166"/>
      <c r="L15" s="166"/>
      <c r="M15" s="166"/>
      <c r="N15" s="166"/>
      <c r="O15" s="166"/>
      <c r="P15" s="166"/>
      <c r="Q15" s="166"/>
      <c r="R15" s="167"/>
      <c r="S15" s="168"/>
      <c r="T15" s="166"/>
      <c r="U15" s="166"/>
      <c r="V15" s="166"/>
      <c r="W15" s="169"/>
      <c r="X15" s="170"/>
      <c r="Y15" s="170"/>
      <c r="Z15" s="171"/>
      <c r="AA15" s="172"/>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74"/>
      <c r="BO15" s="174"/>
      <c r="BP15" s="174"/>
      <c r="BQ15" s="174"/>
      <c r="BR15" s="530"/>
    </row>
    <row r="16" spans="1:71" ht="45" x14ac:dyDescent="0.2">
      <c r="A16" s="531"/>
      <c r="B16" s="532"/>
      <c r="C16" s="175"/>
      <c r="D16" s="176"/>
      <c r="E16" s="533"/>
      <c r="F16" s="177"/>
      <c r="G16" s="178"/>
      <c r="H16" s="179"/>
      <c r="I16" s="180"/>
      <c r="J16" s="2920">
        <v>282</v>
      </c>
      <c r="K16" s="5325" t="s">
        <v>115</v>
      </c>
      <c r="L16" s="5325" t="s">
        <v>116</v>
      </c>
      <c r="M16" s="2920">
        <v>2</v>
      </c>
      <c r="N16" s="2920">
        <v>2</v>
      </c>
      <c r="O16" s="2920" t="s">
        <v>179</v>
      </c>
      <c r="P16" s="5339" t="s">
        <v>118</v>
      </c>
      <c r="Q16" s="2873" t="s">
        <v>119</v>
      </c>
      <c r="R16" s="5341">
        <f>+(W16+W17)/S16</f>
        <v>1</v>
      </c>
      <c r="S16" s="5343">
        <f>W16+W17</f>
        <v>396200</v>
      </c>
      <c r="T16" s="5345" t="s">
        <v>120</v>
      </c>
      <c r="U16" s="5345" t="s">
        <v>121</v>
      </c>
      <c r="V16" s="263" t="s">
        <v>122</v>
      </c>
      <c r="W16" s="218">
        <v>396200</v>
      </c>
      <c r="X16" s="5337">
        <v>0</v>
      </c>
      <c r="Y16" s="5337">
        <v>0</v>
      </c>
      <c r="Z16" s="264" t="s">
        <v>123</v>
      </c>
      <c r="AA16" s="475" t="s">
        <v>124</v>
      </c>
      <c r="AB16" s="2895">
        <v>292684</v>
      </c>
      <c r="AC16" s="2895">
        <v>292684</v>
      </c>
      <c r="AD16" s="2895">
        <v>282326</v>
      </c>
      <c r="AE16" s="2895">
        <v>282326</v>
      </c>
      <c r="AF16" s="2895">
        <v>135912</v>
      </c>
      <c r="AG16" s="2895">
        <v>135912</v>
      </c>
      <c r="AH16" s="2895">
        <v>45122</v>
      </c>
      <c r="AI16" s="2895">
        <v>45122</v>
      </c>
      <c r="AJ16" s="2895">
        <v>307101</v>
      </c>
      <c r="AK16" s="2895">
        <v>307101</v>
      </c>
      <c r="AL16" s="2895">
        <v>86875</v>
      </c>
      <c r="AM16" s="2895">
        <v>86875</v>
      </c>
      <c r="AN16" s="2895">
        <v>2145</v>
      </c>
      <c r="AO16" s="2895">
        <v>2145</v>
      </c>
      <c r="AP16" s="2895">
        <v>12718</v>
      </c>
      <c r="AQ16" s="2895">
        <v>12718</v>
      </c>
      <c r="AR16" s="2895">
        <v>26</v>
      </c>
      <c r="AS16" s="2895">
        <v>26</v>
      </c>
      <c r="AT16" s="2895">
        <v>37</v>
      </c>
      <c r="AU16" s="2895">
        <v>37</v>
      </c>
      <c r="AV16" s="2895">
        <v>0</v>
      </c>
      <c r="AW16" s="2895">
        <v>0</v>
      </c>
      <c r="AX16" s="2895">
        <v>0</v>
      </c>
      <c r="AY16" s="2895">
        <v>0</v>
      </c>
      <c r="AZ16" s="2895">
        <v>53164</v>
      </c>
      <c r="BA16" s="2895">
        <v>53164</v>
      </c>
      <c r="BB16" s="2895">
        <v>16982</v>
      </c>
      <c r="BC16" s="2895">
        <v>16982</v>
      </c>
      <c r="BD16" s="2895">
        <v>60013</v>
      </c>
      <c r="BE16" s="2895">
        <v>60013</v>
      </c>
      <c r="BF16" s="2895">
        <v>575010</v>
      </c>
      <c r="BG16" s="5356">
        <v>575010</v>
      </c>
      <c r="BH16" s="2902">
        <v>0</v>
      </c>
      <c r="BI16" s="2902"/>
      <c r="BJ16" s="2902"/>
      <c r="BK16" s="5352" t="e">
        <f>+BJ16/BI16</f>
        <v>#DIV/0!</v>
      </c>
      <c r="BL16" s="2895" t="s">
        <v>180</v>
      </c>
      <c r="BM16" s="5354" t="s">
        <v>181</v>
      </c>
      <c r="BN16" s="2915">
        <v>43467</v>
      </c>
      <c r="BO16" s="2915">
        <v>43511</v>
      </c>
      <c r="BP16" s="2915">
        <v>43830</v>
      </c>
      <c r="BQ16" s="5347">
        <v>43615</v>
      </c>
      <c r="BR16" s="5349" t="s">
        <v>182</v>
      </c>
      <c r="BS16" s="209"/>
    </row>
    <row r="17" spans="1:71" ht="30" x14ac:dyDescent="0.2">
      <c r="A17" s="531"/>
      <c r="B17" s="532"/>
      <c r="C17" s="175"/>
      <c r="D17" s="176"/>
      <c r="E17" s="533"/>
      <c r="F17" s="177"/>
      <c r="G17" s="187"/>
      <c r="H17" s="535"/>
      <c r="I17" s="188"/>
      <c r="J17" s="2922"/>
      <c r="K17" s="5326"/>
      <c r="L17" s="5326"/>
      <c r="M17" s="2922"/>
      <c r="N17" s="2922"/>
      <c r="O17" s="2922"/>
      <c r="P17" s="5340"/>
      <c r="Q17" s="2874"/>
      <c r="R17" s="5342"/>
      <c r="S17" s="5344"/>
      <c r="T17" s="5346"/>
      <c r="U17" s="5346"/>
      <c r="V17" s="263" t="s">
        <v>183</v>
      </c>
      <c r="W17" s="218">
        <v>0</v>
      </c>
      <c r="X17" s="5338"/>
      <c r="Y17" s="5338"/>
      <c r="Z17" s="265"/>
      <c r="AA17" s="475"/>
      <c r="AB17" s="2908"/>
      <c r="AC17" s="2908"/>
      <c r="AD17" s="2908"/>
      <c r="AE17" s="2908"/>
      <c r="AF17" s="2908"/>
      <c r="AG17" s="2908"/>
      <c r="AH17" s="2908"/>
      <c r="AI17" s="2908"/>
      <c r="AJ17" s="2908"/>
      <c r="AK17" s="2908"/>
      <c r="AL17" s="2908"/>
      <c r="AM17" s="2908"/>
      <c r="AN17" s="2908"/>
      <c r="AO17" s="2908"/>
      <c r="AP17" s="2908"/>
      <c r="AQ17" s="2908"/>
      <c r="AR17" s="2908"/>
      <c r="AS17" s="2908"/>
      <c r="AT17" s="2908"/>
      <c r="AU17" s="2908"/>
      <c r="AV17" s="2908"/>
      <c r="AW17" s="2908"/>
      <c r="AX17" s="2908"/>
      <c r="AY17" s="2908"/>
      <c r="AZ17" s="2908"/>
      <c r="BA17" s="2908"/>
      <c r="BB17" s="2908"/>
      <c r="BC17" s="2908"/>
      <c r="BD17" s="2908"/>
      <c r="BE17" s="2908"/>
      <c r="BF17" s="2908"/>
      <c r="BG17" s="5357"/>
      <c r="BH17" s="2902"/>
      <c r="BI17" s="2902"/>
      <c r="BJ17" s="2902"/>
      <c r="BK17" s="5353"/>
      <c r="BL17" s="2908"/>
      <c r="BM17" s="5355"/>
      <c r="BN17" s="2917"/>
      <c r="BO17" s="2917"/>
      <c r="BP17" s="2917"/>
      <c r="BQ17" s="5348"/>
      <c r="BR17" s="5349"/>
    </row>
    <row r="18" spans="1:71" ht="40.5" customHeight="1" x14ac:dyDescent="0.2">
      <c r="A18" s="529"/>
      <c r="B18" s="278"/>
      <c r="C18" s="160"/>
      <c r="D18" s="194"/>
      <c r="E18" s="274"/>
      <c r="F18" s="195"/>
      <c r="G18" s="196"/>
      <c r="H18" s="276"/>
      <c r="I18" s="197"/>
      <c r="J18" s="2872">
        <v>284</v>
      </c>
      <c r="K18" s="3525" t="s">
        <v>184</v>
      </c>
      <c r="L18" s="2868" t="s">
        <v>185</v>
      </c>
      <c r="M18" s="2876">
        <v>1</v>
      </c>
      <c r="N18" s="2920">
        <v>0.73</v>
      </c>
      <c r="O18" s="2868" t="s">
        <v>186</v>
      </c>
      <c r="P18" s="2876" t="s">
        <v>187</v>
      </c>
      <c r="Q18" s="2868" t="s">
        <v>188</v>
      </c>
      <c r="R18" s="5361">
        <f>SUM(W18:W22)/S18</f>
        <v>1</v>
      </c>
      <c r="S18" s="5363">
        <f>SUM(W18:W22)</f>
        <v>422500000</v>
      </c>
      <c r="T18" s="2868" t="s">
        <v>189</v>
      </c>
      <c r="U18" s="5365" t="s">
        <v>120</v>
      </c>
      <c r="V18" s="5368" t="s">
        <v>190</v>
      </c>
      <c r="W18" s="266">
        <f>92500000-4025889</f>
        <v>88474111</v>
      </c>
      <c r="X18" s="267"/>
      <c r="Y18" s="267">
        <v>0</v>
      </c>
      <c r="Z18" s="268">
        <v>20</v>
      </c>
      <c r="AA18" s="269" t="s">
        <v>124</v>
      </c>
      <c r="AB18" s="5358">
        <v>292684</v>
      </c>
      <c r="AC18" s="5358">
        <v>292684</v>
      </c>
      <c r="AD18" s="2895">
        <v>282326</v>
      </c>
      <c r="AE18" s="2895">
        <v>282326</v>
      </c>
      <c r="AF18" s="2895">
        <v>135912</v>
      </c>
      <c r="AG18" s="2895">
        <v>135912</v>
      </c>
      <c r="AH18" s="2895">
        <v>45122</v>
      </c>
      <c r="AI18" s="2895">
        <v>45122</v>
      </c>
      <c r="AJ18" s="2895">
        <v>307101</v>
      </c>
      <c r="AK18" s="2895">
        <v>307101</v>
      </c>
      <c r="AL18" s="2895">
        <v>86875</v>
      </c>
      <c r="AM18" s="2895">
        <v>86875</v>
      </c>
      <c r="AN18" s="2895">
        <v>2145</v>
      </c>
      <c r="AO18" s="2895">
        <v>2145</v>
      </c>
      <c r="AP18" s="2895">
        <v>12718</v>
      </c>
      <c r="AQ18" s="2895">
        <v>12718</v>
      </c>
      <c r="AR18" s="2895">
        <v>26</v>
      </c>
      <c r="AS18" s="2895">
        <v>26</v>
      </c>
      <c r="AT18" s="2895">
        <v>37</v>
      </c>
      <c r="AU18" s="2895">
        <v>37</v>
      </c>
      <c r="AV18" s="2895">
        <v>0</v>
      </c>
      <c r="AW18" s="2895">
        <v>0</v>
      </c>
      <c r="AX18" s="2895">
        <v>0</v>
      </c>
      <c r="AY18" s="2895">
        <v>0</v>
      </c>
      <c r="AZ18" s="2895">
        <v>53164</v>
      </c>
      <c r="BA18" s="2895">
        <v>53164</v>
      </c>
      <c r="BB18" s="2895">
        <v>16982</v>
      </c>
      <c r="BC18" s="2895">
        <v>16982</v>
      </c>
      <c r="BD18" s="2895">
        <v>60013</v>
      </c>
      <c r="BE18" s="2895">
        <v>60013</v>
      </c>
      <c r="BF18" s="2895">
        <v>575010</v>
      </c>
      <c r="BG18" s="5356">
        <v>575010</v>
      </c>
      <c r="BH18" s="2902">
        <v>2</v>
      </c>
      <c r="BI18" s="2902">
        <v>305665970</v>
      </c>
      <c r="BJ18" s="2902">
        <v>233071258</v>
      </c>
      <c r="BK18" s="5376">
        <f>+BJ18/BI18</f>
        <v>0.7625031271881525</v>
      </c>
      <c r="BL18" s="5381" t="s">
        <v>191</v>
      </c>
      <c r="BM18" s="5382" t="s">
        <v>181</v>
      </c>
      <c r="BN18" s="2915">
        <v>43467</v>
      </c>
      <c r="BO18" s="2915">
        <v>43658</v>
      </c>
      <c r="BP18" s="2915">
        <v>43830</v>
      </c>
      <c r="BQ18" s="5347">
        <v>43768</v>
      </c>
      <c r="BR18" s="5349"/>
      <c r="BS18" s="270"/>
    </row>
    <row r="19" spans="1:71" ht="40.5" customHeight="1" x14ac:dyDescent="0.2">
      <c r="A19" s="529"/>
      <c r="B19" s="278"/>
      <c r="C19" s="160"/>
      <c r="D19" s="194"/>
      <c r="E19" s="274"/>
      <c r="F19" s="195"/>
      <c r="G19" s="196"/>
      <c r="H19" s="276"/>
      <c r="I19" s="197"/>
      <c r="J19" s="3596"/>
      <c r="K19" s="2873"/>
      <c r="L19" s="5325"/>
      <c r="M19" s="2920"/>
      <c r="N19" s="2921"/>
      <c r="O19" s="5325"/>
      <c r="P19" s="2920"/>
      <c r="Q19" s="5325"/>
      <c r="R19" s="5362"/>
      <c r="S19" s="5364"/>
      <c r="T19" s="5325"/>
      <c r="U19" s="5366"/>
      <c r="V19" s="5369"/>
      <c r="W19" s="266">
        <f>0+20000000</f>
        <v>20000000</v>
      </c>
      <c r="X19" s="267">
        <v>0</v>
      </c>
      <c r="Y19" s="267">
        <v>0</v>
      </c>
      <c r="Z19" s="271">
        <v>88</v>
      </c>
      <c r="AA19" s="272" t="s">
        <v>76</v>
      </c>
      <c r="AB19" s="5359"/>
      <c r="AC19" s="5359"/>
      <c r="AD19" s="2896"/>
      <c r="AE19" s="2896"/>
      <c r="AF19" s="2896"/>
      <c r="AG19" s="2896"/>
      <c r="AH19" s="2896"/>
      <c r="AI19" s="2896"/>
      <c r="AJ19" s="2896"/>
      <c r="AK19" s="2896"/>
      <c r="AL19" s="2896"/>
      <c r="AM19" s="2896"/>
      <c r="AN19" s="2896"/>
      <c r="AO19" s="2896"/>
      <c r="AP19" s="2896"/>
      <c r="AQ19" s="2896"/>
      <c r="AR19" s="2896"/>
      <c r="AS19" s="2896"/>
      <c r="AT19" s="2896"/>
      <c r="AU19" s="2896"/>
      <c r="AV19" s="2896"/>
      <c r="AW19" s="2896"/>
      <c r="AX19" s="2896"/>
      <c r="AY19" s="2896"/>
      <c r="AZ19" s="2896"/>
      <c r="BA19" s="2896"/>
      <c r="BB19" s="2896"/>
      <c r="BC19" s="2896"/>
      <c r="BD19" s="2896"/>
      <c r="BE19" s="2896"/>
      <c r="BF19" s="2896"/>
      <c r="BG19" s="5374"/>
      <c r="BH19" s="2902"/>
      <c r="BI19" s="2902"/>
      <c r="BJ19" s="2902"/>
      <c r="BK19" s="5352"/>
      <c r="BL19" s="5354"/>
      <c r="BM19" s="5383"/>
      <c r="BN19" s="2916"/>
      <c r="BO19" s="2916"/>
      <c r="BP19" s="2916"/>
      <c r="BQ19" s="5372"/>
      <c r="BR19" s="5349"/>
      <c r="BS19" s="270"/>
    </row>
    <row r="20" spans="1:71" ht="40.5" customHeight="1" x14ac:dyDescent="0.2">
      <c r="A20" s="529"/>
      <c r="B20" s="278"/>
      <c r="C20" s="160"/>
      <c r="D20" s="194"/>
      <c r="E20" s="274"/>
      <c r="F20" s="195"/>
      <c r="G20" s="196"/>
      <c r="H20" s="276"/>
      <c r="I20" s="197"/>
      <c r="J20" s="3596"/>
      <c r="K20" s="2873"/>
      <c r="L20" s="5325"/>
      <c r="M20" s="2920"/>
      <c r="N20" s="2921"/>
      <c r="O20" s="5325"/>
      <c r="P20" s="2920"/>
      <c r="Q20" s="5325"/>
      <c r="R20" s="5362"/>
      <c r="S20" s="5364"/>
      <c r="T20" s="5325"/>
      <c r="U20" s="5367"/>
      <c r="V20" s="5370" t="s">
        <v>192</v>
      </c>
      <c r="W20" s="266">
        <f>0+8342140</f>
        <v>8342140</v>
      </c>
      <c r="X20" s="267">
        <v>0</v>
      </c>
      <c r="Y20" s="267">
        <v>0</v>
      </c>
      <c r="Z20" s="268">
        <v>20</v>
      </c>
      <c r="AA20" s="269" t="s">
        <v>124</v>
      </c>
      <c r="AB20" s="5359"/>
      <c r="AC20" s="5359"/>
      <c r="AD20" s="2896"/>
      <c r="AE20" s="2896"/>
      <c r="AF20" s="2896"/>
      <c r="AG20" s="2896"/>
      <c r="AH20" s="2896"/>
      <c r="AI20" s="2896"/>
      <c r="AJ20" s="2896"/>
      <c r="AK20" s="2896"/>
      <c r="AL20" s="2896"/>
      <c r="AM20" s="2896"/>
      <c r="AN20" s="2896"/>
      <c r="AO20" s="2896"/>
      <c r="AP20" s="2896"/>
      <c r="AQ20" s="2896"/>
      <c r="AR20" s="2896"/>
      <c r="AS20" s="2896"/>
      <c r="AT20" s="2896"/>
      <c r="AU20" s="2896"/>
      <c r="AV20" s="2896"/>
      <c r="AW20" s="2896"/>
      <c r="AX20" s="2896"/>
      <c r="AY20" s="2896"/>
      <c r="AZ20" s="2896"/>
      <c r="BA20" s="2896"/>
      <c r="BB20" s="2896"/>
      <c r="BC20" s="2896"/>
      <c r="BD20" s="2896"/>
      <c r="BE20" s="2896"/>
      <c r="BF20" s="2896"/>
      <c r="BG20" s="5374"/>
      <c r="BH20" s="2902"/>
      <c r="BI20" s="2902"/>
      <c r="BJ20" s="2902"/>
      <c r="BK20" s="5352"/>
      <c r="BL20" s="5354"/>
      <c r="BM20" s="5383"/>
      <c r="BN20" s="2916"/>
      <c r="BO20" s="2916"/>
      <c r="BP20" s="2916"/>
      <c r="BQ20" s="5372"/>
      <c r="BR20" s="5349"/>
      <c r="BS20" s="270"/>
    </row>
    <row r="21" spans="1:71" ht="40.5" customHeight="1" x14ac:dyDescent="0.2">
      <c r="A21" s="529"/>
      <c r="B21" s="278"/>
      <c r="C21" s="160"/>
      <c r="D21" s="194"/>
      <c r="E21" s="274"/>
      <c r="F21" s="195"/>
      <c r="G21" s="196"/>
      <c r="H21" s="276"/>
      <c r="I21" s="197"/>
      <c r="J21" s="3596"/>
      <c r="K21" s="2873"/>
      <c r="L21" s="5325"/>
      <c r="M21" s="2920"/>
      <c r="N21" s="2921"/>
      <c r="O21" s="5325"/>
      <c r="P21" s="2920"/>
      <c r="Q21" s="5325"/>
      <c r="R21" s="5362"/>
      <c r="S21" s="5364"/>
      <c r="T21" s="5325"/>
      <c r="U21" s="5367"/>
      <c r="V21" s="5370"/>
      <c r="W21" s="266">
        <f>0+300000000</f>
        <v>300000000</v>
      </c>
      <c r="X21" s="267">
        <v>299982221</v>
      </c>
      <c r="Y21" s="267">
        <v>233071258</v>
      </c>
      <c r="Z21" s="271">
        <v>88</v>
      </c>
      <c r="AA21" s="272" t="s">
        <v>76</v>
      </c>
      <c r="AB21" s="5359"/>
      <c r="AC21" s="5359"/>
      <c r="AD21" s="2896"/>
      <c r="AE21" s="2896"/>
      <c r="AF21" s="2896"/>
      <c r="AG21" s="2896"/>
      <c r="AH21" s="2896"/>
      <c r="AI21" s="2896"/>
      <c r="AJ21" s="2896"/>
      <c r="AK21" s="2896"/>
      <c r="AL21" s="2896"/>
      <c r="AM21" s="2896"/>
      <c r="AN21" s="2896"/>
      <c r="AO21" s="2896"/>
      <c r="AP21" s="2896"/>
      <c r="AQ21" s="2896"/>
      <c r="AR21" s="2896"/>
      <c r="AS21" s="2896"/>
      <c r="AT21" s="2896"/>
      <c r="AU21" s="2896"/>
      <c r="AV21" s="2896"/>
      <c r="AW21" s="2896"/>
      <c r="AX21" s="2896"/>
      <c r="AY21" s="2896"/>
      <c r="AZ21" s="2896"/>
      <c r="BA21" s="2896"/>
      <c r="BB21" s="2896"/>
      <c r="BC21" s="2896"/>
      <c r="BD21" s="2896"/>
      <c r="BE21" s="2896"/>
      <c r="BF21" s="2896"/>
      <c r="BG21" s="5374"/>
      <c r="BH21" s="2902"/>
      <c r="BI21" s="2902"/>
      <c r="BJ21" s="2902"/>
      <c r="BK21" s="5352"/>
      <c r="BL21" s="5354"/>
      <c r="BM21" s="5383"/>
      <c r="BN21" s="2916"/>
      <c r="BO21" s="2916"/>
      <c r="BP21" s="2916"/>
      <c r="BQ21" s="5372"/>
      <c r="BR21" s="5349"/>
      <c r="BS21" s="541"/>
    </row>
    <row r="22" spans="1:71" ht="113.25" customHeight="1" x14ac:dyDescent="0.2">
      <c r="A22" s="529"/>
      <c r="B22" s="278"/>
      <c r="C22" s="160"/>
      <c r="D22" s="194"/>
      <c r="E22" s="274"/>
      <c r="F22" s="195"/>
      <c r="G22" s="196"/>
      <c r="H22" s="276"/>
      <c r="I22" s="197"/>
      <c r="J22" s="3596"/>
      <c r="K22" s="2873"/>
      <c r="L22" s="5325"/>
      <c r="M22" s="2920"/>
      <c r="N22" s="5351"/>
      <c r="O22" s="5325"/>
      <c r="P22" s="2920"/>
      <c r="Q22" s="5325"/>
      <c r="R22" s="5362"/>
      <c r="S22" s="5364"/>
      <c r="T22" s="5325"/>
      <c r="U22" s="493" t="s">
        <v>193</v>
      </c>
      <c r="V22" s="494" t="s">
        <v>194</v>
      </c>
      <c r="W22" s="266">
        <f>10000000-4316251</f>
        <v>5683749</v>
      </c>
      <c r="X22" s="267">
        <f>10000000-4316251</f>
        <v>5683749</v>
      </c>
      <c r="Y22" s="267">
        <v>0</v>
      </c>
      <c r="Z22" s="271">
        <v>20</v>
      </c>
      <c r="AA22" s="272" t="s">
        <v>124</v>
      </c>
      <c r="AB22" s="5359"/>
      <c r="AC22" s="5359"/>
      <c r="AD22" s="5360"/>
      <c r="AE22" s="5360"/>
      <c r="AF22" s="5360"/>
      <c r="AG22" s="5360"/>
      <c r="AH22" s="5360"/>
      <c r="AI22" s="5360"/>
      <c r="AJ22" s="5360"/>
      <c r="AK22" s="5360"/>
      <c r="AL22" s="5360"/>
      <c r="AM22" s="5360"/>
      <c r="AN22" s="5360"/>
      <c r="AO22" s="5360"/>
      <c r="AP22" s="5360"/>
      <c r="AQ22" s="5360"/>
      <c r="AR22" s="5360"/>
      <c r="AS22" s="5360"/>
      <c r="AT22" s="5360"/>
      <c r="AU22" s="5360"/>
      <c r="AV22" s="5360"/>
      <c r="AW22" s="5360"/>
      <c r="AX22" s="5360"/>
      <c r="AY22" s="5360"/>
      <c r="AZ22" s="5360"/>
      <c r="BA22" s="5360"/>
      <c r="BB22" s="5360"/>
      <c r="BC22" s="5360"/>
      <c r="BD22" s="5360"/>
      <c r="BE22" s="5360"/>
      <c r="BF22" s="5360"/>
      <c r="BG22" s="5375"/>
      <c r="BH22" s="2902"/>
      <c r="BI22" s="2902"/>
      <c r="BJ22" s="2902"/>
      <c r="BK22" s="5352"/>
      <c r="BL22" s="5354"/>
      <c r="BM22" s="5384"/>
      <c r="BN22" s="2916"/>
      <c r="BO22" s="5371"/>
      <c r="BP22" s="2916"/>
      <c r="BQ22" s="5373"/>
      <c r="BR22" s="5349"/>
      <c r="BS22" s="273"/>
    </row>
    <row r="23" spans="1:71" ht="66.75" customHeight="1" x14ac:dyDescent="0.2">
      <c r="A23" s="529"/>
      <c r="B23" s="278"/>
      <c r="C23" s="160"/>
      <c r="D23" s="194"/>
      <c r="E23" s="274"/>
      <c r="F23" s="274"/>
      <c r="G23" s="275"/>
      <c r="H23" s="276"/>
      <c r="I23" s="276"/>
      <c r="J23" s="5377">
        <v>285</v>
      </c>
      <c r="K23" s="4674" t="s">
        <v>142</v>
      </c>
      <c r="L23" s="5378" t="s">
        <v>143</v>
      </c>
      <c r="M23" s="5378">
        <v>1</v>
      </c>
      <c r="N23" s="5379">
        <v>0.91</v>
      </c>
      <c r="O23" s="5378" t="s">
        <v>195</v>
      </c>
      <c r="P23" s="5378" t="s">
        <v>145</v>
      </c>
      <c r="Q23" s="5387" t="s">
        <v>146</v>
      </c>
      <c r="R23" s="5388">
        <f>SUM(W23:W24)/S23</f>
        <v>1</v>
      </c>
      <c r="S23" s="5389">
        <f>SUM(W23:W24)</f>
        <v>90995333</v>
      </c>
      <c r="T23" s="4674" t="s">
        <v>147</v>
      </c>
      <c r="U23" s="4674" t="s">
        <v>148</v>
      </c>
      <c r="V23" s="5370" t="s">
        <v>149</v>
      </c>
      <c r="W23" s="218">
        <f>10995333</f>
        <v>10995333</v>
      </c>
      <c r="X23" s="267">
        <f>10995333</f>
        <v>10995333</v>
      </c>
      <c r="Y23" s="267">
        <v>2798000</v>
      </c>
      <c r="Z23" s="277">
        <v>20</v>
      </c>
      <c r="AA23" s="491" t="s">
        <v>124</v>
      </c>
      <c r="AB23" s="5385">
        <v>292684</v>
      </c>
      <c r="AC23" s="5385">
        <v>292684</v>
      </c>
      <c r="AD23" s="5385">
        <v>282326</v>
      </c>
      <c r="AE23" s="5385">
        <v>282326</v>
      </c>
      <c r="AF23" s="5385">
        <v>135912</v>
      </c>
      <c r="AG23" s="5385">
        <v>135912</v>
      </c>
      <c r="AH23" s="5385">
        <v>45122</v>
      </c>
      <c r="AI23" s="5385">
        <v>45122</v>
      </c>
      <c r="AJ23" s="5385">
        <v>307101</v>
      </c>
      <c r="AK23" s="5385">
        <v>307101</v>
      </c>
      <c r="AL23" s="5385">
        <v>86875</v>
      </c>
      <c r="AM23" s="5385">
        <v>86875</v>
      </c>
      <c r="AN23" s="5385">
        <v>2145</v>
      </c>
      <c r="AO23" s="5385">
        <v>2145</v>
      </c>
      <c r="AP23" s="5385">
        <v>12718</v>
      </c>
      <c r="AQ23" s="5385">
        <v>12718</v>
      </c>
      <c r="AR23" s="5385">
        <v>26</v>
      </c>
      <c r="AS23" s="5385">
        <v>26</v>
      </c>
      <c r="AT23" s="5385">
        <v>37</v>
      </c>
      <c r="AU23" s="5385">
        <v>37</v>
      </c>
      <c r="AV23" s="5385">
        <v>0</v>
      </c>
      <c r="AW23" s="5385">
        <v>0</v>
      </c>
      <c r="AX23" s="5385">
        <v>0</v>
      </c>
      <c r="AY23" s="5385">
        <v>0</v>
      </c>
      <c r="AZ23" s="5385">
        <v>53164</v>
      </c>
      <c r="BA23" s="5385">
        <v>53164</v>
      </c>
      <c r="BB23" s="5385">
        <v>16982</v>
      </c>
      <c r="BC23" s="5385">
        <v>16982</v>
      </c>
      <c r="BD23" s="5385">
        <v>60013</v>
      </c>
      <c r="BE23" s="5385">
        <v>60013</v>
      </c>
      <c r="BF23" s="5385">
        <v>575010</v>
      </c>
      <c r="BG23" s="5401">
        <v>575010</v>
      </c>
      <c r="BH23" s="2902">
        <v>6</v>
      </c>
      <c r="BI23" s="2902">
        <v>81609333</v>
      </c>
      <c r="BJ23" s="2902">
        <v>33224000</v>
      </c>
      <c r="BK23" s="5392">
        <f>+BJ23/BI23</f>
        <v>0.40711029950459221</v>
      </c>
      <c r="BL23" s="5394" t="s">
        <v>191</v>
      </c>
      <c r="BM23" s="5396" t="s">
        <v>196</v>
      </c>
      <c r="BN23" s="5398">
        <v>43467</v>
      </c>
      <c r="BO23" s="5398">
        <v>43654</v>
      </c>
      <c r="BP23" s="5400">
        <v>43830</v>
      </c>
      <c r="BQ23" s="5390">
        <v>43810</v>
      </c>
      <c r="BR23" s="5349"/>
      <c r="BS23" s="270"/>
    </row>
    <row r="24" spans="1:71" ht="66.75" customHeight="1" thickBot="1" x14ac:dyDescent="0.25">
      <c r="A24" s="529"/>
      <c r="B24" s="278"/>
      <c r="C24" s="278"/>
      <c r="D24" s="274"/>
      <c r="E24" s="274"/>
      <c r="F24" s="274"/>
      <c r="G24" s="275"/>
      <c r="H24" s="276"/>
      <c r="I24" s="276"/>
      <c r="J24" s="5377"/>
      <c r="K24" s="4674"/>
      <c r="L24" s="5378"/>
      <c r="M24" s="5378"/>
      <c r="N24" s="5380"/>
      <c r="O24" s="5378"/>
      <c r="P24" s="5378"/>
      <c r="Q24" s="5387"/>
      <c r="R24" s="5388"/>
      <c r="S24" s="5389"/>
      <c r="T24" s="4674"/>
      <c r="U24" s="4674"/>
      <c r="V24" s="5370"/>
      <c r="W24" s="218">
        <v>80000000</v>
      </c>
      <c r="X24" s="267">
        <v>70614000</v>
      </c>
      <c r="Y24" s="267">
        <v>30426000</v>
      </c>
      <c r="Z24" s="547">
        <v>88</v>
      </c>
      <c r="AA24" s="492" t="s">
        <v>76</v>
      </c>
      <c r="AB24" s="5386"/>
      <c r="AC24" s="5386"/>
      <c r="AD24" s="5386"/>
      <c r="AE24" s="5386"/>
      <c r="AF24" s="5386"/>
      <c r="AG24" s="5386"/>
      <c r="AH24" s="5386"/>
      <c r="AI24" s="5386"/>
      <c r="AJ24" s="5386"/>
      <c r="AK24" s="5386"/>
      <c r="AL24" s="5386"/>
      <c r="AM24" s="5386"/>
      <c r="AN24" s="5386"/>
      <c r="AO24" s="5386"/>
      <c r="AP24" s="5386"/>
      <c r="AQ24" s="5386"/>
      <c r="AR24" s="5386"/>
      <c r="AS24" s="5386"/>
      <c r="AT24" s="5386"/>
      <c r="AU24" s="5386"/>
      <c r="AV24" s="5386"/>
      <c r="AW24" s="5386"/>
      <c r="AX24" s="5386"/>
      <c r="AY24" s="5386"/>
      <c r="AZ24" s="5386"/>
      <c r="BA24" s="5386"/>
      <c r="BB24" s="5386"/>
      <c r="BC24" s="5386"/>
      <c r="BD24" s="5386"/>
      <c r="BE24" s="5386"/>
      <c r="BF24" s="5386"/>
      <c r="BG24" s="5402"/>
      <c r="BH24" s="2895"/>
      <c r="BI24" s="2895"/>
      <c r="BJ24" s="2895"/>
      <c r="BK24" s="5393"/>
      <c r="BL24" s="5395"/>
      <c r="BM24" s="5397"/>
      <c r="BN24" s="5399"/>
      <c r="BO24" s="5399"/>
      <c r="BP24" s="5398"/>
      <c r="BQ24" s="5391"/>
      <c r="BR24" s="5350"/>
      <c r="BS24" s="279"/>
    </row>
    <row r="25" spans="1:71" ht="16.5" thickBot="1" x14ac:dyDescent="0.3">
      <c r="A25" s="220" t="s">
        <v>176</v>
      </c>
      <c r="B25" s="221"/>
      <c r="C25" s="221"/>
      <c r="D25" s="221"/>
      <c r="E25" s="221"/>
      <c r="F25" s="221"/>
      <c r="G25" s="221"/>
      <c r="H25" s="221"/>
      <c r="I25" s="221"/>
      <c r="J25" s="280"/>
      <c r="K25" s="281"/>
      <c r="L25" s="282"/>
      <c r="M25" s="226"/>
      <c r="N25" s="226"/>
      <c r="O25" s="281"/>
      <c r="P25" s="282"/>
      <c r="Q25" s="282"/>
      <c r="R25" s="283"/>
      <c r="S25" s="284">
        <f>SUM(S16:S24)</f>
        <v>513891533</v>
      </c>
      <c r="T25" s="285"/>
      <c r="U25" s="281"/>
      <c r="V25" s="286"/>
      <c r="W25" s="231">
        <f>SUM(W16:W24)</f>
        <v>513891533</v>
      </c>
      <c r="X25" s="231">
        <f t="shared" ref="X25:Y25" si="0">SUM(X16:X24)</f>
        <v>387275303</v>
      </c>
      <c r="Y25" s="231">
        <f t="shared" si="0"/>
        <v>266295258</v>
      </c>
      <c r="Z25" s="232"/>
      <c r="AA25" s="233"/>
      <c r="AB25" s="234"/>
      <c r="AC25" s="234"/>
      <c r="AD25" s="234"/>
      <c r="AE25" s="234"/>
      <c r="AF25" s="234"/>
      <c r="AG25" s="234"/>
      <c r="AH25" s="234"/>
      <c r="AI25" s="234"/>
      <c r="AJ25" s="234"/>
      <c r="AK25" s="234"/>
      <c r="AL25" s="234"/>
      <c r="AM25" s="234"/>
      <c r="AN25" s="233"/>
      <c r="AO25" s="233"/>
      <c r="AP25" s="233"/>
      <c r="AQ25" s="233"/>
      <c r="AR25" s="233"/>
      <c r="AS25" s="233"/>
      <c r="AT25" s="233"/>
      <c r="AU25" s="233"/>
      <c r="AV25" s="233"/>
      <c r="AW25" s="233"/>
      <c r="AX25" s="233"/>
      <c r="AY25" s="233"/>
      <c r="AZ25" s="233"/>
      <c r="BA25" s="233"/>
      <c r="BB25" s="233"/>
      <c r="BC25" s="233"/>
      <c r="BD25" s="233"/>
      <c r="BE25" s="233"/>
      <c r="BF25" s="233"/>
      <c r="BG25" s="233"/>
      <c r="BH25" s="548"/>
      <c r="BI25" s="502">
        <f>SUM(BI16:BI24)</f>
        <v>387275303</v>
      </c>
      <c r="BJ25" s="502">
        <f>SUM(BJ16:BJ24)</f>
        <v>266295258</v>
      </c>
      <c r="BK25" s="503">
        <f>BJ25/BI25</f>
        <v>0.68761229011290714</v>
      </c>
      <c r="BL25" s="232"/>
      <c r="BM25" s="233"/>
      <c r="BN25" s="238"/>
      <c r="BO25" s="238"/>
      <c r="BP25" s="238"/>
      <c r="BQ25" s="238"/>
      <c r="BR25" s="546"/>
    </row>
    <row r="27" spans="1:71" ht="33.75" customHeight="1" x14ac:dyDescent="0.2">
      <c r="K27" s="2871"/>
      <c r="L27" s="2871"/>
      <c r="M27" s="2871"/>
      <c r="N27" s="2871"/>
      <c r="O27" s="2871"/>
      <c r="P27" s="2871"/>
      <c r="Q27" s="2871"/>
      <c r="R27" s="2871"/>
    </row>
    <row r="31" spans="1:71" ht="15.75" x14ac:dyDescent="0.25">
      <c r="K31" s="252" t="s">
        <v>181</v>
      </c>
    </row>
    <row r="32" spans="1:71" x14ac:dyDescent="0.2">
      <c r="K32" s="134" t="s">
        <v>197</v>
      </c>
    </row>
  </sheetData>
  <sheetProtection password="A60F" sheet="1" objects="1" scenarios="1"/>
  <mergeCells count="229">
    <mergeCell ref="BQ23:BQ24"/>
    <mergeCell ref="K27:R27"/>
    <mergeCell ref="BK23:BK24"/>
    <mergeCell ref="BL23:BL24"/>
    <mergeCell ref="BM23:BM24"/>
    <mergeCell ref="BN23:BN24"/>
    <mergeCell ref="BO23:BO24"/>
    <mergeCell ref="BP23:BP24"/>
    <mergeCell ref="BE23:BE24"/>
    <mergeCell ref="BF23:BF24"/>
    <mergeCell ref="BG23:BG24"/>
    <mergeCell ref="BH23:BH24"/>
    <mergeCell ref="BI23:BI24"/>
    <mergeCell ref="BJ23:BJ24"/>
    <mergeCell ref="AY23:AY24"/>
    <mergeCell ref="AZ23:AZ24"/>
    <mergeCell ref="BA23:BA24"/>
    <mergeCell ref="BB23:BB24"/>
    <mergeCell ref="BC23:BC24"/>
    <mergeCell ref="BD23:BD24"/>
    <mergeCell ref="AS23:AS24"/>
    <mergeCell ref="AT23:AT24"/>
    <mergeCell ref="AU23:AU24"/>
    <mergeCell ref="AV23:AV24"/>
    <mergeCell ref="AW23:AW24"/>
    <mergeCell ref="AX23:AX24"/>
    <mergeCell ref="AM23:AM24"/>
    <mergeCell ref="AN23:AN24"/>
    <mergeCell ref="AO23:AO24"/>
    <mergeCell ref="AP23:AP24"/>
    <mergeCell ref="AQ23:AQ24"/>
    <mergeCell ref="AR23:AR24"/>
    <mergeCell ref="AG23:AG24"/>
    <mergeCell ref="AH23:AH24"/>
    <mergeCell ref="AI23:AI24"/>
    <mergeCell ref="AJ23:AJ24"/>
    <mergeCell ref="AK23:AK24"/>
    <mergeCell ref="AL23:AL24"/>
    <mergeCell ref="V23:V24"/>
    <mergeCell ref="AB23:AB24"/>
    <mergeCell ref="AC23:AC24"/>
    <mergeCell ref="AD23:AD24"/>
    <mergeCell ref="AE23:AE24"/>
    <mergeCell ref="AF23:AF24"/>
    <mergeCell ref="P23:P24"/>
    <mergeCell ref="Q23:Q24"/>
    <mergeCell ref="R23:R24"/>
    <mergeCell ref="S23:S24"/>
    <mergeCell ref="T23:T24"/>
    <mergeCell ref="U23:U24"/>
    <mergeCell ref="J23:J24"/>
    <mergeCell ref="K23:K24"/>
    <mergeCell ref="L23:L24"/>
    <mergeCell ref="M23:M24"/>
    <mergeCell ref="N23:N24"/>
    <mergeCell ref="O23:O24"/>
    <mergeCell ref="BL18:BL22"/>
    <mergeCell ref="BM18:BM22"/>
    <mergeCell ref="BN18:BN22"/>
    <mergeCell ref="AZ18:AZ22"/>
    <mergeCell ref="BA18:BA22"/>
    <mergeCell ref="BB18:BB22"/>
    <mergeCell ref="BC18:BC22"/>
    <mergeCell ref="BD18:BD22"/>
    <mergeCell ref="BE18:BE22"/>
    <mergeCell ref="AT18:AT22"/>
    <mergeCell ref="AU18:AU22"/>
    <mergeCell ref="AV18:AV22"/>
    <mergeCell ref="AW18:AW22"/>
    <mergeCell ref="AX18:AX22"/>
    <mergeCell ref="AY18:AY22"/>
    <mergeCell ref="AN18:AN22"/>
    <mergeCell ref="AO18:AO22"/>
    <mergeCell ref="AP18:AP22"/>
    <mergeCell ref="BO18:BO22"/>
    <mergeCell ref="BP18:BP22"/>
    <mergeCell ref="BQ18:BQ22"/>
    <mergeCell ref="BF18:BF22"/>
    <mergeCell ref="BG18:BG22"/>
    <mergeCell ref="BH18:BH22"/>
    <mergeCell ref="BI18:BI22"/>
    <mergeCell ref="BJ18:BJ22"/>
    <mergeCell ref="BK18:BK22"/>
    <mergeCell ref="AQ18:AQ22"/>
    <mergeCell ref="AR18:AR22"/>
    <mergeCell ref="AS18:AS22"/>
    <mergeCell ref="AH18:AH22"/>
    <mergeCell ref="AI18:AI22"/>
    <mergeCell ref="AJ18:AJ22"/>
    <mergeCell ref="AK18:AK22"/>
    <mergeCell ref="AL18:AL22"/>
    <mergeCell ref="AM18:AM22"/>
    <mergeCell ref="AB18:AB22"/>
    <mergeCell ref="AC18:AC22"/>
    <mergeCell ref="AD18:AD22"/>
    <mergeCell ref="AE18:AE22"/>
    <mergeCell ref="AF18:AF22"/>
    <mergeCell ref="AG18:AG22"/>
    <mergeCell ref="Q18:Q22"/>
    <mergeCell ref="R18:R22"/>
    <mergeCell ref="S18:S22"/>
    <mergeCell ref="T18:T22"/>
    <mergeCell ref="U18:U21"/>
    <mergeCell ref="V18:V19"/>
    <mergeCell ref="V20:V21"/>
    <mergeCell ref="BP16:BP17"/>
    <mergeCell ref="BQ16:BQ17"/>
    <mergeCell ref="BR16:BR24"/>
    <mergeCell ref="J18:J22"/>
    <mergeCell ref="K18:K22"/>
    <mergeCell ref="L18:L22"/>
    <mergeCell ref="M18:M22"/>
    <mergeCell ref="N18:N22"/>
    <mergeCell ref="O18:O22"/>
    <mergeCell ref="P18:P22"/>
    <mergeCell ref="BJ16:BJ17"/>
    <mergeCell ref="BK16:BK17"/>
    <mergeCell ref="BL16:BL17"/>
    <mergeCell ref="BM16:BM17"/>
    <mergeCell ref="BN16:BN17"/>
    <mergeCell ref="BO16:BO17"/>
    <mergeCell ref="BD16:BD17"/>
    <mergeCell ref="BE16:BE17"/>
    <mergeCell ref="BF16:BF17"/>
    <mergeCell ref="BG16:BG17"/>
    <mergeCell ref="BH16:BH17"/>
    <mergeCell ref="BI16:BI17"/>
    <mergeCell ref="AX16:AX17"/>
    <mergeCell ref="AY16:AY17"/>
    <mergeCell ref="AZ16:AZ17"/>
    <mergeCell ref="BA16:BA17"/>
    <mergeCell ref="BB16:BB17"/>
    <mergeCell ref="BC16:BC17"/>
    <mergeCell ref="AR16:AR17"/>
    <mergeCell ref="AS16:AS17"/>
    <mergeCell ref="AT16:AT17"/>
    <mergeCell ref="AU16:AU17"/>
    <mergeCell ref="AV16:AV17"/>
    <mergeCell ref="AW16:AW17"/>
    <mergeCell ref="AL16:AL17"/>
    <mergeCell ref="AM16:AM17"/>
    <mergeCell ref="AN16:AN17"/>
    <mergeCell ref="AO16:AO17"/>
    <mergeCell ref="AP16:AP17"/>
    <mergeCell ref="AQ16:AQ17"/>
    <mergeCell ref="AF16:AF17"/>
    <mergeCell ref="AG16:AG17"/>
    <mergeCell ref="AH16:AH17"/>
    <mergeCell ref="AI16:AI17"/>
    <mergeCell ref="AJ16:AJ17"/>
    <mergeCell ref="AK16:AK17"/>
    <mergeCell ref="X16:X17"/>
    <mergeCell ref="Y16:Y17"/>
    <mergeCell ref="AB16:AB17"/>
    <mergeCell ref="AC16:AC17"/>
    <mergeCell ref="AD16:AD17"/>
    <mergeCell ref="AE16:AE17"/>
    <mergeCell ref="P16:P17"/>
    <mergeCell ref="Q16:Q17"/>
    <mergeCell ref="R16:R17"/>
    <mergeCell ref="S16:S17"/>
    <mergeCell ref="T16:T17"/>
    <mergeCell ref="U16:U17"/>
    <mergeCell ref="J16:J17"/>
    <mergeCell ref="K16:K17"/>
    <mergeCell ref="L16:L17"/>
    <mergeCell ref="M16:M17"/>
    <mergeCell ref="N16:N17"/>
    <mergeCell ref="O16:O17"/>
    <mergeCell ref="BM8:BM12"/>
    <mergeCell ref="M10:M12"/>
    <mergeCell ref="N10:N12"/>
    <mergeCell ref="W10:W12"/>
    <mergeCell ref="X10:X12"/>
    <mergeCell ref="Y10:Y12"/>
    <mergeCell ref="BD8:BE12"/>
    <mergeCell ref="BH8:BH12"/>
    <mergeCell ref="BI8:BI12"/>
    <mergeCell ref="BJ8:BJ12"/>
    <mergeCell ref="BK8:BK12"/>
    <mergeCell ref="BL8:BL12"/>
    <mergeCell ref="AR8:AS12"/>
    <mergeCell ref="AT8:AU12"/>
    <mergeCell ref="AV8:AW12"/>
    <mergeCell ref="AX8:AY12"/>
    <mergeCell ref="AZ8:BA12"/>
    <mergeCell ref="BB8:BC12"/>
    <mergeCell ref="BH7:BM7"/>
    <mergeCell ref="BN7:BO12"/>
    <mergeCell ref="BP7:BQ12"/>
    <mergeCell ref="BR7:BR12"/>
    <mergeCell ref="Z8:Z12"/>
    <mergeCell ref="AB8:AC12"/>
    <mergeCell ref="AD8:AE12"/>
    <mergeCell ref="AF8:AG12"/>
    <mergeCell ref="AH8:AI12"/>
    <mergeCell ref="AB7:AE7"/>
    <mergeCell ref="AF7:AM7"/>
    <mergeCell ref="AN7:AY7"/>
    <mergeCell ref="AZ7:BE7"/>
    <mergeCell ref="AJ8:AK12"/>
    <mergeCell ref="AL8:AM12"/>
    <mergeCell ref="AN8:AO12"/>
    <mergeCell ref="AP8:AQ12"/>
    <mergeCell ref="BF7:BG12"/>
    <mergeCell ref="A1:BP4"/>
    <mergeCell ref="A5:M6"/>
    <mergeCell ref="O5:BR5"/>
    <mergeCell ref="AB6:BD6"/>
    <mergeCell ref="A7:A12"/>
    <mergeCell ref="B7:C12"/>
    <mergeCell ref="D7:D12"/>
    <mergeCell ref="E7:F12"/>
    <mergeCell ref="G7:G12"/>
    <mergeCell ref="H7:I12"/>
    <mergeCell ref="Q7:Q12"/>
    <mergeCell ref="R7:R12"/>
    <mergeCell ref="S7:S12"/>
    <mergeCell ref="T7:T12"/>
    <mergeCell ref="U7:U12"/>
    <mergeCell ref="V7:V12"/>
    <mergeCell ref="J7:J12"/>
    <mergeCell ref="K7:K12"/>
    <mergeCell ref="L7:L12"/>
    <mergeCell ref="M7:N8"/>
    <mergeCell ref="O7:O12"/>
    <mergeCell ref="P7:P12"/>
    <mergeCell ref="W7:Y8"/>
    <mergeCell ref="AA7:AA1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63"/>
  <sheetViews>
    <sheetView showGridLines="0" zoomScale="70" zoomScaleNormal="70" workbookViewId="0">
      <selection sqref="A1:BP4"/>
    </sheetView>
  </sheetViews>
  <sheetFormatPr baseColWidth="10" defaultColWidth="11.42578125" defaultRowHeight="15" x14ac:dyDescent="0.2"/>
  <cols>
    <col min="1" max="1" width="12.85546875" style="756" customWidth="1"/>
    <col min="2" max="2" width="4" style="610" customWidth="1"/>
    <col min="3" max="3" width="18.140625" style="610" customWidth="1"/>
    <col min="4" max="4" width="12.42578125" style="610" customWidth="1"/>
    <col min="5" max="5" width="6.42578125" style="610" customWidth="1"/>
    <col min="6" max="6" width="12.85546875" style="610" customWidth="1"/>
    <col min="7" max="7" width="11.85546875" style="610" customWidth="1"/>
    <col min="8" max="8" width="4.5703125" style="610" customWidth="1"/>
    <col min="9" max="9" width="15.140625" style="610" customWidth="1"/>
    <col min="10" max="10" width="13.42578125" style="610" bestFit="1" customWidth="1"/>
    <col min="11" max="11" width="25.7109375" style="757" customWidth="1"/>
    <col min="12" max="12" width="18.7109375" style="758" customWidth="1"/>
    <col min="13" max="13" width="11" style="612" customWidth="1"/>
    <col min="14" max="14" width="11.28515625" style="612" customWidth="1"/>
    <col min="15" max="15" width="27.7109375" style="1083" customWidth="1"/>
    <col min="16" max="16" width="14" style="1083" customWidth="1"/>
    <col min="17" max="17" width="24.5703125" style="757" customWidth="1"/>
    <col min="18" max="18" width="12.7109375" style="759" customWidth="1"/>
    <col min="19" max="19" width="22.28515625" style="1386" customWidth="1"/>
    <col min="20" max="20" width="29" style="757" customWidth="1"/>
    <col min="21" max="21" width="21.28515625" style="757" customWidth="1"/>
    <col min="22" max="22" width="36.42578125" style="757" customWidth="1"/>
    <col min="23" max="23" width="34.5703125" style="1366" bestFit="1" customWidth="1"/>
    <col min="24" max="24" width="29.140625" style="1366" bestFit="1" customWidth="1"/>
    <col min="25" max="25" width="27.7109375" style="1366" bestFit="1" customWidth="1"/>
    <col min="26" max="26" width="17.42578125" style="762" customWidth="1"/>
    <col min="27" max="27" width="26.28515625" style="763" customWidth="1"/>
    <col min="28" max="57" width="10.5703125" style="610" customWidth="1"/>
    <col min="58" max="58" width="10.28515625" style="610" customWidth="1"/>
    <col min="59" max="59" width="13" style="610" customWidth="1"/>
    <col min="60" max="60" width="23" style="610" customWidth="1"/>
    <col min="61" max="61" width="22.85546875" style="1387" customWidth="1"/>
    <col min="62" max="62" width="25" style="1387" customWidth="1"/>
    <col min="63" max="63" width="23" style="1388" customWidth="1"/>
    <col min="64" max="64" width="19" style="610" customWidth="1"/>
    <col min="65" max="66" width="19.85546875" style="1389" customWidth="1"/>
    <col min="67" max="68" width="20.140625" style="1390" customWidth="1"/>
    <col min="69" max="69" width="23.7109375" style="769" customWidth="1"/>
    <col min="70" max="70" width="23.85546875" style="610" bestFit="1" customWidth="1"/>
    <col min="71" max="282" width="11.42578125" style="610"/>
    <col min="283" max="283" width="13.140625" style="610" customWidth="1"/>
    <col min="284" max="284" width="4" style="610" customWidth="1"/>
    <col min="285" max="285" width="12.85546875" style="610" customWidth="1"/>
    <col min="286" max="286" width="14.7109375" style="610" customWidth="1"/>
    <col min="287" max="287" width="10" style="610" customWidth="1"/>
    <col min="288" max="288" width="6.28515625" style="610" customWidth="1"/>
    <col min="289" max="289" width="12.28515625" style="610" customWidth="1"/>
    <col min="290" max="290" width="8.5703125" style="610" customWidth="1"/>
    <col min="291" max="291" width="13.7109375" style="610" customWidth="1"/>
    <col min="292" max="292" width="11.5703125" style="610" customWidth="1"/>
    <col min="293" max="293" width="34.28515625" style="610" customWidth="1"/>
    <col min="294" max="294" width="24.28515625" style="610" customWidth="1"/>
    <col min="295" max="295" width="21.140625" style="610" customWidth="1"/>
    <col min="296" max="296" width="22.140625" style="610" customWidth="1"/>
    <col min="297" max="297" width="8" style="610" customWidth="1"/>
    <col min="298" max="298" width="17" style="610" customWidth="1"/>
    <col min="299" max="299" width="12.7109375" style="610" customWidth="1"/>
    <col min="300" max="300" width="24.5703125" style="610" customWidth="1"/>
    <col min="301" max="301" width="29" style="610" customWidth="1"/>
    <col min="302" max="302" width="17.7109375" style="610" customWidth="1"/>
    <col min="303" max="303" width="36.42578125" style="610" customWidth="1"/>
    <col min="304" max="304" width="21.85546875" style="610" customWidth="1"/>
    <col min="305" max="305" width="11.7109375" style="610" customWidth="1"/>
    <col min="306" max="306" width="26.28515625" style="610" customWidth="1"/>
    <col min="307" max="307" width="9" style="610" customWidth="1"/>
    <col min="308" max="308" width="6.28515625" style="610" customWidth="1"/>
    <col min="309" max="310" width="7.28515625" style="610" customWidth="1"/>
    <col min="311" max="311" width="8.42578125" style="610" customWidth="1"/>
    <col min="312" max="312" width="9.5703125" style="610" customWidth="1"/>
    <col min="313" max="313" width="6.28515625" style="610" customWidth="1"/>
    <col min="314" max="314" width="5.85546875" style="610" customWidth="1"/>
    <col min="315" max="316" width="4.42578125" style="610" customWidth="1"/>
    <col min="317" max="317" width="5" style="610" customWidth="1"/>
    <col min="318" max="318" width="5.85546875" style="610" customWidth="1"/>
    <col min="319" max="319" width="6.140625" style="610" customWidth="1"/>
    <col min="320" max="320" width="6.28515625" style="610" customWidth="1"/>
    <col min="321" max="321" width="11.140625" style="610" customWidth="1"/>
    <col min="322" max="322" width="14.140625" style="610" customWidth="1"/>
    <col min="323" max="323" width="19.85546875" style="610" customWidth="1"/>
    <col min="324" max="324" width="17" style="610" customWidth="1"/>
    <col min="325" max="325" width="20.85546875" style="610" customWidth="1"/>
    <col min="326" max="538" width="11.42578125" style="610"/>
    <col min="539" max="539" width="13.140625" style="610" customWidth="1"/>
    <col min="540" max="540" width="4" style="610" customWidth="1"/>
    <col min="541" max="541" width="12.85546875" style="610" customWidth="1"/>
    <col min="542" max="542" width="14.7109375" style="610" customWidth="1"/>
    <col min="543" max="543" width="10" style="610" customWidth="1"/>
    <col min="544" max="544" width="6.28515625" style="610" customWidth="1"/>
    <col min="545" max="545" width="12.28515625" style="610" customWidth="1"/>
    <col min="546" max="546" width="8.5703125" style="610" customWidth="1"/>
    <col min="547" max="547" width="13.7109375" style="610" customWidth="1"/>
    <col min="548" max="548" width="11.5703125" style="610" customWidth="1"/>
    <col min="549" max="549" width="34.28515625" style="610" customWidth="1"/>
    <col min="550" max="550" width="24.28515625" style="610" customWidth="1"/>
    <col min="551" max="551" width="21.140625" style="610" customWidth="1"/>
    <col min="552" max="552" width="22.140625" style="610" customWidth="1"/>
    <col min="553" max="553" width="8" style="610" customWidth="1"/>
    <col min="554" max="554" width="17" style="610" customWidth="1"/>
    <col min="555" max="555" width="12.7109375" style="610" customWidth="1"/>
    <col min="556" max="556" width="24.5703125" style="610" customWidth="1"/>
    <col min="557" max="557" width="29" style="610" customWidth="1"/>
    <col min="558" max="558" width="17.7109375" style="610" customWidth="1"/>
    <col min="559" max="559" width="36.42578125" style="610" customWidth="1"/>
    <col min="560" max="560" width="21.85546875" style="610" customWidth="1"/>
    <col min="561" max="561" width="11.7109375" style="610" customWidth="1"/>
    <col min="562" max="562" width="26.28515625" style="610" customWidth="1"/>
    <col min="563" max="563" width="9" style="610" customWidth="1"/>
    <col min="564" max="564" width="6.28515625" style="610" customWidth="1"/>
    <col min="565" max="566" width="7.28515625" style="610" customWidth="1"/>
    <col min="567" max="567" width="8.42578125" style="610" customWidth="1"/>
    <col min="568" max="568" width="9.5703125" style="610" customWidth="1"/>
    <col min="569" max="569" width="6.28515625" style="610" customWidth="1"/>
    <col min="570" max="570" width="5.85546875" style="610" customWidth="1"/>
    <col min="571" max="572" width="4.42578125" style="610" customWidth="1"/>
    <col min="573" max="573" width="5" style="610" customWidth="1"/>
    <col min="574" max="574" width="5.85546875" style="610" customWidth="1"/>
    <col min="575" max="575" width="6.140625" style="610" customWidth="1"/>
    <col min="576" max="576" width="6.28515625" style="610" customWidth="1"/>
    <col min="577" max="577" width="11.140625" style="610" customWidth="1"/>
    <col min="578" max="578" width="14.140625" style="610" customWidth="1"/>
    <col min="579" max="579" width="19.85546875" style="610" customWidth="1"/>
    <col min="580" max="580" width="17" style="610" customWidth="1"/>
    <col min="581" max="581" width="20.85546875" style="610" customWidth="1"/>
    <col min="582" max="794" width="11.42578125" style="610"/>
    <col min="795" max="795" width="13.140625" style="610" customWidth="1"/>
    <col min="796" max="796" width="4" style="610" customWidth="1"/>
    <col min="797" max="797" width="12.85546875" style="610" customWidth="1"/>
    <col min="798" max="798" width="14.7109375" style="610" customWidth="1"/>
    <col min="799" max="799" width="10" style="610" customWidth="1"/>
    <col min="800" max="800" width="6.28515625" style="610" customWidth="1"/>
    <col min="801" max="801" width="12.28515625" style="610" customWidth="1"/>
    <col min="802" max="802" width="8.5703125" style="610" customWidth="1"/>
    <col min="803" max="803" width="13.7109375" style="610" customWidth="1"/>
    <col min="804" max="804" width="11.5703125" style="610" customWidth="1"/>
    <col min="805" max="805" width="34.28515625" style="610" customWidth="1"/>
    <col min="806" max="806" width="24.28515625" style="610" customWidth="1"/>
    <col min="807" max="807" width="21.140625" style="610" customWidth="1"/>
    <col min="808" max="808" width="22.140625" style="610" customWidth="1"/>
    <col min="809" max="809" width="8" style="610" customWidth="1"/>
    <col min="810" max="810" width="17" style="610" customWidth="1"/>
    <col min="811" max="811" width="12.7109375" style="610" customWidth="1"/>
    <col min="812" max="812" width="24.5703125" style="610" customWidth="1"/>
    <col min="813" max="813" width="29" style="610" customWidth="1"/>
    <col min="814" max="814" width="17.7109375" style="610" customWidth="1"/>
    <col min="815" max="815" width="36.42578125" style="610" customWidth="1"/>
    <col min="816" max="816" width="21.85546875" style="610" customWidth="1"/>
    <col min="817" max="817" width="11.7109375" style="610" customWidth="1"/>
    <col min="818" max="818" width="26.28515625" style="610" customWidth="1"/>
    <col min="819" max="819" width="9" style="610" customWidth="1"/>
    <col min="820" max="820" width="6.28515625" style="610" customWidth="1"/>
    <col min="821" max="822" width="7.28515625" style="610" customWidth="1"/>
    <col min="823" max="823" width="8.42578125" style="610" customWidth="1"/>
    <col min="824" max="824" width="9.5703125" style="610" customWidth="1"/>
    <col min="825" max="825" width="6.28515625" style="610" customWidth="1"/>
    <col min="826" max="826" width="5.85546875" style="610" customWidth="1"/>
    <col min="827" max="828" width="4.42578125" style="610" customWidth="1"/>
    <col min="829" max="829" width="5" style="610" customWidth="1"/>
    <col min="830" max="830" width="5.85546875" style="610" customWidth="1"/>
    <col min="831" max="831" width="6.140625" style="610" customWidth="1"/>
    <col min="832" max="832" width="6.28515625" style="610" customWidth="1"/>
    <col min="833" max="833" width="11.140625" style="610" customWidth="1"/>
    <col min="834" max="834" width="14.140625" style="610" customWidth="1"/>
    <col min="835" max="835" width="19.85546875" style="610" customWidth="1"/>
    <col min="836" max="836" width="17" style="610" customWidth="1"/>
    <col min="837" max="837" width="20.85546875" style="610" customWidth="1"/>
    <col min="838" max="1050" width="11.42578125" style="610"/>
    <col min="1051" max="1051" width="13.140625" style="610" customWidth="1"/>
    <col min="1052" max="1052" width="4" style="610" customWidth="1"/>
    <col min="1053" max="1053" width="12.85546875" style="610" customWidth="1"/>
    <col min="1054" max="1054" width="14.7109375" style="610" customWidth="1"/>
    <col min="1055" max="1055" width="10" style="610" customWidth="1"/>
    <col min="1056" max="1056" width="6.28515625" style="610" customWidth="1"/>
    <col min="1057" max="1057" width="12.28515625" style="610" customWidth="1"/>
    <col min="1058" max="1058" width="8.5703125" style="610" customWidth="1"/>
    <col min="1059" max="1059" width="13.7109375" style="610" customWidth="1"/>
    <col min="1060" max="1060" width="11.5703125" style="610" customWidth="1"/>
    <col min="1061" max="1061" width="34.28515625" style="610" customWidth="1"/>
    <col min="1062" max="1062" width="24.28515625" style="610" customWidth="1"/>
    <col min="1063" max="1063" width="21.140625" style="610" customWidth="1"/>
    <col min="1064" max="1064" width="22.140625" style="610" customWidth="1"/>
    <col min="1065" max="1065" width="8" style="610" customWidth="1"/>
    <col min="1066" max="1066" width="17" style="610" customWidth="1"/>
    <col min="1067" max="1067" width="12.7109375" style="610" customWidth="1"/>
    <col min="1068" max="1068" width="24.5703125" style="610" customWidth="1"/>
    <col min="1069" max="1069" width="29" style="610" customWidth="1"/>
    <col min="1070" max="1070" width="17.7109375" style="610" customWidth="1"/>
    <col min="1071" max="1071" width="36.42578125" style="610" customWidth="1"/>
    <col min="1072" max="1072" width="21.85546875" style="610" customWidth="1"/>
    <col min="1073" max="1073" width="11.7109375" style="610" customWidth="1"/>
    <col min="1074" max="1074" width="26.28515625" style="610" customWidth="1"/>
    <col min="1075" max="1075" width="9" style="610" customWidth="1"/>
    <col min="1076" max="1076" width="6.28515625" style="610" customWidth="1"/>
    <col min="1077" max="1078" width="7.28515625" style="610" customWidth="1"/>
    <col min="1079" max="1079" width="8.42578125" style="610" customWidth="1"/>
    <col min="1080" max="1080" width="9.5703125" style="610" customWidth="1"/>
    <col min="1081" max="1081" width="6.28515625" style="610" customWidth="1"/>
    <col min="1082" max="1082" width="5.85546875" style="610" customWidth="1"/>
    <col min="1083" max="1084" width="4.42578125" style="610" customWidth="1"/>
    <col min="1085" max="1085" width="5" style="610" customWidth="1"/>
    <col min="1086" max="1086" width="5.85546875" style="610" customWidth="1"/>
    <col min="1087" max="1087" width="6.140625" style="610" customWidth="1"/>
    <col min="1088" max="1088" width="6.28515625" style="610" customWidth="1"/>
    <col min="1089" max="1089" width="11.140625" style="610" customWidth="1"/>
    <col min="1090" max="1090" width="14.140625" style="610" customWidth="1"/>
    <col min="1091" max="1091" width="19.85546875" style="610" customWidth="1"/>
    <col min="1092" max="1092" width="17" style="610" customWidth="1"/>
    <col min="1093" max="1093" width="20.85546875" style="610" customWidth="1"/>
    <col min="1094" max="1306" width="11.42578125" style="610"/>
    <col min="1307" max="1307" width="13.140625" style="610" customWidth="1"/>
    <col min="1308" max="1308" width="4" style="610" customWidth="1"/>
    <col min="1309" max="1309" width="12.85546875" style="610" customWidth="1"/>
    <col min="1310" max="1310" width="14.7109375" style="610" customWidth="1"/>
    <col min="1311" max="1311" width="10" style="610" customWidth="1"/>
    <col min="1312" max="1312" width="6.28515625" style="610" customWidth="1"/>
    <col min="1313" max="1313" width="12.28515625" style="610" customWidth="1"/>
    <col min="1314" max="1314" width="8.5703125" style="610" customWidth="1"/>
    <col min="1315" max="1315" width="13.7109375" style="610" customWidth="1"/>
    <col min="1316" max="1316" width="11.5703125" style="610" customWidth="1"/>
    <col min="1317" max="1317" width="34.28515625" style="610" customWidth="1"/>
    <col min="1318" max="1318" width="24.28515625" style="610" customWidth="1"/>
    <col min="1319" max="1319" width="21.140625" style="610" customWidth="1"/>
    <col min="1320" max="1320" width="22.140625" style="610" customWidth="1"/>
    <col min="1321" max="1321" width="8" style="610" customWidth="1"/>
    <col min="1322" max="1322" width="17" style="610" customWidth="1"/>
    <col min="1323" max="1323" width="12.7109375" style="610" customWidth="1"/>
    <col min="1324" max="1324" width="24.5703125" style="610" customWidth="1"/>
    <col min="1325" max="1325" width="29" style="610" customWidth="1"/>
    <col min="1326" max="1326" width="17.7109375" style="610" customWidth="1"/>
    <col min="1327" max="1327" width="36.42578125" style="610" customWidth="1"/>
    <col min="1328" max="1328" width="21.85546875" style="610" customWidth="1"/>
    <col min="1329" max="1329" width="11.7109375" style="610" customWidth="1"/>
    <col min="1330" max="1330" width="26.28515625" style="610" customWidth="1"/>
    <col min="1331" max="1331" width="9" style="610" customWidth="1"/>
    <col min="1332" max="1332" width="6.28515625" style="610" customWidth="1"/>
    <col min="1333" max="1334" width="7.28515625" style="610" customWidth="1"/>
    <col min="1335" max="1335" width="8.42578125" style="610" customWidth="1"/>
    <col min="1336" max="1336" width="9.5703125" style="610" customWidth="1"/>
    <col min="1337" max="1337" width="6.28515625" style="610" customWidth="1"/>
    <col min="1338" max="1338" width="5.85546875" style="610" customWidth="1"/>
    <col min="1339" max="1340" width="4.42578125" style="610" customWidth="1"/>
    <col min="1341" max="1341" width="5" style="610" customWidth="1"/>
    <col min="1342" max="1342" width="5.85546875" style="610" customWidth="1"/>
    <col min="1343" max="1343" width="6.140625" style="610" customWidth="1"/>
    <col min="1344" max="1344" width="6.28515625" style="610" customWidth="1"/>
    <col min="1345" max="1345" width="11.140625" style="610" customWidth="1"/>
    <col min="1346" max="1346" width="14.140625" style="610" customWidth="1"/>
    <col min="1347" max="1347" width="19.85546875" style="610" customWidth="1"/>
    <col min="1348" max="1348" width="17" style="610" customWidth="1"/>
    <col min="1349" max="1349" width="20.85546875" style="610" customWidth="1"/>
    <col min="1350" max="1562" width="11.42578125" style="610"/>
    <col min="1563" max="1563" width="13.140625" style="610" customWidth="1"/>
    <col min="1564" max="1564" width="4" style="610" customWidth="1"/>
    <col min="1565" max="1565" width="12.85546875" style="610" customWidth="1"/>
    <col min="1566" max="1566" width="14.7109375" style="610" customWidth="1"/>
    <col min="1567" max="1567" width="10" style="610" customWidth="1"/>
    <col min="1568" max="1568" width="6.28515625" style="610" customWidth="1"/>
    <col min="1569" max="1569" width="12.28515625" style="610" customWidth="1"/>
    <col min="1570" max="1570" width="8.5703125" style="610" customWidth="1"/>
    <col min="1571" max="1571" width="13.7109375" style="610" customWidth="1"/>
    <col min="1572" max="1572" width="11.5703125" style="610" customWidth="1"/>
    <col min="1573" max="1573" width="34.28515625" style="610" customWidth="1"/>
    <col min="1574" max="1574" width="24.28515625" style="610" customWidth="1"/>
    <col min="1575" max="1575" width="21.140625" style="610" customWidth="1"/>
    <col min="1576" max="1576" width="22.140625" style="610" customWidth="1"/>
    <col min="1577" max="1577" width="8" style="610" customWidth="1"/>
    <col min="1578" max="1578" width="17" style="610" customWidth="1"/>
    <col min="1579" max="1579" width="12.7109375" style="610" customWidth="1"/>
    <col min="1580" max="1580" width="24.5703125" style="610" customWidth="1"/>
    <col min="1581" max="1581" width="29" style="610" customWidth="1"/>
    <col min="1582" max="1582" width="17.7109375" style="610" customWidth="1"/>
    <col min="1583" max="1583" width="36.42578125" style="610" customWidth="1"/>
    <col min="1584" max="1584" width="21.85546875" style="610" customWidth="1"/>
    <col min="1585" max="1585" width="11.7109375" style="610" customWidth="1"/>
    <col min="1586" max="1586" width="26.28515625" style="610" customWidth="1"/>
    <col min="1587" max="1587" width="9" style="610" customWidth="1"/>
    <col min="1588" max="1588" width="6.28515625" style="610" customWidth="1"/>
    <col min="1589" max="1590" width="7.28515625" style="610" customWidth="1"/>
    <col min="1591" max="1591" width="8.42578125" style="610" customWidth="1"/>
    <col min="1592" max="1592" width="9.5703125" style="610" customWidth="1"/>
    <col min="1593" max="1593" width="6.28515625" style="610" customWidth="1"/>
    <col min="1594" max="1594" width="5.85546875" style="610" customWidth="1"/>
    <col min="1595" max="1596" width="4.42578125" style="610" customWidth="1"/>
    <col min="1597" max="1597" width="5" style="610" customWidth="1"/>
    <col min="1598" max="1598" width="5.85546875" style="610" customWidth="1"/>
    <col min="1599" max="1599" width="6.140625" style="610" customWidth="1"/>
    <col min="1600" max="1600" width="6.28515625" style="610" customWidth="1"/>
    <col min="1601" max="1601" width="11.140625" style="610" customWidth="1"/>
    <col min="1602" max="1602" width="14.140625" style="610" customWidth="1"/>
    <col min="1603" max="1603" width="19.85546875" style="610" customWidth="1"/>
    <col min="1604" max="1604" width="17" style="610" customWidth="1"/>
    <col min="1605" max="1605" width="20.85546875" style="610" customWidth="1"/>
    <col min="1606" max="1818" width="11.42578125" style="610"/>
    <col min="1819" max="1819" width="13.140625" style="610" customWidth="1"/>
    <col min="1820" max="1820" width="4" style="610" customWidth="1"/>
    <col min="1821" max="1821" width="12.85546875" style="610" customWidth="1"/>
    <col min="1822" max="1822" width="14.7109375" style="610" customWidth="1"/>
    <col min="1823" max="1823" width="10" style="610" customWidth="1"/>
    <col min="1824" max="1824" width="6.28515625" style="610" customWidth="1"/>
    <col min="1825" max="1825" width="12.28515625" style="610" customWidth="1"/>
    <col min="1826" max="1826" width="8.5703125" style="610" customWidth="1"/>
    <col min="1827" max="1827" width="13.7109375" style="610" customWidth="1"/>
    <col min="1828" max="1828" width="11.5703125" style="610" customWidth="1"/>
    <col min="1829" max="1829" width="34.28515625" style="610" customWidth="1"/>
    <col min="1830" max="1830" width="24.28515625" style="610" customWidth="1"/>
    <col min="1831" max="1831" width="21.140625" style="610" customWidth="1"/>
    <col min="1832" max="1832" width="22.140625" style="610" customWidth="1"/>
    <col min="1833" max="1833" width="8" style="610" customWidth="1"/>
    <col min="1834" max="1834" width="17" style="610" customWidth="1"/>
    <col min="1835" max="1835" width="12.7109375" style="610" customWidth="1"/>
    <col min="1836" max="1836" width="24.5703125" style="610" customWidth="1"/>
    <col min="1837" max="1837" width="29" style="610" customWidth="1"/>
    <col min="1838" max="1838" width="17.7109375" style="610" customWidth="1"/>
    <col min="1839" max="1839" width="36.42578125" style="610" customWidth="1"/>
    <col min="1840" max="1840" width="21.85546875" style="610" customWidth="1"/>
    <col min="1841" max="1841" width="11.7109375" style="610" customWidth="1"/>
    <col min="1842" max="1842" width="26.28515625" style="610" customWidth="1"/>
    <col min="1843" max="1843" width="9" style="610" customWidth="1"/>
    <col min="1844" max="1844" width="6.28515625" style="610" customWidth="1"/>
    <col min="1845" max="1846" width="7.28515625" style="610" customWidth="1"/>
    <col min="1847" max="1847" width="8.42578125" style="610" customWidth="1"/>
    <col min="1848" max="1848" width="9.5703125" style="610" customWidth="1"/>
    <col min="1849" max="1849" width="6.28515625" style="610" customWidth="1"/>
    <col min="1850" max="1850" width="5.85546875" style="610" customWidth="1"/>
    <col min="1851" max="1852" width="4.42578125" style="610" customWidth="1"/>
    <col min="1853" max="1853" width="5" style="610" customWidth="1"/>
    <col min="1854" max="1854" width="5.85546875" style="610" customWidth="1"/>
    <col min="1855" max="1855" width="6.140625" style="610" customWidth="1"/>
    <col min="1856" max="1856" width="6.28515625" style="610" customWidth="1"/>
    <col min="1857" max="1857" width="11.140625" style="610" customWidth="1"/>
    <col min="1858" max="1858" width="14.140625" style="610" customWidth="1"/>
    <col min="1859" max="1859" width="19.85546875" style="610" customWidth="1"/>
    <col min="1860" max="1860" width="17" style="610" customWidth="1"/>
    <col min="1861" max="1861" width="20.85546875" style="610" customWidth="1"/>
    <col min="1862" max="2074" width="11.42578125" style="610"/>
    <col min="2075" max="2075" width="13.140625" style="610" customWidth="1"/>
    <col min="2076" max="2076" width="4" style="610" customWidth="1"/>
    <col min="2077" max="2077" width="12.85546875" style="610" customWidth="1"/>
    <col min="2078" max="2078" width="14.7109375" style="610" customWidth="1"/>
    <col min="2079" max="2079" width="10" style="610" customWidth="1"/>
    <col min="2080" max="2080" width="6.28515625" style="610" customWidth="1"/>
    <col min="2081" max="2081" width="12.28515625" style="610" customWidth="1"/>
    <col min="2082" max="2082" width="8.5703125" style="610" customWidth="1"/>
    <col min="2083" max="2083" width="13.7109375" style="610" customWidth="1"/>
    <col min="2084" max="2084" width="11.5703125" style="610" customWidth="1"/>
    <col min="2085" max="2085" width="34.28515625" style="610" customWidth="1"/>
    <col min="2086" max="2086" width="24.28515625" style="610" customWidth="1"/>
    <col min="2087" max="2087" width="21.140625" style="610" customWidth="1"/>
    <col min="2088" max="2088" width="22.140625" style="610" customWidth="1"/>
    <col min="2089" max="2089" width="8" style="610" customWidth="1"/>
    <col min="2090" max="2090" width="17" style="610" customWidth="1"/>
    <col min="2091" max="2091" width="12.7109375" style="610" customWidth="1"/>
    <col min="2092" max="2092" width="24.5703125" style="610" customWidth="1"/>
    <col min="2093" max="2093" width="29" style="610" customWidth="1"/>
    <col min="2094" max="2094" width="17.7109375" style="610" customWidth="1"/>
    <col min="2095" max="2095" width="36.42578125" style="610" customWidth="1"/>
    <col min="2096" max="2096" width="21.85546875" style="610" customWidth="1"/>
    <col min="2097" max="2097" width="11.7109375" style="610" customWidth="1"/>
    <col min="2098" max="2098" width="26.28515625" style="610" customWidth="1"/>
    <col min="2099" max="2099" width="9" style="610" customWidth="1"/>
    <col min="2100" max="2100" width="6.28515625" style="610" customWidth="1"/>
    <col min="2101" max="2102" width="7.28515625" style="610" customWidth="1"/>
    <col min="2103" max="2103" width="8.42578125" style="610" customWidth="1"/>
    <col min="2104" max="2104" width="9.5703125" style="610" customWidth="1"/>
    <col min="2105" max="2105" width="6.28515625" style="610" customWidth="1"/>
    <col min="2106" max="2106" width="5.85546875" style="610" customWidth="1"/>
    <col min="2107" max="2108" width="4.42578125" style="610" customWidth="1"/>
    <col min="2109" max="2109" width="5" style="610" customWidth="1"/>
    <col min="2110" max="2110" width="5.85546875" style="610" customWidth="1"/>
    <col min="2111" max="2111" width="6.140625" style="610" customWidth="1"/>
    <col min="2112" max="2112" width="6.28515625" style="610" customWidth="1"/>
    <col min="2113" max="2113" width="11.140625" style="610" customWidth="1"/>
    <col min="2114" max="2114" width="14.140625" style="610" customWidth="1"/>
    <col min="2115" max="2115" width="19.85546875" style="610" customWidth="1"/>
    <col min="2116" max="2116" width="17" style="610" customWidth="1"/>
    <col min="2117" max="2117" width="20.85546875" style="610" customWidth="1"/>
    <col min="2118" max="2330" width="11.42578125" style="610"/>
    <col min="2331" max="2331" width="13.140625" style="610" customWidth="1"/>
    <col min="2332" max="2332" width="4" style="610" customWidth="1"/>
    <col min="2333" max="2333" width="12.85546875" style="610" customWidth="1"/>
    <col min="2334" max="2334" width="14.7109375" style="610" customWidth="1"/>
    <col min="2335" max="2335" width="10" style="610" customWidth="1"/>
    <col min="2336" max="2336" width="6.28515625" style="610" customWidth="1"/>
    <col min="2337" max="2337" width="12.28515625" style="610" customWidth="1"/>
    <col min="2338" max="2338" width="8.5703125" style="610" customWidth="1"/>
    <col min="2339" max="2339" width="13.7109375" style="610" customWidth="1"/>
    <col min="2340" max="2340" width="11.5703125" style="610" customWidth="1"/>
    <col min="2341" max="2341" width="34.28515625" style="610" customWidth="1"/>
    <col min="2342" max="2342" width="24.28515625" style="610" customWidth="1"/>
    <col min="2343" max="2343" width="21.140625" style="610" customWidth="1"/>
    <col min="2344" max="2344" width="22.140625" style="610" customWidth="1"/>
    <col min="2345" max="2345" width="8" style="610" customWidth="1"/>
    <col min="2346" max="2346" width="17" style="610" customWidth="1"/>
    <col min="2347" max="2347" width="12.7109375" style="610" customWidth="1"/>
    <col min="2348" max="2348" width="24.5703125" style="610" customWidth="1"/>
    <col min="2349" max="2349" width="29" style="610" customWidth="1"/>
    <col min="2350" max="2350" width="17.7109375" style="610" customWidth="1"/>
    <col min="2351" max="2351" width="36.42578125" style="610" customWidth="1"/>
    <col min="2352" max="2352" width="21.85546875" style="610" customWidth="1"/>
    <col min="2353" max="2353" width="11.7109375" style="610" customWidth="1"/>
    <col min="2354" max="2354" width="26.28515625" style="610" customWidth="1"/>
    <col min="2355" max="2355" width="9" style="610" customWidth="1"/>
    <col min="2356" max="2356" width="6.28515625" style="610" customWidth="1"/>
    <col min="2357" max="2358" width="7.28515625" style="610" customWidth="1"/>
    <col min="2359" max="2359" width="8.42578125" style="610" customWidth="1"/>
    <col min="2360" max="2360" width="9.5703125" style="610" customWidth="1"/>
    <col min="2361" max="2361" width="6.28515625" style="610" customWidth="1"/>
    <col min="2362" max="2362" width="5.85546875" style="610" customWidth="1"/>
    <col min="2363" max="2364" width="4.42578125" style="610" customWidth="1"/>
    <col min="2365" max="2365" width="5" style="610" customWidth="1"/>
    <col min="2366" max="2366" width="5.85546875" style="610" customWidth="1"/>
    <col min="2367" max="2367" width="6.140625" style="610" customWidth="1"/>
    <col min="2368" max="2368" width="6.28515625" style="610" customWidth="1"/>
    <col min="2369" max="2369" width="11.140625" style="610" customWidth="1"/>
    <col min="2370" max="2370" width="14.140625" style="610" customWidth="1"/>
    <col min="2371" max="2371" width="19.85546875" style="610" customWidth="1"/>
    <col min="2372" max="2372" width="17" style="610" customWidth="1"/>
    <col min="2373" max="2373" width="20.85546875" style="610" customWidth="1"/>
    <col min="2374" max="2586" width="11.42578125" style="610"/>
    <col min="2587" max="2587" width="13.140625" style="610" customWidth="1"/>
    <col min="2588" max="2588" width="4" style="610" customWidth="1"/>
    <col min="2589" max="2589" width="12.85546875" style="610" customWidth="1"/>
    <col min="2590" max="2590" width="14.7109375" style="610" customWidth="1"/>
    <col min="2591" max="2591" width="10" style="610" customWidth="1"/>
    <col min="2592" max="2592" width="6.28515625" style="610" customWidth="1"/>
    <col min="2593" max="2593" width="12.28515625" style="610" customWidth="1"/>
    <col min="2594" max="2594" width="8.5703125" style="610" customWidth="1"/>
    <col min="2595" max="2595" width="13.7109375" style="610" customWidth="1"/>
    <col min="2596" max="2596" width="11.5703125" style="610" customWidth="1"/>
    <col min="2597" max="2597" width="34.28515625" style="610" customWidth="1"/>
    <col min="2598" max="2598" width="24.28515625" style="610" customWidth="1"/>
    <col min="2599" max="2599" width="21.140625" style="610" customWidth="1"/>
    <col min="2600" max="2600" width="22.140625" style="610" customWidth="1"/>
    <col min="2601" max="2601" width="8" style="610" customWidth="1"/>
    <col min="2602" max="2602" width="17" style="610" customWidth="1"/>
    <col min="2603" max="2603" width="12.7109375" style="610" customWidth="1"/>
    <col min="2604" max="2604" width="24.5703125" style="610" customWidth="1"/>
    <col min="2605" max="2605" width="29" style="610" customWidth="1"/>
    <col min="2606" max="2606" width="17.7109375" style="610" customWidth="1"/>
    <col min="2607" max="2607" width="36.42578125" style="610" customWidth="1"/>
    <col min="2608" max="2608" width="21.85546875" style="610" customWidth="1"/>
    <col min="2609" max="2609" width="11.7109375" style="610" customWidth="1"/>
    <col min="2610" max="2610" width="26.28515625" style="610" customWidth="1"/>
    <col min="2611" max="2611" width="9" style="610" customWidth="1"/>
    <col min="2612" max="2612" width="6.28515625" style="610" customWidth="1"/>
    <col min="2613" max="2614" width="7.28515625" style="610" customWidth="1"/>
    <col min="2615" max="2615" width="8.42578125" style="610" customWidth="1"/>
    <col min="2616" max="2616" width="9.5703125" style="610" customWidth="1"/>
    <col min="2617" max="2617" width="6.28515625" style="610" customWidth="1"/>
    <col min="2618" max="2618" width="5.85546875" style="610" customWidth="1"/>
    <col min="2619" max="2620" width="4.42578125" style="610" customWidth="1"/>
    <col min="2621" max="2621" width="5" style="610" customWidth="1"/>
    <col min="2622" max="2622" width="5.85546875" style="610" customWidth="1"/>
    <col min="2623" max="2623" width="6.140625" style="610" customWidth="1"/>
    <col min="2624" max="2624" width="6.28515625" style="610" customWidth="1"/>
    <col min="2625" max="2625" width="11.140625" style="610" customWidth="1"/>
    <col min="2626" max="2626" width="14.140625" style="610" customWidth="1"/>
    <col min="2627" max="2627" width="19.85546875" style="610" customWidth="1"/>
    <col min="2628" max="2628" width="17" style="610" customWidth="1"/>
    <col min="2629" max="2629" width="20.85546875" style="610" customWidth="1"/>
    <col min="2630" max="2842" width="11.42578125" style="610"/>
    <col min="2843" max="2843" width="13.140625" style="610" customWidth="1"/>
    <col min="2844" max="2844" width="4" style="610" customWidth="1"/>
    <col min="2845" max="2845" width="12.85546875" style="610" customWidth="1"/>
    <col min="2846" max="2846" width="14.7109375" style="610" customWidth="1"/>
    <col min="2847" max="2847" width="10" style="610" customWidth="1"/>
    <col min="2848" max="2848" width="6.28515625" style="610" customWidth="1"/>
    <col min="2849" max="2849" width="12.28515625" style="610" customWidth="1"/>
    <col min="2850" max="2850" width="8.5703125" style="610" customWidth="1"/>
    <col min="2851" max="2851" width="13.7109375" style="610" customWidth="1"/>
    <col min="2852" max="2852" width="11.5703125" style="610" customWidth="1"/>
    <col min="2853" max="2853" width="34.28515625" style="610" customWidth="1"/>
    <col min="2854" max="2854" width="24.28515625" style="610" customWidth="1"/>
    <col min="2855" max="2855" width="21.140625" style="610" customWidth="1"/>
    <col min="2856" max="2856" width="22.140625" style="610" customWidth="1"/>
    <col min="2857" max="2857" width="8" style="610" customWidth="1"/>
    <col min="2858" max="2858" width="17" style="610" customWidth="1"/>
    <col min="2859" max="2859" width="12.7109375" style="610" customWidth="1"/>
    <col min="2860" max="2860" width="24.5703125" style="610" customWidth="1"/>
    <col min="2861" max="2861" width="29" style="610" customWidth="1"/>
    <col min="2862" max="2862" width="17.7109375" style="610" customWidth="1"/>
    <col min="2863" max="2863" width="36.42578125" style="610" customWidth="1"/>
    <col min="2864" max="2864" width="21.85546875" style="610" customWidth="1"/>
    <col min="2865" max="2865" width="11.7109375" style="610" customWidth="1"/>
    <col min="2866" max="2866" width="26.28515625" style="610" customWidth="1"/>
    <col min="2867" max="2867" width="9" style="610" customWidth="1"/>
    <col min="2868" max="2868" width="6.28515625" style="610" customWidth="1"/>
    <col min="2869" max="2870" width="7.28515625" style="610" customWidth="1"/>
    <col min="2871" max="2871" width="8.42578125" style="610" customWidth="1"/>
    <col min="2872" max="2872" width="9.5703125" style="610" customWidth="1"/>
    <col min="2873" max="2873" width="6.28515625" style="610" customWidth="1"/>
    <col min="2874" max="2874" width="5.85546875" style="610" customWidth="1"/>
    <col min="2875" max="2876" width="4.42578125" style="610" customWidth="1"/>
    <col min="2877" max="2877" width="5" style="610" customWidth="1"/>
    <col min="2878" max="2878" width="5.85546875" style="610" customWidth="1"/>
    <col min="2879" max="2879" width="6.140625" style="610" customWidth="1"/>
    <col min="2880" max="2880" width="6.28515625" style="610" customWidth="1"/>
    <col min="2881" max="2881" width="11.140625" style="610" customWidth="1"/>
    <col min="2882" max="2882" width="14.140625" style="610" customWidth="1"/>
    <col min="2883" max="2883" width="19.85546875" style="610" customWidth="1"/>
    <col min="2884" max="2884" width="17" style="610" customWidth="1"/>
    <col min="2885" max="2885" width="20.85546875" style="610" customWidth="1"/>
    <col min="2886" max="3098" width="11.42578125" style="610"/>
    <col min="3099" max="3099" width="13.140625" style="610" customWidth="1"/>
    <col min="3100" max="3100" width="4" style="610" customWidth="1"/>
    <col min="3101" max="3101" width="12.85546875" style="610" customWidth="1"/>
    <col min="3102" max="3102" width="14.7109375" style="610" customWidth="1"/>
    <col min="3103" max="3103" width="10" style="610" customWidth="1"/>
    <col min="3104" max="3104" width="6.28515625" style="610" customWidth="1"/>
    <col min="3105" max="3105" width="12.28515625" style="610" customWidth="1"/>
    <col min="3106" max="3106" width="8.5703125" style="610" customWidth="1"/>
    <col min="3107" max="3107" width="13.7109375" style="610" customWidth="1"/>
    <col min="3108" max="3108" width="11.5703125" style="610" customWidth="1"/>
    <col min="3109" max="3109" width="34.28515625" style="610" customWidth="1"/>
    <col min="3110" max="3110" width="24.28515625" style="610" customWidth="1"/>
    <col min="3111" max="3111" width="21.140625" style="610" customWidth="1"/>
    <col min="3112" max="3112" width="22.140625" style="610" customWidth="1"/>
    <col min="3113" max="3113" width="8" style="610" customWidth="1"/>
    <col min="3114" max="3114" width="17" style="610" customWidth="1"/>
    <col min="3115" max="3115" width="12.7109375" style="610" customWidth="1"/>
    <col min="3116" max="3116" width="24.5703125" style="610" customWidth="1"/>
    <col min="3117" max="3117" width="29" style="610" customWidth="1"/>
    <col min="3118" max="3118" width="17.7109375" style="610" customWidth="1"/>
    <col min="3119" max="3119" width="36.42578125" style="610" customWidth="1"/>
    <col min="3120" max="3120" width="21.85546875" style="610" customWidth="1"/>
    <col min="3121" max="3121" width="11.7109375" style="610" customWidth="1"/>
    <col min="3122" max="3122" width="26.28515625" style="610" customWidth="1"/>
    <col min="3123" max="3123" width="9" style="610" customWidth="1"/>
    <col min="3124" max="3124" width="6.28515625" style="610" customWidth="1"/>
    <col min="3125" max="3126" width="7.28515625" style="610" customWidth="1"/>
    <col min="3127" max="3127" width="8.42578125" style="610" customWidth="1"/>
    <col min="3128" max="3128" width="9.5703125" style="610" customWidth="1"/>
    <col min="3129" max="3129" width="6.28515625" style="610" customWidth="1"/>
    <col min="3130" max="3130" width="5.85546875" style="610" customWidth="1"/>
    <col min="3131" max="3132" width="4.42578125" style="610" customWidth="1"/>
    <col min="3133" max="3133" width="5" style="610" customWidth="1"/>
    <col min="3134" max="3134" width="5.85546875" style="610" customWidth="1"/>
    <col min="3135" max="3135" width="6.140625" style="610" customWidth="1"/>
    <col min="3136" max="3136" width="6.28515625" style="610" customWidth="1"/>
    <col min="3137" max="3137" width="11.140625" style="610" customWidth="1"/>
    <col min="3138" max="3138" width="14.140625" style="610" customWidth="1"/>
    <col min="3139" max="3139" width="19.85546875" style="610" customWidth="1"/>
    <col min="3140" max="3140" width="17" style="610" customWidth="1"/>
    <col min="3141" max="3141" width="20.85546875" style="610" customWidth="1"/>
    <col min="3142" max="3354" width="11.42578125" style="610"/>
    <col min="3355" max="3355" width="13.140625" style="610" customWidth="1"/>
    <col min="3356" max="3356" width="4" style="610" customWidth="1"/>
    <col min="3357" max="3357" width="12.85546875" style="610" customWidth="1"/>
    <col min="3358" max="3358" width="14.7109375" style="610" customWidth="1"/>
    <col min="3359" max="3359" width="10" style="610" customWidth="1"/>
    <col min="3360" max="3360" width="6.28515625" style="610" customWidth="1"/>
    <col min="3361" max="3361" width="12.28515625" style="610" customWidth="1"/>
    <col min="3362" max="3362" width="8.5703125" style="610" customWidth="1"/>
    <col min="3363" max="3363" width="13.7109375" style="610" customWidth="1"/>
    <col min="3364" max="3364" width="11.5703125" style="610" customWidth="1"/>
    <col min="3365" max="3365" width="34.28515625" style="610" customWidth="1"/>
    <col min="3366" max="3366" width="24.28515625" style="610" customWidth="1"/>
    <col min="3367" max="3367" width="21.140625" style="610" customWidth="1"/>
    <col min="3368" max="3368" width="22.140625" style="610" customWidth="1"/>
    <col min="3369" max="3369" width="8" style="610" customWidth="1"/>
    <col min="3370" max="3370" width="17" style="610" customWidth="1"/>
    <col min="3371" max="3371" width="12.7109375" style="610" customWidth="1"/>
    <col min="3372" max="3372" width="24.5703125" style="610" customWidth="1"/>
    <col min="3373" max="3373" width="29" style="610" customWidth="1"/>
    <col min="3374" max="3374" width="17.7109375" style="610" customWidth="1"/>
    <col min="3375" max="3375" width="36.42578125" style="610" customWidth="1"/>
    <col min="3376" max="3376" width="21.85546875" style="610" customWidth="1"/>
    <col min="3377" max="3377" width="11.7109375" style="610" customWidth="1"/>
    <col min="3378" max="3378" width="26.28515625" style="610" customWidth="1"/>
    <col min="3379" max="3379" width="9" style="610" customWidth="1"/>
    <col min="3380" max="3380" width="6.28515625" style="610" customWidth="1"/>
    <col min="3381" max="3382" width="7.28515625" style="610" customWidth="1"/>
    <col min="3383" max="3383" width="8.42578125" style="610" customWidth="1"/>
    <col min="3384" max="3384" width="9.5703125" style="610" customWidth="1"/>
    <col min="3385" max="3385" width="6.28515625" style="610" customWidth="1"/>
    <col min="3386" max="3386" width="5.85546875" style="610" customWidth="1"/>
    <col min="3387" max="3388" width="4.42578125" style="610" customWidth="1"/>
    <col min="3389" max="3389" width="5" style="610" customWidth="1"/>
    <col min="3390" max="3390" width="5.85546875" style="610" customWidth="1"/>
    <col min="3391" max="3391" width="6.140625" style="610" customWidth="1"/>
    <col min="3392" max="3392" width="6.28515625" style="610" customWidth="1"/>
    <col min="3393" max="3393" width="11.140625" style="610" customWidth="1"/>
    <col min="3394" max="3394" width="14.140625" style="610" customWidth="1"/>
    <col min="3395" max="3395" width="19.85546875" style="610" customWidth="1"/>
    <col min="3396" max="3396" width="17" style="610" customWidth="1"/>
    <col min="3397" max="3397" width="20.85546875" style="610" customWidth="1"/>
    <col min="3398" max="3610" width="11.42578125" style="610"/>
    <col min="3611" max="3611" width="13.140625" style="610" customWidth="1"/>
    <col min="3612" max="3612" width="4" style="610" customWidth="1"/>
    <col min="3613" max="3613" width="12.85546875" style="610" customWidth="1"/>
    <col min="3614" max="3614" width="14.7109375" style="610" customWidth="1"/>
    <col min="3615" max="3615" width="10" style="610" customWidth="1"/>
    <col min="3616" max="3616" width="6.28515625" style="610" customWidth="1"/>
    <col min="3617" max="3617" width="12.28515625" style="610" customWidth="1"/>
    <col min="3618" max="3618" width="8.5703125" style="610" customWidth="1"/>
    <col min="3619" max="3619" width="13.7109375" style="610" customWidth="1"/>
    <col min="3620" max="3620" width="11.5703125" style="610" customWidth="1"/>
    <col min="3621" max="3621" width="34.28515625" style="610" customWidth="1"/>
    <col min="3622" max="3622" width="24.28515625" style="610" customWidth="1"/>
    <col min="3623" max="3623" width="21.140625" style="610" customWidth="1"/>
    <col min="3624" max="3624" width="22.140625" style="610" customWidth="1"/>
    <col min="3625" max="3625" width="8" style="610" customWidth="1"/>
    <col min="3626" max="3626" width="17" style="610" customWidth="1"/>
    <col min="3627" max="3627" width="12.7109375" style="610" customWidth="1"/>
    <col min="3628" max="3628" width="24.5703125" style="610" customWidth="1"/>
    <col min="3629" max="3629" width="29" style="610" customWidth="1"/>
    <col min="3630" max="3630" width="17.7109375" style="610" customWidth="1"/>
    <col min="3631" max="3631" width="36.42578125" style="610" customWidth="1"/>
    <col min="3632" max="3632" width="21.85546875" style="610" customWidth="1"/>
    <col min="3633" max="3633" width="11.7109375" style="610" customWidth="1"/>
    <col min="3634" max="3634" width="26.28515625" style="610" customWidth="1"/>
    <col min="3635" max="3635" width="9" style="610" customWidth="1"/>
    <col min="3636" max="3636" width="6.28515625" style="610" customWidth="1"/>
    <col min="3637" max="3638" width="7.28515625" style="610" customWidth="1"/>
    <col min="3639" max="3639" width="8.42578125" style="610" customWidth="1"/>
    <col min="3640" max="3640" width="9.5703125" style="610" customWidth="1"/>
    <col min="3641" max="3641" width="6.28515625" style="610" customWidth="1"/>
    <col min="3642" max="3642" width="5.85546875" style="610" customWidth="1"/>
    <col min="3643" max="3644" width="4.42578125" style="610" customWidth="1"/>
    <col min="3645" max="3645" width="5" style="610" customWidth="1"/>
    <col min="3646" max="3646" width="5.85546875" style="610" customWidth="1"/>
    <col min="3647" max="3647" width="6.140625" style="610" customWidth="1"/>
    <col min="3648" max="3648" width="6.28515625" style="610" customWidth="1"/>
    <col min="3649" max="3649" width="11.140625" style="610" customWidth="1"/>
    <col min="3650" max="3650" width="14.140625" style="610" customWidth="1"/>
    <col min="3651" max="3651" width="19.85546875" style="610" customWidth="1"/>
    <col min="3652" max="3652" width="17" style="610" customWidth="1"/>
    <col min="3653" max="3653" width="20.85546875" style="610" customWidth="1"/>
    <col min="3654" max="3866" width="11.42578125" style="610"/>
    <col min="3867" max="3867" width="13.140625" style="610" customWidth="1"/>
    <col min="3868" max="3868" width="4" style="610" customWidth="1"/>
    <col min="3869" max="3869" width="12.85546875" style="610" customWidth="1"/>
    <col min="3870" max="3870" width="14.7109375" style="610" customWidth="1"/>
    <col min="3871" max="3871" width="10" style="610" customWidth="1"/>
    <col min="3872" max="3872" width="6.28515625" style="610" customWidth="1"/>
    <col min="3873" max="3873" width="12.28515625" style="610" customWidth="1"/>
    <col min="3874" max="3874" width="8.5703125" style="610" customWidth="1"/>
    <col min="3875" max="3875" width="13.7109375" style="610" customWidth="1"/>
    <col min="3876" max="3876" width="11.5703125" style="610" customWidth="1"/>
    <col min="3877" max="3877" width="34.28515625" style="610" customWidth="1"/>
    <col min="3878" max="3878" width="24.28515625" style="610" customWidth="1"/>
    <col min="3879" max="3879" width="21.140625" style="610" customWidth="1"/>
    <col min="3880" max="3880" width="22.140625" style="610" customWidth="1"/>
    <col min="3881" max="3881" width="8" style="610" customWidth="1"/>
    <col min="3882" max="3882" width="17" style="610" customWidth="1"/>
    <col min="3883" max="3883" width="12.7109375" style="610" customWidth="1"/>
    <col min="3884" max="3884" width="24.5703125" style="610" customWidth="1"/>
    <col min="3885" max="3885" width="29" style="610" customWidth="1"/>
    <col min="3886" max="3886" width="17.7109375" style="610" customWidth="1"/>
    <col min="3887" max="3887" width="36.42578125" style="610" customWidth="1"/>
    <col min="3888" max="3888" width="21.85546875" style="610" customWidth="1"/>
    <col min="3889" max="3889" width="11.7109375" style="610" customWidth="1"/>
    <col min="3890" max="3890" width="26.28515625" style="610" customWidth="1"/>
    <col min="3891" max="3891" width="9" style="610" customWidth="1"/>
    <col min="3892" max="3892" width="6.28515625" style="610" customWidth="1"/>
    <col min="3893" max="3894" width="7.28515625" style="610" customWidth="1"/>
    <col min="3895" max="3895" width="8.42578125" style="610" customWidth="1"/>
    <col min="3896" max="3896" width="9.5703125" style="610" customWidth="1"/>
    <col min="3897" max="3897" width="6.28515625" style="610" customWidth="1"/>
    <col min="3898" max="3898" width="5.85546875" style="610" customWidth="1"/>
    <col min="3899" max="3900" width="4.42578125" style="610" customWidth="1"/>
    <col min="3901" max="3901" width="5" style="610" customWidth="1"/>
    <col min="3902" max="3902" width="5.85546875" style="610" customWidth="1"/>
    <col min="3903" max="3903" width="6.140625" style="610" customWidth="1"/>
    <col min="3904" max="3904" width="6.28515625" style="610" customWidth="1"/>
    <col min="3905" max="3905" width="11.140625" style="610" customWidth="1"/>
    <col min="3906" max="3906" width="14.140625" style="610" customWidth="1"/>
    <col min="3907" max="3907" width="19.85546875" style="610" customWidth="1"/>
    <col min="3908" max="3908" width="17" style="610" customWidth="1"/>
    <col min="3909" max="3909" width="20.85546875" style="610" customWidth="1"/>
    <col min="3910" max="4122" width="11.42578125" style="610"/>
    <col min="4123" max="4123" width="13.140625" style="610" customWidth="1"/>
    <col min="4124" max="4124" width="4" style="610" customWidth="1"/>
    <col min="4125" max="4125" width="12.85546875" style="610" customWidth="1"/>
    <col min="4126" max="4126" width="14.7109375" style="610" customWidth="1"/>
    <col min="4127" max="4127" width="10" style="610" customWidth="1"/>
    <col min="4128" max="4128" width="6.28515625" style="610" customWidth="1"/>
    <col min="4129" max="4129" width="12.28515625" style="610" customWidth="1"/>
    <col min="4130" max="4130" width="8.5703125" style="610" customWidth="1"/>
    <col min="4131" max="4131" width="13.7109375" style="610" customWidth="1"/>
    <col min="4132" max="4132" width="11.5703125" style="610" customWidth="1"/>
    <col min="4133" max="4133" width="34.28515625" style="610" customWidth="1"/>
    <col min="4134" max="4134" width="24.28515625" style="610" customWidth="1"/>
    <col min="4135" max="4135" width="21.140625" style="610" customWidth="1"/>
    <col min="4136" max="4136" width="22.140625" style="610" customWidth="1"/>
    <col min="4137" max="4137" width="8" style="610" customWidth="1"/>
    <col min="4138" max="4138" width="17" style="610" customWidth="1"/>
    <col min="4139" max="4139" width="12.7109375" style="610" customWidth="1"/>
    <col min="4140" max="4140" width="24.5703125" style="610" customWidth="1"/>
    <col min="4141" max="4141" width="29" style="610" customWidth="1"/>
    <col min="4142" max="4142" width="17.7109375" style="610" customWidth="1"/>
    <col min="4143" max="4143" width="36.42578125" style="610" customWidth="1"/>
    <col min="4144" max="4144" width="21.85546875" style="610" customWidth="1"/>
    <col min="4145" max="4145" width="11.7109375" style="610" customWidth="1"/>
    <col min="4146" max="4146" width="26.28515625" style="610" customWidth="1"/>
    <col min="4147" max="4147" width="9" style="610" customWidth="1"/>
    <col min="4148" max="4148" width="6.28515625" style="610" customWidth="1"/>
    <col min="4149" max="4150" width="7.28515625" style="610" customWidth="1"/>
    <col min="4151" max="4151" width="8.42578125" style="610" customWidth="1"/>
    <col min="4152" max="4152" width="9.5703125" style="610" customWidth="1"/>
    <col min="4153" max="4153" width="6.28515625" style="610" customWidth="1"/>
    <col min="4154" max="4154" width="5.85546875" style="610" customWidth="1"/>
    <col min="4155" max="4156" width="4.42578125" style="610" customWidth="1"/>
    <col min="4157" max="4157" width="5" style="610" customWidth="1"/>
    <col min="4158" max="4158" width="5.85546875" style="610" customWidth="1"/>
    <col min="4159" max="4159" width="6.140625" style="610" customWidth="1"/>
    <col min="4160" max="4160" width="6.28515625" style="610" customWidth="1"/>
    <col min="4161" max="4161" width="11.140625" style="610" customWidth="1"/>
    <col min="4162" max="4162" width="14.140625" style="610" customWidth="1"/>
    <col min="4163" max="4163" width="19.85546875" style="610" customWidth="1"/>
    <col min="4164" max="4164" width="17" style="610" customWidth="1"/>
    <col min="4165" max="4165" width="20.85546875" style="610" customWidth="1"/>
    <col min="4166" max="4378" width="11.42578125" style="610"/>
    <col min="4379" max="4379" width="13.140625" style="610" customWidth="1"/>
    <col min="4380" max="4380" width="4" style="610" customWidth="1"/>
    <col min="4381" max="4381" width="12.85546875" style="610" customWidth="1"/>
    <col min="4382" max="4382" width="14.7109375" style="610" customWidth="1"/>
    <col min="4383" max="4383" width="10" style="610" customWidth="1"/>
    <col min="4384" max="4384" width="6.28515625" style="610" customWidth="1"/>
    <col min="4385" max="4385" width="12.28515625" style="610" customWidth="1"/>
    <col min="4386" max="4386" width="8.5703125" style="610" customWidth="1"/>
    <col min="4387" max="4387" width="13.7109375" style="610" customWidth="1"/>
    <col min="4388" max="4388" width="11.5703125" style="610" customWidth="1"/>
    <col min="4389" max="4389" width="34.28515625" style="610" customWidth="1"/>
    <col min="4390" max="4390" width="24.28515625" style="610" customWidth="1"/>
    <col min="4391" max="4391" width="21.140625" style="610" customWidth="1"/>
    <col min="4392" max="4392" width="22.140625" style="610" customWidth="1"/>
    <col min="4393" max="4393" width="8" style="610" customWidth="1"/>
    <col min="4394" max="4394" width="17" style="610" customWidth="1"/>
    <col min="4395" max="4395" width="12.7109375" style="610" customWidth="1"/>
    <col min="4396" max="4396" width="24.5703125" style="610" customWidth="1"/>
    <col min="4397" max="4397" width="29" style="610" customWidth="1"/>
    <col min="4398" max="4398" width="17.7109375" style="610" customWidth="1"/>
    <col min="4399" max="4399" width="36.42578125" style="610" customWidth="1"/>
    <col min="4400" max="4400" width="21.85546875" style="610" customWidth="1"/>
    <col min="4401" max="4401" width="11.7109375" style="610" customWidth="1"/>
    <col min="4402" max="4402" width="26.28515625" style="610" customWidth="1"/>
    <col min="4403" max="4403" width="9" style="610" customWidth="1"/>
    <col min="4404" max="4404" width="6.28515625" style="610" customWidth="1"/>
    <col min="4405" max="4406" width="7.28515625" style="610" customWidth="1"/>
    <col min="4407" max="4407" width="8.42578125" style="610" customWidth="1"/>
    <col min="4408" max="4408" width="9.5703125" style="610" customWidth="1"/>
    <col min="4409" max="4409" width="6.28515625" style="610" customWidth="1"/>
    <col min="4410" max="4410" width="5.85546875" style="610" customWidth="1"/>
    <col min="4411" max="4412" width="4.42578125" style="610" customWidth="1"/>
    <col min="4413" max="4413" width="5" style="610" customWidth="1"/>
    <col min="4414" max="4414" width="5.85546875" style="610" customWidth="1"/>
    <col min="4415" max="4415" width="6.140625" style="610" customWidth="1"/>
    <col min="4416" max="4416" width="6.28515625" style="610" customWidth="1"/>
    <col min="4417" max="4417" width="11.140625" style="610" customWidth="1"/>
    <col min="4418" max="4418" width="14.140625" style="610" customWidth="1"/>
    <col min="4419" max="4419" width="19.85546875" style="610" customWidth="1"/>
    <col min="4420" max="4420" width="17" style="610" customWidth="1"/>
    <col min="4421" max="4421" width="20.85546875" style="610" customWidth="1"/>
    <col min="4422" max="4634" width="11.42578125" style="610"/>
    <col min="4635" max="4635" width="13.140625" style="610" customWidth="1"/>
    <col min="4636" max="4636" width="4" style="610" customWidth="1"/>
    <col min="4637" max="4637" width="12.85546875" style="610" customWidth="1"/>
    <col min="4638" max="4638" width="14.7109375" style="610" customWidth="1"/>
    <col min="4639" max="4639" width="10" style="610" customWidth="1"/>
    <col min="4640" max="4640" width="6.28515625" style="610" customWidth="1"/>
    <col min="4641" max="4641" width="12.28515625" style="610" customWidth="1"/>
    <col min="4642" max="4642" width="8.5703125" style="610" customWidth="1"/>
    <col min="4643" max="4643" width="13.7109375" style="610" customWidth="1"/>
    <col min="4644" max="4644" width="11.5703125" style="610" customWidth="1"/>
    <col min="4645" max="4645" width="34.28515625" style="610" customWidth="1"/>
    <col min="4646" max="4646" width="24.28515625" style="610" customWidth="1"/>
    <col min="4647" max="4647" width="21.140625" style="610" customWidth="1"/>
    <col min="4648" max="4648" width="22.140625" style="610" customWidth="1"/>
    <col min="4649" max="4649" width="8" style="610" customWidth="1"/>
    <col min="4650" max="4650" width="17" style="610" customWidth="1"/>
    <col min="4651" max="4651" width="12.7109375" style="610" customWidth="1"/>
    <col min="4652" max="4652" width="24.5703125" style="610" customWidth="1"/>
    <col min="4653" max="4653" width="29" style="610" customWidth="1"/>
    <col min="4654" max="4654" width="17.7109375" style="610" customWidth="1"/>
    <col min="4655" max="4655" width="36.42578125" style="610" customWidth="1"/>
    <col min="4656" max="4656" width="21.85546875" style="610" customWidth="1"/>
    <col min="4657" max="4657" width="11.7109375" style="610" customWidth="1"/>
    <col min="4658" max="4658" width="26.28515625" style="610" customWidth="1"/>
    <col min="4659" max="4659" width="9" style="610" customWidth="1"/>
    <col min="4660" max="4660" width="6.28515625" style="610" customWidth="1"/>
    <col min="4661" max="4662" width="7.28515625" style="610" customWidth="1"/>
    <col min="4663" max="4663" width="8.42578125" style="610" customWidth="1"/>
    <col min="4664" max="4664" width="9.5703125" style="610" customWidth="1"/>
    <col min="4665" max="4665" width="6.28515625" style="610" customWidth="1"/>
    <col min="4666" max="4666" width="5.85546875" style="610" customWidth="1"/>
    <col min="4667" max="4668" width="4.42578125" style="610" customWidth="1"/>
    <col min="4669" max="4669" width="5" style="610" customWidth="1"/>
    <col min="4670" max="4670" width="5.85546875" style="610" customWidth="1"/>
    <col min="4671" max="4671" width="6.140625" style="610" customWidth="1"/>
    <col min="4672" max="4672" width="6.28515625" style="610" customWidth="1"/>
    <col min="4673" max="4673" width="11.140625" style="610" customWidth="1"/>
    <col min="4674" max="4674" width="14.140625" style="610" customWidth="1"/>
    <col min="4675" max="4675" width="19.85546875" style="610" customWidth="1"/>
    <col min="4676" max="4676" width="17" style="610" customWidth="1"/>
    <col min="4677" max="4677" width="20.85546875" style="610" customWidth="1"/>
    <col min="4678" max="4890" width="11.42578125" style="610"/>
    <col min="4891" max="4891" width="13.140625" style="610" customWidth="1"/>
    <col min="4892" max="4892" width="4" style="610" customWidth="1"/>
    <col min="4893" max="4893" width="12.85546875" style="610" customWidth="1"/>
    <col min="4894" max="4894" width="14.7109375" style="610" customWidth="1"/>
    <col min="4895" max="4895" width="10" style="610" customWidth="1"/>
    <col min="4896" max="4896" width="6.28515625" style="610" customWidth="1"/>
    <col min="4897" max="4897" width="12.28515625" style="610" customWidth="1"/>
    <col min="4898" max="4898" width="8.5703125" style="610" customWidth="1"/>
    <col min="4899" max="4899" width="13.7109375" style="610" customWidth="1"/>
    <col min="4900" max="4900" width="11.5703125" style="610" customWidth="1"/>
    <col min="4901" max="4901" width="34.28515625" style="610" customWidth="1"/>
    <col min="4902" max="4902" width="24.28515625" style="610" customWidth="1"/>
    <col min="4903" max="4903" width="21.140625" style="610" customWidth="1"/>
    <col min="4904" max="4904" width="22.140625" style="610" customWidth="1"/>
    <col min="4905" max="4905" width="8" style="610" customWidth="1"/>
    <col min="4906" max="4906" width="17" style="610" customWidth="1"/>
    <col min="4907" max="4907" width="12.7109375" style="610" customWidth="1"/>
    <col min="4908" max="4908" width="24.5703125" style="610" customWidth="1"/>
    <col min="4909" max="4909" width="29" style="610" customWidth="1"/>
    <col min="4910" max="4910" width="17.7109375" style="610" customWidth="1"/>
    <col min="4911" max="4911" width="36.42578125" style="610" customWidth="1"/>
    <col min="4912" max="4912" width="21.85546875" style="610" customWidth="1"/>
    <col min="4913" max="4913" width="11.7109375" style="610" customWidth="1"/>
    <col min="4914" max="4914" width="26.28515625" style="610" customWidth="1"/>
    <col min="4915" max="4915" width="9" style="610" customWidth="1"/>
    <col min="4916" max="4916" width="6.28515625" style="610" customWidth="1"/>
    <col min="4917" max="4918" width="7.28515625" style="610" customWidth="1"/>
    <col min="4919" max="4919" width="8.42578125" style="610" customWidth="1"/>
    <col min="4920" max="4920" width="9.5703125" style="610" customWidth="1"/>
    <col min="4921" max="4921" width="6.28515625" style="610" customWidth="1"/>
    <col min="4922" max="4922" width="5.85546875" style="610" customWidth="1"/>
    <col min="4923" max="4924" width="4.42578125" style="610" customWidth="1"/>
    <col min="4925" max="4925" width="5" style="610" customWidth="1"/>
    <col min="4926" max="4926" width="5.85546875" style="610" customWidth="1"/>
    <col min="4927" max="4927" width="6.140625" style="610" customWidth="1"/>
    <col min="4928" max="4928" width="6.28515625" style="610" customWidth="1"/>
    <col min="4929" max="4929" width="11.140625" style="610" customWidth="1"/>
    <col min="4930" max="4930" width="14.140625" style="610" customWidth="1"/>
    <col min="4931" max="4931" width="19.85546875" style="610" customWidth="1"/>
    <col min="4932" max="4932" width="17" style="610" customWidth="1"/>
    <col min="4933" max="4933" width="20.85546875" style="610" customWidth="1"/>
    <col min="4934" max="5146" width="11.42578125" style="610"/>
    <col min="5147" max="5147" width="13.140625" style="610" customWidth="1"/>
    <col min="5148" max="5148" width="4" style="610" customWidth="1"/>
    <col min="5149" max="5149" width="12.85546875" style="610" customWidth="1"/>
    <col min="5150" max="5150" width="14.7109375" style="610" customWidth="1"/>
    <col min="5151" max="5151" width="10" style="610" customWidth="1"/>
    <col min="5152" max="5152" width="6.28515625" style="610" customWidth="1"/>
    <col min="5153" max="5153" width="12.28515625" style="610" customWidth="1"/>
    <col min="5154" max="5154" width="8.5703125" style="610" customWidth="1"/>
    <col min="5155" max="5155" width="13.7109375" style="610" customWidth="1"/>
    <col min="5156" max="5156" width="11.5703125" style="610" customWidth="1"/>
    <col min="5157" max="5157" width="34.28515625" style="610" customWidth="1"/>
    <col min="5158" max="5158" width="24.28515625" style="610" customWidth="1"/>
    <col min="5159" max="5159" width="21.140625" style="610" customWidth="1"/>
    <col min="5160" max="5160" width="22.140625" style="610" customWidth="1"/>
    <col min="5161" max="5161" width="8" style="610" customWidth="1"/>
    <col min="5162" max="5162" width="17" style="610" customWidth="1"/>
    <col min="5163" max="5163" width="12.7109375" style="610" customWidth="1"/>
    <col min="5164" max="5164" width="24.5703125" style="610" customWidth="1"/>
    <col min="5165" max="5165" width="29" style="610" customWidth="1"/>
    <col min="5166" max="5166" width="17.7109375" style="610" customWidth="1"/>
    <col min="5167" max="5167" width="36.42578125" style="610" customWidth="1"/>
    <col min="5168" max="5168" width="21.85546875" style="610" customWidth="1"/>
    <col min="5169" max="5169" width="11.7109375" style="610" customWidth="1"/>
    <col min="5170" max="5170" width="26.28515625" style="610" customWidth="1"/>
    <col min="5171" max="5171" width="9" style="610" customWidth="1"/>
    <col min="5172" max="5172" width="6.28515625" style="610" customWidth="1"/>
    <col min="5173" max="5174" width="7.28515625" style="610" customWidth="1"/>
    <col min="5175" max="5175" width="8.42578125" style="610" customWidth="1"/>
    <col min="5176" max="5176" width="9.5703125" style="610" customWidth="1"/>
    <col min="5177" max="5177" width="6.28515625" style="610" customWidth="1"/>
    <col min="5178" max="5178" width="5.85546875" style="610" customWidth="1"/>
    <col min="5179" max="5180" width="4.42578125" style="610" customWidth="1"/>
    <col min="5181" max="5181" width="5" style="610" customWidth="1"/>
    <col min="5182" max="5182" width="5.85546875" style="610" customWidth="1"/>
    <col min="5183" max="5183" width="6.140625" style="610" customWidth="1"/>
    <col min="5184" max="5184" width="6.28515625" style="610" customWidth="1"/>
    <col min="5185" max="5185" width="11.140625" style="610" customWidth="1"/>
    <col min="5186" max="5186" width="14.140625" style="610" customWidth="1"/>
    <col min="5187" max="5187" width="19.85546875" style="610" customWidth="1"/>
    <col min="5188" max="5188" width="17" style="610" customWidth="1"/>
    <col min="5189" max="5189" width="20.85546875" style="610" customWidth="1"/>
    <col min="5190" max="5402" width="11.42578125" style="610"/>
    <col min="5403" max="5403" width="13.140625" style="610" customWidth="1"/>
    <col min="5404" max="5404" width="4" style="610" customWidth="1"/>
    <col min="5405" max="5405" width="12.85546875" style="610" customWidth="1"/>
    <col min="5406" max="5406" width="14.7109375" style="610" customWidth="1"/>
    <col min="5407" max="5407" width="10" style="610" customWidth="1"/>
    <col min="5408" max="5408" width="6.28515625" style="610" customWidth="1"/>
    <col min="5409" max="5409" width="12.28515625" style="610" customWidth="1"/>
    <col min="5410" max="5410" width="8.5703125" style="610" customWidth="1"/>
    <col min="5411" max="5411" width="13.7109375" style="610" customWidth="1"/>
    <col min="5412" max="5412" width="11.5703125" style="610" customWidth="1"/>
    <col min="5413" max="5413" width="34.28515625" style="610" customWidth="1"/>
    <col min="5414" max="5414" width="24.28515625" style="610" customWidth="1"/>
    <col min="5415" max="5415" width="21.140625" style="610" customWidth="1"/>
    <col min="5416" max="5416" width="22.140625" style="610" customWidth="1"/>
    <col min="5417" max="5417" width="8" style="610" customWidth="1"/>
    <col min="5418" max="5418" width="17" style="610" customWidth="1"/>
    <col min="5419" max="5419" width="12.7109375" style="610" customWidth="1"/>
    <col min="5420" max="5420" width="24.5703125" style="610" customWidth="1"/>
    <col min="5421" max="5421" width="29" style="610" customWidth="1"/>
    <col min="5422" max="5422" width="17.7109375" style="610" customWidth="1"/>
    <col min="5423" max="5423" width="36.42578125" style="610" customWidth="1"/>
    <col min="5424" max="5424" width="21.85546875" style="610" customWidth="1"/>
    <col min="5425" max="5425" width="11.7109375" style="610" customWidth="1"/>
    <col min="5426" max="5426" width="26.28515625" style="610" customWidth="1"/>
    <col min="5427" max="5427" width="9" style="610" customWidth="1"/>
    <col min="5428" max="5428" width="6.28515625" style="610" customWidth="1"/>
    <col min="5429" max="5430" width="7.28515625" style="610" customWidth="1"/>
    <col min="5431" max="5431" width="8.42578125" style="610" customWidth="1"/>
    <col min="5432" max="5432" width="9.5703125" style="610" customWidth="1"/>
    <col min="5433" max="5433" width="6.28515625" style="610" customWidth="1"/>
    <col min="5434" max="5434" width="5.85546875" style="610" customWidth="1"/>
    <col min="5435" max="5436" width="4.42578125" style="610" customWidth="1"/>
    <col min="5437" max="5437" width="5" style="610" customWidth="1"/>
    <col min="5438" max="5438" width="5.85546875" style="610" customWidth="1"/>
    <col min="5439" max="5439" width="6.140625" style="610" customWidth="1"/>
    <col min="5440" max="5440" width="6.28515625" style="610" customWidth="1"/>
    <col min="5441" max="5441" width="11.140625" style="610" customWidth="1"/>
    <col min="5442" max="5442" width="14.140625" style="610" customWidth="1"/>
    <col min="5443" max="5443" width="19.85546875" style="610" customWidth="1"/>
    <col min="5444" max="5444" width="17" style="610" customWidth="1"/>
    <col min="5445" max="5445" width="20.85546875" style="610" customWidth="1"/>
    <col min="5446" max="5658" width="11.42578125" style="610"/>
    <col min="5659" max="5659" width="13.140625" style="610" customWidth="1"/>
    <col min="5660" max="5660" width="4" style="610" customWidth="1"/>
    <col min="5661" max="5661" width="12.85546875" style="610" customWidth="1"/>
    <col min="5662" max="5662" width="14.7109375" style="610" customWidth="1"/>
    <col min="5663" max="5663" width="10" style="610" customWidth="1"/>
    <col min="5664" max="5664" width="6.28515625" style="610" customWidth="1"/>
    <col min="5665" max="5665" width="12.28515625" style="610" customWidth="1"/>
    <col min="5666" max="5666" width="8.5703125" style="610" customWidth="1"/>
    <col min="5667" max="5667" width="13.7109375" style="610" customWidth="1"/>
    <col min="5668" max="5668" width="11.5703125" style="610" customWidth="1"/>
    <col min="5669" max="5669" width="34.28515625" style="610" customWidth="1"/>
    <col min="5670" max="5670" width="24.28515625" style="610" customWidth="1"/>
    <col min="5671" max="5671" width="21.140625" style="610" customWidth="1"/>
    <col min="5672" max="5672" width="22.140625" style="610" customWidth="1"/>
    <col min="5673" max="5673" width="8" style="610" customWidth="1"/>
    <col min="5674" max="5674" width="17" style="610" customWidth="1"/>
    <col min="5675" max="5675" width="12.7109375" style="610" customWidth="1"/>
    <col min="5676" max="5676" width="24.5703125" style="610" customWidth="1"/>
    <col min="5677" max="5677" width="29" style="610" customWidth="1"/>
    <col min="5678" max="5678" width="17.7109375" style="610" customWidth="1"/>
    <col min="5679" max="5679" width="36.42578125" style="610" customWidth="1"/>
    <col min="5680" max="5680" width="21.85546875" style="610" customWidth="1"/>
    <col min="5681" max="5681" width="11.7109375" style="610" customWidth="1"/>
    <col min="5682" max="5682" width="26.28515625" style="610" customWidth="1"/>
    <col min="5683" max="5683" width="9" style="610" customWidth="1"/>
    <col min="5684" max="5684" width="6.28515625" style="610" customWidth="1"/>
    <col min="5685" max="5686" width="7.28515625" style="610" customWidth="1"/>
    <col min="5687" max="5687" width="8.42578125" style="610" customWidth="1"/>
    <col min="5688" max="5688" width="9.5703125" style="610" customWidth="1"/>
    <col min="5689" max="5689" width="6.28515625" style="610" customWidth="1"/>
    <col min="5690" max="5690" width="5.85546875" style="610" customWidth="1"/>
    <col min="5691" max="5692" width="4.42578125" style="610" customWidth="1"/>
    <col min="5693" max="5693" width="5" style="610" customWidth="1"/>
    <col min="5694" max="5694" width="5.85546875" style="610" customWidth="1"/>
    <col min="5695" max="5695" width="6.140625" style="610" customWidth="1"/>
    <col min="5696" max="5696" width="6.28515625" style="610" customWidth="1"/>
    <col min="5697" max="5697" width="11.140625" style="610" customWidth="1"/>
    <col min="5698" max="5698" width="14.140625" style="610" customWidth="1"/>
    <col min="5699" max="5699" width="19.85546875" style="610" customWidth="1"/>
    <col min="5700" max="5700" width="17" style="610" customWidth="1"/>
    <col min="5701" max="5701" width="20.85546875" style="610" customWidth="1"/>
    <col min="5702" max="5914" width="11.42578125" style="610"/>
    <col min="5915" max="5915" width="13.140625" style="610" customWidth="1"/>
    <col min="5916" max="5916" width="4" style="610" customWidth="1"/>
    <col min="5917" max="5917" width="12.85546875" style="610" customWidth="1"/>
    <col min="5918" max="5918" width="14.7109375" style="610" customWidth="1"/>
    <col min="5919" max="5919" width="10" style="610" customWidth="1"/>
    <col min="5920" max="5920" width="6.28515625" style="610" customWidth="1"/>
    <col min="5921" max="5921" width="12.28515625" style="610" customWidth="1"/>
    <col min="5922" max="5922" width="8.5703125" style="610" customWidth="1"/>
    <col min="5923" max="5923" width="13.7109375" style="610" customWidth="1"/>
    <col min="5924" max="5924" width="11.5703125" style="610" customWidth="1"/>
    <col min="5925" max="5925" width="34.28515625" style="610" customWidth="1"/>
    <col min="5926" max="5926" width="24.28515625" style="610" customWidth="1"/>
    <col min="5927" max="5927" width="21.140625" style="610" customWidth="1"/>
    <col min="5928" max="5928" width="22.140625" style="610" customWidth="1"/>
    <col min="5929" max="5929" width="8" style="610" customWidth="1"/>
    <col min="5930" max="5930" width="17" style="610" customWidth="1"/>
    <col min="5931" max="5931" width="12.7109375" style="610" customWidth="1"/>
    <col min="5932" max="5932" width="24.5703125" style="610" customWidth="1"/>
    <col min="5933" max="5933" width="29" style="610" customWidth="1"/>
    <col min="5934" max="5934" width="17.7109375" style="610" customWidth="1"/>
    <col min="5935" max="5935" width="36.42578125" style="610" customWidth="1"/>
    <col min="5936" max="5936" width="21.85546875" style="610" customWidth="1"/>
    <col min="5937" max="5937" width="11.7109375" style="610" customWidth="1"/>
    <col min="5938" max="5938" width="26.28515625" style="610" customWidth="1"/>
    <col min="5939" max="5939" width="9" style="610" customWidth="1"/>
    <col min="5940" max="5940" width="6.28515625" style="610" customWidth="1"/>
    <col min="5941" max="5942" width="7.28515625" style="610" customWidth="1"/>
    <col min="5943" max="5943" width="8.42578125" style="610" customWidth="1"/>
    <col min="5944" max="5944" width="9.5703125" style="610" customWidth="1"/>
    <col min="5945" max="5945" width="6.28515625" style="610" customWidth="1"/>
    <col min="5946" max="5946" width="5.85546875" style="610" customWidth="1"/>
    <col min="5947" max="5948" width="4.42578125" style="610" customWidth="1"/>
    <col min="5949" max="5949" width="5" style="610" customWidth="1"/>
    <col min="5950" max="5950" width="5.85546875" style="610" customWidth="1"/>
    <col min="5951" max="5951" width="6.140625" style="610" customWidth="1"/>
    <col min="5952" max="5952" width="6.28515625" style="610" customWidth="1"/>
    <col min="5953" max="5953" width="11.140625" style="610" customWidth="1"/>
    <col min="5954" max="5954" width="14.140625" style="610" customWidth="1"/>
    <col min="5955" max="5955" width="19.85546875" style="610" customWidth="1"/>
    <col min="5956" max="5956" width="17" style="610" customWidth="1"/>
    <col min="5957" max="5957" width="20.85546875" style="610" customWidth="1"/>
    <col min="5958" max="6170" width="11.42578125" style="610"/>
    <col min="6171" max="6171" width="13.140625" style="610" customWidth="1"/>
    <col min="6172" max="6172" width="4" style="610" customWidth="1"/>
    <col min="6173" max="6173" width="12.85546875" style="610" customWidth="1"/>
    <col min="6174" max="6174" width="14.7109375" style="610" customWidth="1"/>
    <col min="6175" max="6175" width="10" style="610" customWidth="1"/>
    <col min="6176" max="6176" width="6.28515625" style="610" customWidth="1"/>
    <col min="6177" max="6177" width="12.28515625" style="610" customWidth="1"/>
    <col min="6178" max="6178" width="8.5703125" style="610" customWidth="1"/>
    <col min="6179" max="6179" width="13.7109375" style="610" customWidth="1"/>
    <col min="6180" max="6180" width="11.5703125" style="610" customWidth="1"/>
    <col min="6181" max="6181" width="34.28515625" style="610" customWidth="1"/>
    <col min="6182" max="6182" width="24.28515625" style="610" customWidth="1"/>
    <col min="6183" max="6183" width="21.140625" style="610" customWidth="1"/>
    <col min="6184" max="6184" width="22.140625" style="610" customWidth="1"/>
    <col min="6185" max="6185" width="8" style="610" customWidth="1"/>
    <col min="6186" max="6186" width="17" style="610" customWidth="1"/>
    <col min="6187" max="6187" width="12.7109375" style="610" customWidth="1"/>
    <col min="6188" max="6188" width="24.5703125" style="610" customWidth="1"/>
    <col min="6189" max="6189" width="29" style="610" customWidth="1"/>
    <col min="6190" max="6190" width="17.7109375" style="610" customWidth="1"/>
    <col min="6191" max="6191" width="36.42578125" style="610" customWidth="1"/>
    <col min="6192" max="6192" width="21.85546875" style="610" customWidth="1"/>
    <col min="6193" max="6193" width="11.7109375" style="610" customWidth="1"/>
    <col min="6194" max="6194" width="26.28515625" style="610" customWidth="1"/>
    <col min="6195" max="6195" width="9" style="610" customWidth="1"/>
    <col min="6196" max="6196" width="6.28515625" style="610" customWidth="1"/>
    <col min="6197" max="6198" width="7.28515625" style="610" customWidth="1"/>
    <col min="6199" max="6199" width="8.42578125" style="610" customWidth="1"/>
    <col min="6200" max="6200" width="9.5703125" style="610" customWidth="1"/>
    <col min="6201" max="6201" width="6.28515625" style="610" customWidth="1"/>
    <col min="6202" max="6202" width="5.85546875" style="610" customWidth="1"/>
    <col min="6203" max="6204" width="4.42578125" style="610" customWidth="1"/>
    <col min="6205" max="6205" width="5" style="610" customWidth="1"/>
    <col min="6206" max="6206" width="5.85546875" style="610" customWidth="1"/>
    <col min="6207" max="6207" width="6.140625" style="610" customWidth="1"/>
    <col min="6208" max="6208" width="6.28515625" style="610" customWidth="1"/>
    <col min="6209" max="6209" width="11.140625" style="610" customWidth="1"/>
    <col min="6210" max="6210" width="14.140625" style="610" customWidth="1"/>
    <col min="6211" max="6211" width="19.85546875" style="610" customWidth="1"/>
    <col min="6212" max="6212" width="17" style="610" customWidth="1"/>
    <col min="6213" max="6213" width="20.85546875" style="610" customWidth="1"/>
    <col min="6214" max="6426" width="11.42578125" style="610"/>
    <col min="6427" max="6427" width="13.140625" style="610" customWidth="1"/>
    <col min="6428" max="6428" width="4" style="610" customWidth="1"/>
    <col min="6429" max="6429" width="12.85546875" style="610" customWidth="1"/>
    <col min="6430" max="6430" width="14.7109375" style="610" customWidth="1"/>
    <col min="6431" max="6431" width="10" style="610" customWidth="1"/>
    <col min="6432" max="6432" width="6.28515625" style="610" customWidth="1"/>
    <col min="6433" max="6433" width="12.28515625" style="610" customWidth="1"/>
    <col min="6434" max="6434" width="8.5703125" style="610" customWidth="1"/>
    <col min="6435" max="6435" width="13.7109375" style="610" customWidth="1"/>
    <col min="6436" max="6436" width="11.5703125" style="610" customWidth="1"/>
    <col min="6437" max="6437" width="34.28515625" style="610" customWidth="1"/>
    <col min="6438" max="6438" width="24.28515625" style="610" customWidth="1"/>
    <col min="6439" max="6439" width="21.140625" style="610" customWidth="1"/>
    <col min="6440" max="6440" width="22.140625" style="610" customWidth="1"/>
    <col min="6441" max="6441" width="8" style="610" customWidth="1"/>
    <col min="6442" max="6442" width="17" style="610" customWidth="1"/>
    <col min="6443" max="6443" width="12.7109375" style="610" customWidth="1"/>
    <col min="6444" max="6444" width="24.5703125" style="610" customWidth="1"/>
    <col min="6445" max="6445" width="29" style="610" customWidth="1"/>
    <col min="6446" max="6446" width="17.7109375" style="610" customWidth="1"/>
    <col min="6447" max="6447" width="36.42578125" style="610" customWidth="1"/>
    <col min="6448" max="6448" width="21.85546875" style="610" customWidth="1"/>
    <col min="6449" max="6449" width="11.7109375" style="610" customWidth="1"/>
    <col min="6450" max="6450" width="26.28515625" style="610" customWidth="1"/>
    <col min="6451" max="6451" width="9" style="610" customWidth="1"/>
    <col min="6452" max="6452" width="6.28515625" style="610" customWidth="1"/>
    <col min="6453" max="6454" width="7.28515625" style="610" customWidth="1"/>
    <col min="6455" max="6455" width="8.42578125" style="610" customWidth="1"/>
    <col min="6456" max="6456" width="9.5703125" style="610" customWidth="1"/>
    <col min="6457" max="6457" width="6.28515625" style="610" customWidth="1"/>
    <col min="6458" max="6458" width="5.85546875" style="610" customWidth="1"/>
    <col min="6459" max="6460" width="4.42578125" style="610" customWidth="1"/>
    <col min="6461" max="6461" width="5" style="610" customWidth="1"/>
    <col min="6462" max="6462" width="5.85546875" style="610" customWidth="1"/>
    <col min="6463" max="6463" width="6.140625" style="610" customWidth="1"/>
    <col min="6464" max="6464" width="6.28515625" style="610" customWidth="1"/>
    <col min="6465" max="6465" width="11.140625" style="610" customWidth="1"/>
    <col min="6466" max="6466" width="14.140625" style="610" customWidth="1"/>
    <col min="6467" max="6467" width="19.85546875" style="610" customWidth="1"/>
    <col min="6468" max="6468" width="17" style="610" customWidth="1"/>
    <col min="6469" max="6469" width="20.85546875" style="610" customWidth="1"/>
    <col min="6470" max="6682" width="11.42578125" style="610"/>
    <col min="6683" max="6683" width="13.140625" style="610" customWidth="1"/>
    <col min="6684" max="6684" width="4" style="610" customWidth="1"/>
    <col min="6685" max="6685" width="12.85546875" style="610" customWidth="1"/>
    <col min="6686" max="6686" width="14.7109375" style="610" customWidth="1"/>
    <col min="6687" max="6687" width="10" style="610" customWidth="1"/>
    <col min="6688" max="6688" width="6.28515625" style="610" customWidth="1"/>
    <col min="6689" max="6689" width="12.28515625" style="610" customWidth="1"/>
    <col min="6690" max="6690" width="8.5703125" style="610" customWidth="1"/>
    <col min="6691" max="6691" width="13.7109375" style="610" customWidth="1"/>
    <col min="6692" max="6692" width="11.5703125" style="610" customWidth="1"/>
    <col min="6693" max="6693" width="34.28515625" style="610" customWidth="1"/>
    <col min="6694" max="6694" width="24.28515625" style="610" customWidth="1"/>
    <col min="6695" max="6695" width="21.140625" style="610" customWidth="1"/>
    <col min="6696" max="6696" width="22.140625" style="610" customWidth="1"/>
    <col min="6697" max="6697" width="8" style="610" customWidth="1"/>
    <col min="6698" max="6698" width="17" style="610" customWidth="1"/>
    <col min="6699" max="6699" width="12.7109375" style="610" customWidth="1"/>
    <col min="6700" max="6700" width="24.5703125" style="610" customWidth="1"/>
    <col min="6701" max="6701" width="29" style="610" customWidth="1"/>
    <col min="6702" max="6702" width="17.7109375" style="610" customWidth="1"/>
    <col min="6703" max="6703" width="36.42578125" style="610" customWidth="1"/>
    <col min="6704" max="6704" width="21.85546875" style="610" customWidth="1"/>
    <col min="6705" max="6705" width="11.7109375" style="610" customWidth="1"/>
    <col min="6706" max="6706" width="26.28515625" style="610" customWidth="1"/>
    <col min="6707" max="6707" width="9" style="610" customWidth="1"/>
    <col min="6708" max="6708" width="6.28515625" style="610" customWidth="1"/>
    <col min="6709" max="6710" width="7.28515625" style="610" customWidth="1"/>
    <col min="6711" max="6711" width="8.42578125" style="610" customWidth="1"/>
    <col min="6712" max="6712" width="9.5703125" style="610" customWidth="1"/>
    <col min="6713" max="6713" width="6.28515625" style="610" customWidth="1"/>
    <col min="6714" max="6714" width="5.85546875" style="610" customWidth="1"/>
    <col min="6715" max="6716" width="4.42578125" style="610" customWidth="1"/>
    <col min="6717" max="6717" width="5" style="610" customWidth="1"/>
    <col min="6718" max="6718" width="5.85546875" style="610" customWidth="1"/>
    <col min="6719" max="6719" width="6.140625" style="610" customWidth="1"/>
    <col min="6720" max="6720" width="6.28515625" style="610" customWidth="1"/>
    <col min="6721" max="6721" width="11.140625" style="610" customWidth="1"/>
    <col min="6722" max="6722" width="14.140625" style="610" customWidth="1"/>
    <col min="6723" max="6723" width="19.85546875" style="610" customWidth="1"/>
    <col min="6724" max="6724" width="17" style="610" customWidth="1"/>
    <col min="6725" max="6725" width="20.85546875" style="610" customWidth="1"/>
    <col min="6726" max="6938" width="11.42578125" style="610"/>
    <col min="6939" max="6939" width="13.140625" style="610" customWidth="1"/>
    <col min="6940" max="6940" width="4" style="610" customWidth="1"/>
    <col min="6941" max="6941" width="12.85546875" style="610" customWidth="1"/>
    <col min="6942" max="6942" width="14.7109375" style="610" customWidth="1"/>
    <col min="6943" max="6943" width="10" style="610" customWidth="1"/>
    <col min="6944" max="6944" width="6.28515625" style="610" customWidth="1"/>
    <col min="6945" max="6945" width="12.28515625" style="610" customWidth="1"/>
    <col min="6946" max="6946" width="8.5703125" style="610" customWidth="1"/>
    <col min="6947" max="6947" width="13.7109375" style="610" customWidth="1"/>
    <col min="6948" max="6948" width="11.5703125" style="610" customWidth="1"/>
    <col min="6949" max="6949" width="34.28515625" style="610" customWidth="1"/>
    <col min="6950" max="6950" width="24.28515625" style="610" customWidth="1"/>
    <col min="6951" max="6951" width="21.140625" style="610" customWidth="1"/>
    <col min="6952" max="6952" width="22.140625" style="610" customWidth="1"/>
    <col min="6953" max="6953" width="8" style="610" customWidth="1"/>
    <col min="6954" max="6954" width="17" style="610" customWidth="1"/>
    <col min="6955" max="6955" width="12.7109375" style="610" customWidth="1"/>
    <col min="6956" max="6956" width="24.5703125" style="610" customWidth="1"/>
    <col min="6957" max="6957" width="29" style="610" customWidth="1"/>
    <col min="6958" max="6958" width="17.7109375" style="610" customWidth="1"/>
    <col min="6959" max="6959" width="36.42578125" style="610" customWidth="1"/>
    <col min="6960" max="6960" width="21.85546875" style="610" customWidth="1"/>
    <col min="6961" max="6961" width="11.7109375" style="610" customWidth="1"/>
    <col min="6962" max="6962" width="26.28515625" style="610" customWidth="1"/>
    <col min="6963" max="6963" width="9" style="610" customWidth="1"/>
    <col min="6964" max="6964" width="6.28515625" style="610" customWidth="1"/>
    <col min="6965" max="6966" width="7.28515625" style="610" customWidth="1"/>
    <col min="6967" max="6967" width="8.42578125" style="610" customWidth="1"/>
    <col min="6968" max="6968" width="9.5703125" style="610" customWidth="1"/>
    <col min="6969" max="6969" width="6.28515625" style="610" customWidth="1"/>
    <col min="6970" max="6970" width="5.85546875" style="610" customWidth="1"/>
    <col min="6971" max="6972" width="4.42578125" style="610" customWidth="1"/>
    <col min="6973" max="6973" width="5" style="610" customWidth="1"/>
    <col min="6974" max="6974" width="5.85546875" style="610" customWidth="1"/>
    <col min="6975" max="6975" width="6.140625" style="610" customWidth="1"/>
    <col min="6976" max="6976" width="6.28515625" style="610" customWidth="1"/>
    <col min="6977" max="6977" width="11.140625" style="610" customWidth="1"/>
    <col min="6978" max="6978" width="14.140625" style="610" customWidth="1"/>
    <col min="6979" max="6979" width="19.85546875" style="610" customWidth="1"/>
    <col min="6980" max="6980" width="17" style="610" customWidth="1"/>
    <col min="6981" max="6981" width="20.85546875" style="610" customWidth="1"/>
    <col min="6982" max="7194" width="11.42578125" style="610"/>
    <col min="7195" max="7195" width="13.140625" style="610" customWidth="1"/>
    <col min="7196" max="7196" width="4" style="610" customWidth="1"/>
    <col min="7197" max="7197" width="12.85546875" style="610" customWidth="1"/>
    <col min="7198" max="7198" width="14.7109375" style="610" customWidth="1"/>
    <col min="7199" max="7199" width="10" style="610" customWidth="1"/>
    <col min="7200" max="7200" width="6.28515625" style="610" customWidth="1"/>
    <col min="7201" max="7201" width="12.28515625" style="610" customWidth="1"/>
    <col min="7202" max="7202" width="8.5703125" style="610" customWidth="1"/>
    <col min="7203" max="7203" width="13.7109375" style="610" customWidth="1"/>
    <col min="7204" max="7204" width="11.5703125" style="610" customWidth="1"/>
    <col min="7205" max="7205" width="34.28515625" style="610" customWidth="1"/>
    <col min="7206" max="7206" width="24.28515625" style="610" customWidth="1"/>
    <col min="7207" max="7207" width="21.140625" style="610" customWidth="1"/>
    <col min="7208" max="7208" width="22.140625" style="610" customWidth="1"/>
    <col min="7209" max="7209" width="8" style="610" customWidth="1"/>
    <col min="7210" max="7210" width="17" style="610" customWidth="1"/>
    <col min="7211" max="7211" width="12.7109375" style="610" customWidth="1"/>
    <col min="7212" max="7212" width="24.5703125" style="610" customWidth="1"/>
    <col min="7213" max="7213" width="29" style="610" customWidth="1"/>
    <col min="7214" max="7214" width="17.7109375" style="610" customWidth="1"/>
    <col min="7215" max="7215" width="36.42578125" style="610" customWidth="1"/>
    <col min="7216" max="7216" width="21.85546875" style="610" customWidth="1"/>
    <col min="7217" max="7217" width="11.7109375" style="610" customWidth="1"/>
    <col min="7218" max="7218" width="26.28515625" style="610" customWidth="1"/>
    <col min="7219" max="7219" width="9" style="610" customWidth="1"/>
    <col min="7220" max="7220" width="6.28515625" style="610" customWidth="1"/>
    <col min="7221" max="7222" width="7.28515625" style="610" customWidth="1"/>
    <col min="7223" max="7223" width="8.42578125" style="610" customWidth="1"/>
    <col min="7224" max="7224" width="9.5703125" style="610" customWidth="1"/>
    <col min="7225" max="7225" width="6.28515625" style="610" customWidth="1"/>
    <col min="7226" max="7226" width="5.85546875" style="610" customWidth="1"/>
    <col min="7227" max="7228" width="4.42578125" style="610" customWidth="1"/>
    <col min="7229" max="7229" width="5" style="610" customWidth="1"/>
    <col min="7230" max="7230" width="5.85546875" style="610" customWidth="1"/>
    <col min="7231" max="7231" width="6.140625" style="610" customWidth="1"/>
    <col min="7232" max="7232" width="6.28515625" style="610" customWidth="1"/>
    <col min="7233" max="7233" width="11.140625" style="610" customWidth="1"/>
    <col min="7234" max="7234" width="14.140625" style="610" customWidth="1"/>
    <col min="7235" max="7235" width="19.85546875" style="610" customWidth="1"/>
    <col min="7236" max="7236" width="17" style="610" customWidth="1"/>
    <col min="7237" max="7237" width="20.85546875" style="610" customWidth="1"/>
    <col min="7238" max="7450" width="11.42578125" style="610"/>
    <col min="7451" max="7451" width="13.140625" style="610" customWidth="1"/>
    <col min="7452" max="7452" width="4" style="610" customWidth="1"/>
    <col min="7453" max="7453" width="12.85546875" style="610" customWidth="1"/>
    <col min="7454" max="7454" width="14.7109375" style="610" customWidth="1"/>
    <col min="7455" max="7455" width="10" style="610" customWidth="1"/>
    <col min="7456" max="7456" width="6.28515625" style="610" customWidth="1"/>
    <col min="7457" max="7457" width="12.28515625" style="610" customWidth="1"/>
    <col min="7458" max="7458" width="8.5703125" style="610" customWidth="1"/>
    <col min="7459" max="7459" width="13.7109375" style="610" customWidth="1"/>
    <col min="7460" max="7460" width="11.5703125" style="610" customWidth="1"/>
    <col min="7461" max="7461" width="34.28515625" style="610" customWidth="1"/>
    <col min="7462" max="7462" width="24.28515625" style="610" customWidth="1"/>
    <col min="7463" max="7463" width="21.140625" style="610" customWidth="1"/>
    <col min="7464" max="7464" width="22.140625" style="610" customWidth="1"/>
    <col min="7465" max="7465" width="8" style="610" customWidth="1"/>
    <col min="7466" max="7466" width="17" style="610" customWidth="1"/>
    <col min="7467" max="7467" width="12.7109375" style="610" customWidth="1"/>
    <col min="7468" max="7468" width="24.5703125" style="610" customWidth="1"/>
    <col min="7469" max="7469" width="29" style="610" customWidth="1"/>
    <col min="7470" max="7470" width="17.7109375" style="610" customWidth="1"/>
    <col min="7471" max="7471" width="36.42578125" style="610" customWidth="1"/>
    <col min="7472" max="7472" width="21.85546875" style="610" customWidth="1"/>
    <col min="7473" max="7473" width="11.7109375" style="610" customWidth="1"/>
    <col min="7474" max="7474" width="26.28515625" style="610" customWidth="1"/>
    <col min="7475" max="7475" width="9" style="610" customWidth="1"/>
    <col min="7476" max="7476" width="6.28515625" style="610" customWidth="1"/>
    <col min="7477" max="7478" width="7.28515625" style="610" customWidth="1"/>
    <col min="7479" max="7479" width="8.42578125" style="610" customWidth="1"/>
    <col min="7480" max="7480" width="9.5703125" style="610" customWidth="1"/>
    <col min="7481" max="7481" width="6.28515625" style="610" customWidth="1"/>
    <col min="7482" max="7482" width="5.85546875" style="610" customWidth="1"/>
    <col min="7483" max="7484" width="4.42578125" style="610" customWidth="1"/>
    <col min="7485" max="7485" width="5" style="610" customWidth="1"/>
    <col min="7486" max="7486" width="5.85546875" style="610" customWidth="1"/>
    <col min="7487" max="7487" width="6.140625" style="610" customWidth="1"/>
    <col min="7488" max="7488" width="6.28515625" style="610" customWidth="1"/>
    <col min="7489" max="7489" width="11.140625" style="610" customWidth="1"/>
    <col min="7490" max="7490" width="14.140625" style="610" customWidth="1"/>
    <col min="7491" max="7491" width="19.85546875" style="610" customWidth="1"/>
    <col min="7492" max="7492" width="17" style="610" customWidth="1"/>
    <col min="7493" max="7493" width="20.85546875" style="610" customWidth="1"/>
    <col min="7494" max="7706" width="11.42578125" style="610"/>
    <col min="7707" max="7707" width="13.140625" style="610" customWidth="1"/>
    <col min="7708" max="7708" width="4" style="610" customWidth="1"/>
    <col min="7709" max="7709" width="12.85546875" style="610" customWidth="1"/>
    <col min="7710" max="7710" width="14.7109375" style="610" customWidth="1"/>
    <col min="7711" max="7711" width="10" style="610" customWidth="1"/>
    <col min="7712" max="7712" width="6.28515625" style="610" customWidth="1"/>
    <col min="7713" max="7713" width="12.28515625" style="610" customWidth="1"/>
    <col min="7714" max="7714" width="8.5703125" style="610" customWidth="1"/>
    <col min="7715" max="7715" width="13.7109375" style="610" customWidth="1"/>
    <col min="7716" max="7716" width="11.5703125" style="610" customWidth="1"/>
    <col min="7717" max="7717" width="34.28515625" style="610" customWidth="1"/>
    <col min="7718" max="7718" width="24.28515625" style="610" customWidth="1"/>
    <col min="7719" max="7719" width="21.140625" style="610" customWidth="1"/>
    <col min="7720" max="7720" width="22.140625" style="610" customWidth="1"/>
    <col min="7721" max="7721" width="8" style="610" customWidth="1"/>
    <col min="7722" max="7722" width="17" style="610" customWidth="1"/>
    <col min="7723" max="7723" width="12.7109375" style="610" customWidth="1"/>
    <col min="7724" max="7724" width="24.5703125" style="610" customWidth="1"/>
    <col min="7725" max="7725" width="29" style="610" customWidth="1"/>
    <col min="7726" max="7726" width="17.7109375" style="610" customWidth="1"/>
    <col min="7727" max="7727" width="36.42578125" style="610" customWidth="1"/>
    <col min="7728" max="7728" width="21.85546875" style="610" customWidth="1"/>
    <col min="7729" max="7729" width="11.7109375" style="610" customWidth="1"/>
    <col min="7730" max="7730" width="26.28515625" style="610" customWidth="1"/>
    <col min="7731" max="7731" width="9" style="610" customWidth="1"/>
    <col min="7732" max="7732" width="6.28515625" style="610" customWidth="1"/>
    <col min="7733" max="7734" width="7.28515625" style="610" customWidth="1"/>
    <col min="7735" max="7735" width="8.42578125" style="610" customWidth="1"/>
    <col min="7736" max="7736" width="9.5703125" style="610" customWidth="1"/>
    <col min="7737" max="7737" width="6.28515625" style="610" customWidth="1"/>
    <col min="7738" max="7738" width="5.85546875" style="610" customWidth="1"/>
    <col min="7739" max="7740" width="4.42578125" style="610" customWidth="1"/>
    <col min="7741" max="7741" width="5" style="610" customWidth="1"/>
    <col min="7742" max="7742" width="5.85546875" style="610" customWidth="1"/>
    <col min="7743" max="7743" width="6.140625" style="610" customWidth="1"/>
    <col min="7744" max="7744" width="6.28515625" style="610" customWidth="1"/>
    <col min="7745" max="7745" width="11.140625" style="610" customWidth="1"/>
    <col min="7746" max="7746" width="14.140625" style="610" customWidth="1"/>
    <col min="7747" max="7747" width="19.85546875" style="610" customWidth="1"/>
    <col min="7748" max="7748" width="17" style="610" customWidth="1"/>
    <col min="7749" max="7749" width="20.85546875" style="610" customWidth="1"/>
    <col min="7750" max="7962" width="11.42578125" style="610"/>
    <col min="7963" max="7963" width="13.140625" style="610" customWidth="1"/>
    <col min="7964" max="7964" width="4" style="610" customWidth="1"/>
    <col min="7965" max="7965" width="12.85546875" style="610" customWidth="1"/>
    <col min="7966" max="7966" width="14.7109375" style="610" customWidth="1"/>
    <col min="7967" max="7967" width="10" style="610" customWidth="1"/>
    <col min="7968" max="7968" width="6.28515625" style="610" customWidth="1"/>
    <col min="7969" max="7969" width="12.28515625" style="610" customWidth="1"/>
    <col min="7970" max="7970" width="8.5703125" style="610" customWidth="1"/>
    <col min="7971" max="7971" width="13.7109375" style="610" customWidth="1"/>
    <col min="7972" max="7972" width="11.5703125" style="610" customWidth="1"/>
    <col min="7973" max="7973" width="34.28515625" style="610" customWidth="1"/>
    <col min="7974" max="7974" width="24.28515625" style="610" customWidth="1"/>
    <col min="7975" max="7975" width="21.140625" style="610" customWidth="1"/>
    <col min="7976" max="7976" width="22.140625" style="610" customWidth="1"/>
    <col min="7977" max="7977" width="8" style="610" customWidth="1"/>
    <col min="7978" max="7978" width="17" style="610" customWidth="1"/>
    <col min="7979" max="7979" width="12.7109375" style="610" customWidth="1"/>
    <col min="7980" max="7980" width="24.5703125" style="610" customWidth="1"/>
    <col min="7981" max="7981" width="29" style="610" customWidth="1"/>
    <col min="7982" max="7982" width="17.7109375" style="610" customWidth="1"/>
    <col min="7983" max="7983" width="36.42578125" style="610" customWidth="1"/>
    <col min="7984" max="7984" width="21.85546875" style="610" customWidth="1"/>
    <col min="7985" max="7985" width="11.7109375" style="610" customWidth="1"/>
    <col min="7986" max="7986" width="26.28515625" style="610" customWidth="1"/>
    <col min="7987" max="7987" width="9" style="610" customWidth="1"/>
    <col min="7988" max="7988" width="6.28515625" style="610" customWidth="1"/>
    <col min="7989" max="7990" width="7.28515625" style="610" customWidth="1"/>
    <col min="7991" max="7991" width="8.42578125" style="610" customWidth="1"/>
    <col min="7992" max="7992" width="9.5703125" style="610" customWidth="1"/>
    <col min="7993" max="7993" width="6.28515625" style="610" customWidth="1"/>
    <col min="7994" max="7994" width="5.85546875" style="610" customWidth="1"/>
    <col min="7995" max="7996" width="4.42578125" style="610" customWidth="1"/>
    <col min="7997" max="7997" width="5" style="610" customWidth="1"/>
    <col min="7998" max="7998" width="5.85546875" style="610" customWidth="1"/>
    <col min="7999" max="7999" width="6.140625" style="610" customWidth="1"/>
    <col min="8000" max="8000" width="6.28515625" style="610" customWidth="1"/>
    <col min="8001" max="8001" width="11.140625" style="610" customWidth="1"/>
    <col min="8002" max="8002" width="14.140625" style="610" customWidth="1"/>
    <col min="8003" max="8003" width="19.85546875" style="610" customWidth="1"/>
    <col min="8004" max="8004" width="17" style="610" customWidth="1"/>
    <col min="8005" max="8005" width="20.85546875" style="610" customWidth="1"/>
    <col min="8006" max="8218" width="11.42578125" style="610"/>
    <col min="8219" max="8219" width="13.140625" style="610" customWidth="1"/>
    <col min="8220" max="8220" width="4" style="610" customWidth="1"/>
    <col min="8221" max="8221" width="12.85546875" style="610" customWidth="1"/>
    <col min="8222" max="8222" width="14.7109375" style="610" customWidth="1"/>
    <col min="8223" max="8223" width="10" style="610" customWidth="1"/>
    <col min="8224" max="8224" width="6.28515625" style="610" customWidth="1"/>
    <col min="8225" max="8225" width="12.28515625" style="610" customWidth="1"/>
    <col min="8226" max="8226" width="8.5703125" style="610" customWidth="1"/>
    <col min="8227" max="8227" width="13.7109375" style="610" customWidth="1"/>
    <col min="8228" max="8228" width="11.5703125" style="610" customWidth="1"/>
    <col min="8229" max="8229" width="34.28515625" style="610" customWidth="1"/>
    <col min="8230" max="8230" width="24.28515625" style="610" customWidth="1"/>
    <col min="8231" max="8231" width="21.140625" style="610" customWidth="1"/>
    <col min="8232" max="8232" width="22.140625" style="610" customWidth="1"/>
    <col min="8233" max="8233" width="8" style="610" customWidth="1"/>
    <col min="8234" max="8234" width="17" style="610" customWidth="1"/>
    <col min="8235" max="8235" width="12.7109375" style="610" customWidth="1"/>
    <col min="8236" max="8236" width="24.5703125" style="610" customWidth="1"/>
    <col min="8237" max="8237" width="29" style="610" customWidth="1"/>
    <col min="8238" max="8238" width="17.7109375" style="610" customWidth="1"/>
    <col min="8239" max="8239" width="36.42578125" style="610" customWidth="1"/>
    <col min="8240" max="8240" width="21.85546875" style="610" customWidth="1"/>
    <col min="8241" max="8241" width="11.7109375" style="610" customWidth="1"/>
    <col min="8242" max="8242" width="26.28515625" style="610" customWidth="1"/>
    <col min="8243" max="8243" width="9" style="610" customWidth="1"/>
    <col min="8244" max="8244" width="6.28515625" style="610" customWidth="1"/>
    <col min="8245" max="8246" width="7.28515625" style="610" customWidth="1"/>
    <col min="8247" max="8247" width="8.42578125" style="610" customWidth="1"/>
    <col min="8248" max="8248" width="9.5703125" style="610" customWidth="1"/>
    <col min="8249" max="8249" width="6.28515625" style="610" customWidth="1"/>
    <col min="8250" max="8250" width="5.85546875" style="610" customWidth="1"/>
    <col min="8251" max="8252" width="4.42578125" style="610" customWidth="1"/>
    <col min="8253" max="8253" width="5" style="610" customWidth="1"/>
    <col min="8254" max="8254" width="5.85546875" style="610" customWidth="1"/>
    <col min="8255" max="8255" width="6.140625" style="610" customWidth="1"/>
    <col min="8256" max="8256" width="6.28515625" style="610" customWidth="1"/>
    <col min="8257" max="8257" width="11.140625" style="610" customWidth="1"/>
    <col min="8258" max="8258" width="14.140625" style="610" customWidth="1"/>
    <col min="8259" max="8259" width="19.85546875" style="610" customWidth="1"/>
    <col min="8260" max="8260" width="17" style="610" customWidth="1"/>
    <col min="8261" max="8261" width="20.85546875" style="610" customWidth="1"/>
    <col min="8262" max="8474" width="11.42578125" style="610"/>
    <col min="8475" max="8475" width="13.140625" style="610" customWidth="1"/>
    <col min="8476" max="8476" width="4" style="610" customWidth="1"/>
    <col min="8477" max="8477" width="12.85546875" style="610" customWidth="1"/>
    <col min="8478" max="8478" width="14.7109375" style="610" customWidth="1"/>
    <col min="8479" max="8479" width="10" style="610" customWidth="1"/>
    <col min="8480" max="8480" width="6.28515625" style="610" customWidth="1"/>
    <col min="8481" max="8481" width="12.28515625" style="610" customWidth="1"/>
    <col min="8482" max="8482" width="8.5703125" style="610" customWidth="1"/>
    <col min="8483" max="8483" width="13.7109375" style="610" customWidth="1"/>
    <col min="8484" max="8484" width="11.5703125" style="610" customWidth="1"/>
    <col min="8485" max="8485" width="34.28515625" style="610" customWidth="1"/>
    <col min="8486" max="8486" width="24.28515625" style="610" customWidth="1"/>
    <col min="8487" max="8487" width="21.140625" style="610" customWidth="1"/>
    <col min="8488" max="8488" width="22.140625" style="610" customWidth="1"/>
    <col min="8489" max="8489" width="8" style="610" customWidth="1"/>
    <col min="8490" max="8490" width="17" style="610" customWidth="1"/>
    <col min="8491" max="8491" width="12.7109375" style="610" customWidth="1"/>
    <col min="8492" max="8492" width="24.5703125" style="610" customWidth="1"/>
    <col min="8493" max="8493" width="29" style="610" customWidth="1"/>
    <col min="8494" max="8494" width="17.7109375" style="610" customWidth="1"/>
    <col min="8495" max="8495" width="36.42578125" style="610" customWidth="1"/>
    <col min="8496" max="8496" width="21.85546875" style="610" customWidth="1"/>
    <col min="8497" max="8497" width="11.7109375" style="610" customWidth="1"/>
    <col min="8498" max="8498" width="26.28515625" style="610" customWidth="1"/>
    <col min="8499" max="8499" width="9" style="610" customWidth="1"/>
    <col min="8500" max="8500" width="6.28515625" style="610" customWidth="1"/>
    <col min="8501" max="8502" width="7.28515625" style="610" customWidth="1"/>
    <col min="8503" max="8503" width="8.42578125" style="610" customWidth="1"/>
    <col min="8504" max="8504" width="9.5703125" style="610" customWidth="1"/>
    <col min="8505" max="8505" width="6.28515625" style="610" customWidth="1"/>
    <col min="8506" max="8506" width="5.85546875" style="610" customWidth="1"/>
    <col min="8507" max="8508" width="4.42578125" style="610" customWidth="1"/>
    <col min="8509" max="8509" width="5" style="610" customWidth="1"/>
    <col min="8510" max="8510" width="5.85546875" style="610" customWidth="1"/>
    <col min="8511" max="8511" width="6.140625" style="610" customWidth="1"/>
    <col min="8512" max="8512" width="6.28515625" style="610" customWidth="1"/>
    <col min="8513" max="8513" width="11.140625" style="610" customWidth="1"/>
    <col min="8514" max="8514" width="14.140625" style="610" customWidth="1"/>
    <col min="8515" max="8515" width="19.85546875" style="610" customWidth="1"/>
    <col min="8516" max="8516" width="17" style="610" customWidth="1"/>
    <col min="8517" max="8517" width="20.85546875" style="610" customWidth="1"/>
    <col min="8518" max="8730" width="11.42578125" style="610"/>
    <col min="8731" max="8731" width="13.140625" style="610" customWidth="1"/>
    <col min="8732" max="8732" width="4" style="610" customWidth="1"/>
    <col min="8733" max="8733" width="12.85546875" style="610" customWidth="1"/>
    <col min="8734" max="8734" width="14.7109375" style="610" customWidth="1"/>
    <col min="8735" max="8735" width="10" style="610" customWidth="1"/>
    <col min="8736" max="8736" width="6.28515625" style="610" customWidth="1"/>
    <col min="8737" max="8737" width="12.28515625" style="610" customWidth="1"/>
    <col min="8738" max="8738" width="8.5703125" style="610" customWidth="1"/>
    <col min="8739" max="8739" width="13.7109375" style="610" customWidth="1"/>
    <col min="8740" max="8740" width="11.5703125" style="610" customWidth="1"/>
    <col min="8741" max="8741" width="34.28515625" style="610" customWidth="1"/>
    <col min="8742" max="8742" width="24.28515625" style="610" customWidth="1"/>
    <col min="8743" max="8743" width="21.140625" style="610" customWidth="1"/>
    <col min="8744" max="8744" width="22.140625" style="610" customWidth="1"/>
    <col min="8745" max="8745" width="8" style="610" customWidth="1"/>
    <col min="8746" max="8746" width="17" style="610" customWidth="1"/>
    <col min="8747" max="8747" width="12.7109375" style="610" customWidth="1"/>
    <col min="8748" max="8748" width="24.5703125" style="610" customWidth="1"/>
    <col min="8749" max="8749" width="29" style="610" customWidth="1"/>
    <col min="8750" max="8750" width="17.7109375" style="610" customWidth="1"/>
    <col min="8751" max="8751" width="36.42578125" style="610" customWidth="1"/>
    <col min="8752" max="8752" width="21.85546875" style="610" customWidth="1"/>
    <col min="8753" max="8753" width="11.7109375" style="610" customWidth="1"/>
    <col min="8754" max="8754" width="26.28515625" style="610" customWidth="1"/>
    <col min="8755" max="8755" width="9" style="610" customWidth="1"/>
    <col min="8756" max="8756" width="6.28515625" style="610" customWidth="1"/>
    <col min="8757" max="8758" width="7.28515625" style="610" customWidth="1"/>
    <col min="8759" max="8759" width="8.42578125" style="610" customWidth="1"/>
    <col min="8760" max="8760" width="9.5703125" style="610" customWidth="1"/>
    <col min="8761" max="8761" width="6.28515625" style="610" customWidth="1"/>
    <col min="8762" max="8762" width="5.85546875" style="610" customWidth="1"/>
    <col min="8763" max="8764" width="4.42578125" style="610" customWidth="1"/>
    <col min="8765" max="8765" width="5" style="610" customWidth="1"/>
    <col min="8766" max="8766" width="5.85546875" style="610" customWidth="1"/>
    <col min="8767" max="8767" width="6.140625" style="610" customWidth="1"/>
    <col min="8768" max="8768" width="6.28515625" style="610" customWidth="1"/>
    <col min="8769" max="8769" width="11.140625" style="610" customWidth="1"/>
    <col min="8770" max="8770" width="14.140625" style="610" customWidth="1"/>
    <col min="8771" max="8771" width="19.85546875" style="610" customWidth="1"/>
    <col min="8772" max="8772" width="17" style="610" customWidth="1"/>
    <col min="8773" max="8773" width="20.85546875" style="610" customWidth="1"/>
    <col min="8774" max="8986" width="11.42578125" style="610"/>
    <col min="8987" max="8987" width="13.140625" style="610" customWidth="1"/>
    <col min="8988" max="8988" width="4" style="610" customWidth="1"/>
    <col min="8989" max="8989" width="12.85546875" style="610" customWidth="1"/>
    <col min="8990" max="8990" width="14.7109375" style="610" customWidth="1"/>
    <col min="8991" max="8991" width="10" style="610" customWidth="1"/>
    <col min="8992" max="8992" width="6.28515625" style="610" customWidth="1"/>
    <col min="8993" max="8993" width="12.28515625" style="610" customWidth="1"/>
    <col min="8994" max="8994" width="8.5703125" style="610" customWidth="1"/>
    <col min="8995" max="8995" width="13.7109375" style="610" customWidth="1"/>
    <col min="8996" max="8996" width="11.5703125" style="610" customWidth="1"/>
    <col min="8997" max="8997" width="34.28515625" style="610" customWidth="1"/>
    <col min="8998" max="8998" width="24.28515625" style="610" customWidth="1"/>
    <col min="8999" max="8999" width="21.140625" style="610" customWidth="1"/>
    <col min="9000" max="9000" width="22.140625" style="610" customWidth="1"/>
    <col min="9001" max="9001" width="8" style="610" customWidth="1"/>
    <col min="9002" max="9002" width="17" style="610" customWidth="1"/>
    <col min="9003" max="9003" width="12.7109375" style="610" customWidth="1"/>
    <col min="9004" max="9004" width="24.5703125" style="610" customWidth="1"/>
    <col min="9005" max="9005" width="29" style="610" customWidth="1"/>
    <col min="9006" max="9006" width="17.7109375" style="610" customWidth="1"/>
    <col min="9007" max="9007" width="36.42578125" style="610" customWidth="1"/>
    <col min="9008" max="9008" width="21.85546875" style="610" customWidth="1"/>
    <col min="9009" max="9009" width="11.7109375" style="610" customWidth="1"/>
    <col min="9010" max="9010" width="26.28515625" style="610" customWidth="1"/>
    <col min="9011" max="9011" width="9" style="610" customWidth="1"/>
    <col min="9012" max="9012" width="6.28515625" style="610" customWidth="1"/>
    <col min="9013" max="9014" width="7.28515625" style="610" customWidth="1"/>
    <col min="9015" max="9015" width="8.42578125" style="610" customWidth="1"/>
    <col min="9016" max="9016" width="9.5703125" style="610" customWidth="1"/>
    <col min="9017" max="9017" width="6.28515625" style="610" customWidth="1"/>
    <col min="9018" max="9018" width="5.85546875" style="610" customWidth="1"/>
    <col min="9019" max="9020" width="4.42578125" style="610" customWidth="1"/>
    <col min="9021" max="9021" width="5" style="610" customWidth="1"/>
    <col min="9022" max="9022" width="5.85546875" style="610" customWidth="1"/>
    <col min="9023" max="9023" width="6.140625" style="610" customWidth="1"/>
    <col min="9024" max="9024" width="6.28515625" style="610" customWidth="1"/>
    <col min="9025" max="9025" width="11.140625" style="610" customWidth="1"/>
    <col min="9026" max="9026" width="14.140625" style="610" customWidth="1"/>
    <col min="9027" max="9027" width="19.85546875" style="610" customWidth="1"/>
    <col min="9028" max="9028" width="17" style="610" customWidth="1"/>
    <col min="9029" max="9029" width="20.85546875" style="610" customWidth="1"/>
    <col min="9030" max="9242" width="11.42578125" style="610"/>
    <col min="9243" max="9243" width="13.140625" style="610" customWidth="1"/>
    <col min="9244" max="9244" width="4" style="610" customWidth="1"/>
    <col min="9245" max="9245" width="12.85546875" style="610" customWidth="1"/>
    <col min="9246" max="9246" width="14.7109375" style="610" customWidth="1"/>
    <col min="9247" max="9247" width="10" style="610" customWidth="1"/>
    <col min="9248" max="9248" width="6.28515625" style="610" customWidth="1"/>
    <col min="9249" max="9249" width="12.28515625" style="610" customWidth="1"/>
    <col min="9250" max="9250" width="8.5703125" style="610" customWidth="1"/>
    <col min="9251" max="9251" width="13.7109375" style="610" customWidth="1"/>
    <col min="9252" max="9252" width="11.5703125" style="610" customWidth="1"/>
    <col min="9253" max="9253" width="34.28515625" style="610" customWidth="1"/>
    <col min="9254" max="9254" width="24.28515625" style="610" customWidth="1"/>
    <col min="9255" max="9255" width="21.140625" style="610" customWidth="1"/>
    <col min="9256" max="9256" width="22.140625" style="610" customWidth="1"/>
    <col min="9257" max="9257" width="8" style="610" customWidth="1"/>
    <col min="9258" max="9258" width="17" style="610" customWidth="1"/>
    <col min="9259" max="9259" width="12.7109375" style="610" customWidth="1"/>
    <col min="9260" max="9260" width="24.5703125" style="610" customWidth="1"/>
    <col min="9261" max="9261" width="29" style="610" customWidth="1"/>
    <col min="9262" max="9262" width="17.7109375" style="610" customWidth="1"/>
    <col min="9263" max="9263" width="36.42578125" style="610" customWidth="1"/>
    <col min="9264" max="9264" width="21.85546875" style="610" customWidth="1"/>
    <col min="9265" max="9265" width="11.7109375" style="610" customWidth="1"/>
    <col min="9266" max="9266" width="26.28515625" style="610" customWidth="1"/>
    <col min="9267" max="9267" width="9" style="610" customWidth="1"/>
    <col min="9268" max="9268" width="6.28515625" style="610" customWidth="1"/>
    <col min="9269" max="9270" width="7.28515625" style="610" customWidth="1"/>
    <col min="9271" max="9271" width="8.42578125" style="610" customWidth="1"/>
    <col min="9272" max="9272" width="9.5703125" style="610" customWidth="1"/>
    <col min="9273" max="9273" width="6.28515625" style="610" customWidth="1"/>
    <col min="9274" max="9274" width="5.85546875" style="610" customWidth="1"/>
    <col min="9275" max="9276" width="4.42578125" style="610" customWidth="1"/>
    <col min="9277" max="9277" width="5" style="610" customWidth="1"/>
    <col min="9278" max="9278" width="5.85546875" style="610" customWidth="1"/>
    <col min="9279" max="9279" width="6.140625" style="610" customWidth="1"/>
    <col min="9280" max="9280" width="6.28515625" style="610" customWidth="1"/>
    <col min="9281" max="9281" width="11.140625" style="610" customWidth="1"/>
    <col min="9282" max="9282" width="14.140625" style="610" customWidth="1"/>
    <col min="9283" max="9283" width="19.85546875" style="610" customWidth="1"/>
    <col min="9284" max="9284" width="17" style="610" customWidth="1"/>
    <col min="9285" max="9285" width="20.85546875" style="610" customWidth="1"/>
    <col min="9286" max="9498" width="11.42578125" style="610"/>
    <col min="9499" max="9499" width="13.140625" style="610" customWidth="1"/>
    <col min="9500" max="9500" width="4" style="610" customWidth="1"/>
    <col min="9501" max="9501" width="12.85546875" style="610" customWidth="1"/>
    <col min="9502" max="9502" width="14.7109375" style="610" customWidth="1"/>
    <col min="9503" max="9503" width="10" style="610" customWidth="1"/>
    <col min="9504" max="9504" width="6.28515625" style="610" customWidth="1"/>
    <col min="9505" max="9505" width="12.28515625" style="610" customWidth="1"/>
    <col min="9506" max="9506" width="8.5703125" style="610" customWidth="1"/>
    <col min="9507" max="9507" width="13.7109375" style="610" customWidth="1"/>
    <col min="9508" max="9508" width="11.5703125" style="610" customWidth="1"/>
    <col min="9509" max="9509" width="34.28515625" style="610" customWidth="1"/>
    <col min="9510" max="9510" width="24.28515625" style="610" customWidth="1"/>
    <col min="9511" max="9511" width="21.140625" style="610" customWidth="1"/>
    <col min="9512" max="9512" width="22.140625" style="610" customWidth="1"/>
    <col min="9513" max="9513" width="8" style="610" customWidth="1"/>
    <col min="9514" max="9514" width="17" style="610" customWidth="1"/>
    <col min="9515" max="9515" width="12.7109375" style="610" customWidth="1"/>
    <col min="9516" max="9516" width="24.5703125" style="610" customWidth="1"/>
    <col min="9517" max="9517" width="29" style="610" customWidth="1"/>
    <col min="9518" max="9518" width="17.7109375" style="610" customWidth="1"/>
    <col min="9519" max="9519" width="36.42578125" style="610" customWidth="1"/>
    <col min="9520" max="9520" width="21.85546875" style="610" customWidth="1"/>
    <col min="9521" max="9521" width="11.7109375" style="610" customWidth="1"/>
    <col min="9522" max="9522" width="26.28515625" style="610" customWidth="1"/>
    <col min="9523" max="9523" width="9" style="610" customWidth="1"/>
    <col min="9524" max="9524" width="6.28515625" style="610" customWidth="1"/>
    <col min="9525" max="9526" width="7.28515625" style="610" customWidth="1"/>
    <col min="9527" max="9527" width="8.42578125" style="610" customWidth="1"/>
    <col min="9528" max="9528" width="9.5703125" style="610" customWidth="1"/>
    <col min="9529" max="9529" width="6.28515625" style="610" customWidth="1"/>
    <col min="9530" max="9530" width="5.85546875" style="610" customWidth="1"/>
    <col min="9531" max="9532" width="4.42578125" style="610" customWidth="1"/>
    <col min="9533" max="9533" width="5" style="610" customWidth="1"/>
    <col min="9534" max="9534" width="5.85546875" style="610" customWidth="1"/>
    <col min="9535" max="9535" width="6.140625" style="610" customWidth="1"/>
    <col min="9536" max="9536" width="6.28515625" style="610" customWidth="1"/>
    <col min="9537" max="9537" width="11.140625" style="610" customWidth="1"/>
    <col min="9538" max="9538" width="14.140625" style="610" customWidth="1"/>
    <col min="9539" max="9539" width="19.85546875" style="610" customWidth="1"/>
    <col min="9540" max="9540" width="17" style="610" customWidth="1"/>
    <col min="9541" max="9541" width="20.85546875" style="610" customWidth="1"/>
    <col min="9542" max="9754" width="11.42578125" style="610"/>
    <col min="9755" max="9755" width="13.140625" style="610" customWidth="1"/>
    <col min="9756" max="9756" width="4" style="610" customWidth="1"/>
    <col min="9757" max="9757" width="12.85546875" style="610" customWidth="1"/>
    <col min="9758" max="9758" width="14.7109375" style="610" customWidth="1"/>
    <col min="9759" max="9759" width="10" style="610" customWidth="1"/>
    <col min="9760" max="9760" width="6.28515625" style="610" customWidth="1"/>
    <col min="9761" max="9761" width="12.28515625" style="610" customWidth="1"/>
    <col min="9762" max="9762" width="8.5703125" style="610" customWidth="1"/>
    <col min="9763" max="9763" width="13.7109375" style="610" customWidth="1"/>
    <col min="9764" max="9764" width="11.5703125" style="610" customWidth="1"/>
    <col min="9765" max="9765" width="34.28515625" style="610" customWidth="1"/>
    <col min="9766" max="9766" width="24.28515625" style="610" customWidth="1"/>
    <col min="9767" max="9767" width="21.140625" style="610" customWidth="1"/>
    <col min="9768" max="9768" width="22.140625" style="610" customWidth="1"/>
    <col min="9769" max="9769" width="8" style="610" customWidth="1"/>
    <col min="9770" max="9770" width="17" style="610" customWidth="1"/>
    <col min="9771" max="9771" width="12.7109375" style="610" customWidth="1"/>
    <col min="9772" max="9772" width="24.5703125" style="610" customWidth="1"/>
    <col min="9773" max="9773" width="29" style="610" customWidth="1"/>
    <col min="9774" max="9774" width="17.7109375" style="610" customWidth="1"/>
    <col min="9775" max="9775" width="36.42578125" style="610" customWidth="1"/>
    <col min="9776" max="9776" width="21.85546875" style="610" customWidth="1"/>
    <col min="9777" max="9777" width="11.7109375" style="610" customWidth="1"/>
    <col min="9778" max="9778" width="26.28515625" style="610" customWidth="1"/>
    <col min="9779" max="9779" width="9" style="610" customWidth="1"/>
    <col min="9780" max="9780" width="6.28515625" style="610" customWidth="1"/>
    <col min="9781" max="9782" width="7.28515625" style="610" customWidth="1"/>
    <col min="9783" max="9783" width="8.42578125" style="610" customWidth="1"/>
    <col min="9784" max="9784" width="9.5703125" style="610" customWidth="1"/>
    <col min="9785" max="9785" width="6.28515625" style="610" customWidth="1"/>
    <col min="9786" max="9786" width="5.85546875" style="610" customWidth="1"/>
    <col min="9787" max="9788" width="4.42578125" style="610" customWidth="1"/>
    <col min="9789" max="9789" width="5" style="610" customWidth="1"/>
    <col min="9790" max="9790" width="5.85546875" style="610" customWidth="1"/>
    <col min="9791" max="9791" width="6.140625" style="610" customWidth="1"/>
    <col min="9792" max="9792" width="6.28515625" style="610" customWidth="1"/>
    <col min="9793" max="9793" width="11.140625" style="610" customWidth="1"/>
    <col min="9794" max="9794" width="14.140625" style="610" customWidth="1"/>
    <col min="9795" max="9795" width="19.85546875" style="610" customWidth="1"/>
    <col min="9796" max="9796" width="17" style="610" customWidth="1"/>
    <col min="9797" max="9797" width="20.85546875" style="610" customWidth="1"/>
    <col min="9798" max="10010" width="11.42578125" style="610"/>
    <col min="10011" max="10011" width="13.140625" style="610" customWidth="1"/>
    <col min="10012" max="10012" width="4" style="610" customWidth="1"/>
    <col min="10013" max="10013" width="12.85546875" style="610" customWidth="1"/>
    <col min="10014" max="10014" width="14.7109375" style="610" customWidth="1"/>
    <col min="10015" max="10015" width="10" style="610" customWidth="1"/>
    <col min="10016" max="10016" width="6.28515625" style="610" customWidth="1"/>
    <col min="10017" max="10017" width="12.28515625" style="610" customWidth="1"/>
    <col min="10018" max="10018" width="8.5703125" style="610" customWidth="1"/>
    <col min="10019" max="10019" width="13.7109375" style="610" customWidth="1"/>
    <col min="10020" max="10020" width="11.5703125" style="610" customWidth="1"/>
    <col min="10021" max="10021" width="34.28515625" style="610" customWidth="1"/>
    <col min="10022" max="10022" width="24.28515625" style="610" customWidth="1"/>
    <col min="10023" max="10023" width="21.140625" style="610" customWidth="1"/>
    <col min="10024" max="10024" width="22.140625" style="610" customWidth="1"/>
    <col min="10025" max="10025" width="8" style="610" customWidth="1"/>
    <col min="10026" max="10026" width="17" style="610" customWidth="1"/>
    <col min="10027" max="10027" width="12.7109375" style="610" customWidth="1"/>
    <col min="10028" max="10028" width="24.5703125" style="610" customWidth="1"/>
    <col min="10029" max="10029" width="29" style="610" customWidth="1"/>
    <col min="10030" max="10030" width="17.7109375" style="610" customWidth="1"/>
    <col min="10031" max="10031" width="36.42578125" style="610" customWidth="1"/>
    <col min="10032" max="10032" width="21.85546875" style="610" customWidth="1"/>
    <col min="10033" max="10033" width="11.7109375" style="610" customWidth="1"/>
    <col min="10034" max="10034" width="26.28515625" style="610" customWidth="1"/>
    <col min="10035" max="10035" width="9" style="610" customWidth="1"/>
    <col min="10036" max="10036" width="6.28515625" style="610" customWidth="1"/>
    <col min="10037" max="10038" width="7.28515625" style="610" customWidth="1"/>
    <col min="10039" max="10039" width="8.42578125" style="610" customWidth="1"/>
    <col min="10040" max="10040" width="9.5703125" style="610" customWidth="1"/>
    <col min="10041" max="10041" width="6.28515625" style="610" customWidth="1"/>
    <col min="10042" max="10042" width="5.85546875" style="610" customWidth="1"/>
    <col min="10043" max="10044" width="4.42578125" style="610" customWidth="1"/>
    <col min="10045" max="10045" width="5" style="610" customWidth="1"/>
    <col min="10046" max="10046" width="5.85546875" style="610" customWidth="1"/>
    <col min="10047" max="10047" width="6.140625" style="610" customWidth="1"/>
    <col min="10048" max="10048" width="6.28515625" style="610" customWidth="1"/>
    <col min="10049" max="10049" width="11.140625" style="610" customWidth="1"/>
    <col min="10050" max="10050" width="14.140625" style="610" customWidth="1"/>
    <col min="10051" max="10051" width="19.85546875" style="610" customWidth="1"/>
    <col min="10052" max="10052" width="17" style="610" customWidth="1"/>
    <col min="10053" max="10053" width="20.85546875" style="610" customWidth="1"/>
    <col min="10054" max="10266" width="11.42578125" style="610"/>
    <col min="10267" max="10267" width="13.140625" style="610" customWidth="1"/>
    <col min="10268" max="10268" width="4" style="610" customWidth="1"/>
    <col min="10269" max="10269" width="12.85546875" style="610" customWidth="1"/>
    <col min="10270" max="10270" width="14.7109375" style="610" customWidth="1"/>
    <col min="10271" max="10271" width="10" style="610" customWidth="1"/>
    <col min="10272" max="10272" width="6.28515625" style="610" customWidth="1"/>
    <col min="10273" max="10273" width="12.28515625" style="610" customWidth="1"/>
    <col min="10274" max="10274" width="8.5703125" style="610" customWidth="1"/>
    <col min="10275" max="10275" width="13.7109375" style="610" customWidth="1"/>
    <col min="10276" max="10276" width="11.5703125" style="610" customWidth="1"/>
    <col min="10277" max="10277" width="34.28515625" style="610" customWidth="1"/>
    <col min="10278" max="10278" width="24.28515625" style="610" customWidth="1"/>
    <col min="10279" max="10279" width="21.140625" style="610" customWidth="1"/>
    <col min="10280" max="10280" width="22.140625" style="610" customWidth="1"/>
    <col min="10281" max="10281" width="8" style="610" customWidth="1"/>
    <col min="10282" max="10282" width="17" style="610" customWidth="1"/>
    <col min="10283" max="10283" width="12.7109375" style="610" customWidth="1"/>
    <col min="10284" max="10284" width="24.5703125" style="610" customWidth="1"/>
    <col min="10285" max="10285" width="29" style="610" customWidth="1"/>
    <col min="10286" max="10286" width="17.7109375" style="610" customWidth="1"/>
    <col min="10287" max="10287" width="36.42578125" style="610" customWidth="1"/>
    <col min="10288" max="10288" width="21.85546875" style="610" customWidth="1"/>
    <col min="10289" max="10289" width="11.7109375" style="610" customWidth="1"/>
    <col min="10290" max="10290" width="26.28515625" style="610" customWidth="1"/>
    <col min="10291" max="10291" width="9" style="610" customWidth="1"/>
    <col min="10292" max="10292" width="6.28515625" style="610" customWidth="1"/>
    <col min="10293" max="10294" width="7.28515625" style="610" customWidth="1"/>
    <col min="10295" max="10295" width="8.42578125" style="610" customWidth="1"/>
    <col min="10296" max="10296" width="9.5703125" style="610" customWidth="1"/>
    <col min="10297" max="10297" width="6.28515625" style="610" customWidth="1"/>
    <col min="10298" max="10298" width="5.85546875" style="610" customWidth="1"/>
    <col min="10299" max="10300" width="4.42578125" style="610" customWidth="1"/>
    <col min="10301" max="10301" width="5" style="610" customWidth="1"/>
    <col min="10302" max="10302" width="5.85546875" style="610" customWidth="1"/>
    <col min="10303" max="10303" width="6.140625" style="610" customWidth="1"/>
    <col min="10304" max="10304" width="6.28515625" style="610" customWidth="1"/>
    <col min="10305" max="10305" width="11.140625" style="610" customWidth="1"/>
    <col min="10306" max="10306" width="14.140625" style="610" customWidth="1"/>
    <col min="10307" max="10307" width="19.85546875" style="610" customWidth="1"/>
    <col min="10308" max="10308" width="17" style="610" customWidth="1"/>
    <col min="10309" max="10309" width="20.85546875" style="610" customWidth="1"/>
    <col min="10310" max="10522" width="11.42578125" style="610"/>
    <col min="10523" max="10523" width="13.140625" style="610" customWidth="1"/>
    <col min="10524" max="10524" width="4" style="610" customWidth="1"/>
    <col min="10525" max="10525" width="12.85546875" style="610" customWidth="1"/>
    <col min="10526" max="10526" width="14.7109375" style="610" customWidth="1"/>
    <col min="10527" max="10527" width="10" style="610" customWidth="1"/>
    <col min="10528" max="10528" width="6.28515625" style="610" customWidth="1"/>
    <col min="10529" max="10529" width="12.28515625" style="610" customWidth="1"/>
    <col min="10530" max="10530" width="8.5703125" style="610" customWidth="1"/>
    <col min="10531" max="10531" width="13.7109375" style="610" customWidth="1"/>
    <col min="10532" max="10532" width="11.5703125" style="610" customWidth="1"/>
    <col min="10533" max="10533" width="34.28515625" style="610" customWidth="1"/>
    <col min="10534" max="10534" width="24.28515625" style="610" customWidth="1"/>
    <col min="10535" max="10535" width="21.140625" style="610" customWidth="1"/>
    <col min="10536" max="10536" width="22.140625" style="610" customWidth="1"/>
    <col min="10537" max="10537" width="8" style="610" customWidth="1"/>
    <col min="10538" max="10538" width="17" style="610" customWidth="1"/>
    <col min="10539" max="10539" width="12.7109375" style="610" customWidth="1"/>
    <col min="10540" max="10540" width="24.5703125" style="610" customWidth="1"/>
    <col min="10541" max="10541" width="29" style="610" customWidth="1"/>
    <col min="10542" max="10542" width="17.7109375" style="610" customWidth="1"/>
    <col min="10543" max="10543" width="36.42578125" style="610" customWidth="1"/>
    <col min="10544" max="10544" width="21.85546875" style="610" customWidth="1"/>
    <col min="10545" max="10545" width="11.7109375" style="610" customWidth="1"/>
    <col min="10546" max="10546" width="26.28515625" style="610" customWidth="1"/>
    <col min="10547" max="10547" width="9" style="610" customWidth="1"/>
    <col min="10548" max="10548" width="6.28515625" style="610" customWidth="1"/>
    <col min="10549" max="10550" width="7.28515625" style="610" customWidth="1"/>
    <col min="10551" max="10551" width="8.42578125" style="610" customWidth="1"/>
    <col min="10552" max="10552" width="9.5703125" style="610" customWidth="1"/>
    <col min="10553" max="10553" width="6.28515625" style="610" customWidth="1"/>
    <col min="10554" max="10554" width="5.85546875" style="610" customWidth="1"/>
    <col min="10555" max="10556" width="4.42578125" style="610" customWidth="1"/>
    <col min="10557" max="10557" width="5" style="610" customWidth="1"/>
    <col min="10558" max="10558" width="5.85546875" style="610" customWidth="1"/>
    <col min="10559" max="10559" width="6.140625" style="610" customWidth="1"/>
    <col min="10560" max="10560" width="6.28515625" style="610" customWidth="1"/>
    <col min="10561" max="10561" width="11.140625" style="610" customWidth="1"/>
    <col min="10562" max="10562" width="14.140625" style="610" customWidth="1"/>
    <col min="10563" max="10563" width="19.85546875" style="610" customWidth="1"/>
    <col min="10564" max="10564" width="17" style="610" customWidth="1"/>
    <col min="10565" max="10565" width="20.85546875" style="610" customWidth="1"/>
    <col min="10566" max="10778" width="11.42578125" style="610"/>
    <col min="10779" max="10779" width="13.140625" style="610" customWidth="1"/>
    <col min="10780" max="10780" width="4" style="610" customWidth="1"/>
    <col min="10781" max="10781" width="12.85546875" style="610" customWidth="1"/>
    <col min="10782" max="10782" width="14.7109375" style="610" customWidth="1"/>
    <col min="10783" max="10783" width="10" style="610" customWidth="1"/>
    <col min="10784" max="10784" width="6.28515625" style="610" customWidth="1"/>
    <col min="10785" max="10785" width="12.28515625" style="610" customWidth="1"/>
    <col min="10786" max="10786" width="8.5703125" style="610" customWidth="1"/>
    <col min="10787" max="10787" width="13.7109375" style="610" customWidth="1"/>
    <col min="10788" max="10788" width="11.5703125" style="610" customWidth="1"/>
    <col min="10789" max="10789" width="34.28515625" style="610" customWidth="1"/>
    <col min="10790" max="10790" width="24.28515625" style="610" customWidth="1"/>
    <col min="10791" max="10791" width="21.140625" style="610" customWidth="1"/>
    <col min="10792" max="10792" width="22.140625" style="610" customWidth="1"/>
    <col min="10793" max="10793" width="8" style="610" customWidth="1"/>
    <col min="10794" max="10794" width="17" style="610" customWidth="1"/>
    <col min="10795" max="10795" width="12.7109375" style="610" customWidth="1"/>
    <col min="10796" max="10796" width="24.5703125" style="610" customWidth="1"/>
    <col min="10797" max="10797" width="29" style="610" customWidth="1"/>
    <col min="10798" max="10798" width="17.7109375" style="610" customWidth="1"/>
    <col min="10799" max="10799" width="36.42578125" style="610" customWidth="1"/>
    <col min="10800" max="10800" width="21.85546875" style="610" customWidth="1"/>
    <col min="10801" max="10801" width="11.7109375" style="610" customWidth="1"/>
    <col min="10802" max="10802" width="26.28515625" style="610" customWidth="1"/>
    <col min="10803" max="10803" width="9" style="610" customWidth="1"/>
    <col min="10804" max="10804" width="6.28515625" style="610" customWidth="1"/>
    <col min="10805" max="10806" width="7.28515625" style="610" customWidth="1"/>
    <col min="10807" max="10807" width="8.42578125" style="610" customWidth="1"/>
    <col min="10808" max="10808" width="9.5703125" style="610" customWidth="1"/>
    <col min="10809" max="10809" width="6.28515625" style="610" customWidth="1"/>
    <col min="10810" max="10810" width="5.85546875" style="610" customWidth="1"/>
    <col min="10811" max="10812" width="4.42578125" style="610" customWidth="1"/>
    <col min="10813" max="10813" width="5" style="610" customWidth="1"/>
    <col min="10814" max="10814" width="5.85546875" style="610" customWidth="1"/>
    <col min="10815" max="10815" width="6.140625" style="610" customWidth="1"/>
    <col min="10816" max="10816" width="6.28515625" style="610" customWidth="1"/>
    <col min="10817" max="10817" width="11.140625" style="610" customWidth="1"/>
    <col min="10818" max="10818" width="14.140625" style="610" customWidth="1"/>
    <col min="10819" max="10819" width="19.85546875" style="610" customWidth="1"/>
    <col min="10820" max="10820" width="17" style="610" customWidth="1"/>
    <col min="10821" max="10821" width="20.85546875" style="610" customWidth="1"/>
    <col min="10822" max="11034" width="11.42578125" style="610"/>
    <col min="11035" max="11035" width="13.140625" style="610" customWidth="1"/>
    <col min="11036" max="11036" width="4" style="610" customWidth="1"/>
    <col min="11037" max="11037" width="12.85546875" style="610" customWidth="1"/>
    <col min="11038" max="11038" width="14.7109375" style="610" customWidth="1"/>
    <col min="11039" max="11039" width="10" style="610" customWidth="1"/>
    <col min="11040" max="11040" width="6.28515625" style="610" customWidth="1"/>
    <col min="11041" max="11041" width="12.28515625" style="610" customWidth="1"/>
    <col min="11042" max="11042" width="8.5703125" style="610" customWidth="1"/>
    <col min="11043" max="11043" width="13.7109375" style="610" customWidth="1"/>
    <col min="11044" max="11044" width="11.5703125" style="610" customWidth="1"/>
    <col min="11045" max="11045" width="34.28515625" style="610" customWidth="1"/>
    <col min="11046" max="11046" width="24.28515625" style="610" customWidth="1"/>
    <col min="11047" max="11047" width="21.140625" style="610" customWidth="1"/>
    <col min="11048" max="11048" width="22.140625" style="610" customWidth="1"/>
    <col min="11049" max="11049" width="8" style="610" customWidth="1"/>
    <col min="11050" max="11050" width="17" style="610" customWidth="1"/>
    <col min="11051" max="11051" width="12.7109375" style="610" customWidth="1"/>
    <col min="11052" max="11052" width="24.5703125" style="610" customWidth="1"/>
    <col min="11053" max="11053" width="29" style="610" customWidth="1"/>
    <col min="11054" max="11054" width="17.7109375" style="610" customWidth="1"/>
    <col min="11055" max="11055" width="36.42578125" style="610" customWidth="1"/>
    <col min="11056" max="11056" width="21.85546875" style="610" customWidth="1"/>
    <col min="11057" max="11057" width="11.7109375" style="610" customWidth="1"/>
    <col min="11058" max="11058" width="26.28515625" style="610" customWidth="1"/>
    <col min="11059" max="11059" width="9" style="610" customWidth="1"/>
    <col min="11060" max="11060" width="6.28515625" style="610" customWidth="1"/>
    <col min="11061" max="11062" width="7.28515625" style="610" customWidth="1"/>
    <col min="11063" max="11063" width="8.42578125" style="610" customWidth="1"/>
    <col min="11064" max="11064" width="9.5703125" style="610" customWidth="1"/>
    <col min="11065" max="11065" width="6.28515625" style="610" customWidth="1"/>
    <col min="11066" max="11066" width="5.85546875" style="610" customWidth="1"/>
    <col min="11067" max="11068" width="4.42578125" style="610" customWidth="1"/>
    <col min="11069" max="11069" width="5" style="610" customWidth="1"/>
    <col min="11070" max="11070" width="5.85546875" style="610" customWidth="1"/>
    <col min="11071" max="11071" width="6.140625" style="610" customWidth="1"/>
    <col min="11072" max="11072" width="6.28515625" style="610" customWidth="1"/>
    <col min="11073" max="11073" width="11.140625" style="610" customWidth="1"/>
    <col min="11074" max="11074" width="14.140625" style="610" customWidth="1"/>
    <col min="11075" max="11075" width="19.85546875" style="610" customWidth="1"/>
    <col min="11076" max="11076" width="17" style="610" customWidth="1"/>
    <col min="11077" max="11077" width="20.85546875" style="610" customWidth="1"/>
    <col min="11078" max="11290" width="11.42578125" style="610"/>
    <col min="11291" max="11291" width="13.140625" style="610" customWidth="1"/>
    <col min="11292" max="11292" width="4" style="610" customWidth="1"/>
    <col min="11293" max="11293" width="12.85546875" style="610" customWidth="1"/>
    <col min="11294" max="11294" width="14.7109375" style="610" customWidth="1"/>
    <col min="11295" max="11295" width="10" style="610" customWidth="1"/>
    <col min="11296" max="11296" width="6.28515625" style="610" customWidth="1"/>
    <col min="11297" max="11297" width="12.28515625" style="610" customWidth="1"/>
    <col min="11298" max="11298" width="8.5703125" style="610" customWidth="1"/>
    <col min="11299" max="11299" width="13.7109375" style="610" customWidth="1"/>
    <col min="11300" max="11300" width="11.5703125" style="610" customWidth="1"/>
    <col min="11301" max="11301" width="34.28515625" style="610" customWidth="1"/>
    <col min="11302" max="11302" width="24.28515625" style="610" customWidth="1"/>
    <col min="11303" max="11303" width="21.140625" style="610" customWidth="1"/>
    <col min="11304" max="11304" width="22.140625" style="610" customWidth="1"/>
    <col min="11305" max="11305" width="8" style="610" customWidth="1"/>
    <col min="11306" max="11306" width="17" style="610" customWidth="1"/>
    <col min="11307" max="11307" width="12.7109375" style="610" customWidth="1"/>
    <col min="11308" max="11308" width="24.5703125" style="610" customWidth="1"/>
    <col min="11309" max="11309" width="29" style="610" customWidth="1"/>
    <col min="11310" max="11310" width="17.7109375" style="610" customWidth="1"/>
    <col min="11311" max="11311" width="36.42578125" style="610" customWidth="1"/>
    <col min="11312" max="11312" width="21.85546875" style="610" customWidth="1"/>
    <col min="11313" max="11313" width="11.7109375" style="610" customWidth="1"/>
    <col min="11314" max="11314" width="26.28515625" style="610" customWidth="1"/>
    <col min="11315" max="11315" width="9" style="610" customWidth="1"/>
    <col min="11316" max="11316" width="6.28515625" style="610" customWidth="1"/>
    <col min="11317" max="11318" width="7.28515625" style="610" customWidth="1"/>
    <col min="11319" max="11319" width="8.42578125" style="610" customWidth="1"/>
    <col min="11320" max="11320" width="9.5703125" style="610" customWidth="1"/>
    <col min="11321" max="11321" width="6.28515625" style="610" customWidth="1"/>
    <col min="11322" max="11322" width="5.85546875" style="610" customWidth="1"/>
    <col min="11323" max="11324" width="4.42578125" style="610" customWidth="1"/>
    <col min="11325" max="11325" width="5" style="610" customWidth="1"/>
    <col min="11326" max="11326" width="5.85546875" style="610" customWidth="1"/>
    <col min="11327" max="11327" width="6.140625" style="610" customWidth="1"/>
    <col min="11328" max="11328" width="6.28515625" style="610" customWidth="1"/>
    <col min="11329" max="11329" width="11.140625" style="610" customWidth="1"/>
    <col min="11330" max="11330" width="14.140625" style="610" customWidth="1"/>
    <col min="11331" max="11331" width="19.85546875" style="610" customWidth="1"/>
    <col min="11332" max="11332" width="17" style="610" customWidth="1"/>
    <col min="11333" max="11333" width="20.85546875" style="610" customWidth="1"/>
    <col min="11334" max="11546" width="11.42578125" style="610"/>
    <col min="11547" max="11547" width="13.140625" style="610" customWidth="1"/>
    <col min="11548" max="11548" width="4" style="610" customWidth="1"/>
    <col min="11549" max="11549" width="12.85546875" style="610" customWidth="1"/>
    <col min="11550" max="11550" width="14.7109375" style="610" customWidth="1"/>
    <col min="11551" max="11551" width="10" style="610" customWidth="1"/>
    <col min="11552" max="11552" width="6.28515625" style="610" customWidth="1"/>
    <col min="11553" max="11553" width="12.28515625" style="610" customWidth="1"/>
    <col min="11554" max="11554" width="8.5703125" style="610" customWidth="1"/>
    <col min="11555" max="11555" width="13.7109375" style="610" customWidth="1"/>
    <col min="11556" max="11556" width="11.5703125" style="610" customWidth="1"/>
    <col min="11557" max="11557" width="34.28515625" style="610" customWidth="1"/>
    <col min="11558" max="11558" width="24.28515625" style="610" customWidth="1"/>
    <col min="11559" max="11559" width="21.140625" style="610" customWidth="1"/>
    <col min="11560" max="11560" width="22.140625" style="610" customWidth="1"/>
    <col min="11561" max="11561" width="8" style="610" customWidth="1"/>
    <col min="11562" max="11562" width="17" style="610" customWidth="1"/>
    <col min="11563" max="11563" width="12.7109375" style="610" customWidth="1"/>
    <col min="11564" max="11564" width="24.5703125" style="610" customWidth="1"/>
    <col min="11565" max="11565" width="29" style="610" customWidth="1"/>
    <col min="11566" max="11566" width="17.7109375" style="610" customWidth="1"/>
    <col min="11567" max="11567" width="36.42578125" style="610" customWidth="1"/>
    <col min="11568" max="11568" width="21.85546875" style="610" customWidth="1"/>
    <col min="11569" max="11569" width="11.7109375" style="610" customWidth="1"/>
    <col min="11570" max="11570" width="26.28515625" style="610" customWidth="1"/>
    <col min="11571" max="11571" width="9" style="610" customWidth="1"/>
    <col min="11572" max="11572" width="6.28515625" style="610" customWidth="1"/>
    <col min="11573" max="11574" width="7.28515625" style="610" customWidth="1"/>
    <col min="11575" max="11575" width="8.42578125" style="610" customWidth="1"/>
    <col min="11576" max="11576" width="9.5703125" style="610" customWidth="1"/>
    <col min="11577" max="11577" width="6.28515625" style="610" customWidth="1"/>
    <col min="11578" max="11578" width="5.85546875" style="610" customWidth="1"/>
    <col min="11579" max="11580" width="4.42578125" style="610" customWidth="1"/>
    <col min="11581" max="11581" width="5" style="610" customWidth="1"/>
    <col min="11582" max="11582" width="5.85546875" style="610" customWidth="1"/>
    <col min="11583" max="11583" width="6.140625" style="610" customWidth="1"/>
    <col min="11584" max="11584" width="6.28515625" style="610" customWidth="1"/>
    <col min="11585" max="11585" width="11.140625" style="610" customWidth="1"/>
    <col min="11586" max="11586" width="14.140625" style="610" customWidth="1"/>
    <col min="11587" max="11587" width="19.85546875" style="610" customWidth="1"/>
    <col min="11588" max="11588" width="17" style="610" customWidth="1"/>
    <col min="11589" max="11589" width="20.85546875" style="610" customWidth="1"/>
    <col min="11590" max="11802" width="11.42578125" style="610"/>
    <col min="11803" max="11803" width="13.140625" style="610" customWidth="1"/>
    <col min="11804" max="11804" width="4" style="610" customWidth="1"/>
    <col min="11805" max="11805" width="12.85546875" style="610" customWidth="1"/>
    <col min="11806" max="11806" width="14.7109375" style="610" customWidth="1"/>
    <col min="11807" max="11807" width="10" style="610" customWidth="1"/>
    <col min="11808" max="11808" width="6.28515625" style="610" customWidth="1"/>
    <col min="11809" max="11809" width="12.28515625" style="610" customWidth="1"/>
    <col min="11810" max="11810" width="8.5703125" style="610" customWidth="1"/>
    <col min="11811" max="11811" width="13.7109375" style="610" customWidth="1"/>
    <col min="11812" max="11812" width="11.5703125" style="610" customWidth="1"/>
    <col min="11813" max="11813" width="34.28515625" style="610" customWidth="1"/>
    <col min="11814" max="11814" width="24.28515625" style="610" customWidth="1"/>
    <col min="11815" max="11815" width="21.140625" style="610" customWidth="1"/>
    <col min="11816" max="11816" width="22.140625" style="610" customWidth="1"/>
    <col min="11817" max="11817" width="8" style="610" customWidth="1"/>
    <col min="11818" max="11818" width="17" style="610" customWidth="1"/>
    <col min="11819" max="11819" width="12.7109375" style="610" customWidth="1"/>
    <col min="11820" max="11820" width="24.5703125" style="610" customWidth="1"/>
    <col min="11821" max="11821" width="29" style="610" customWidth="1"/>
    <col min="11822" max="11822" width="17.7109375" style="610" customWidth="1"/>
    <col min="11823" max="11823" width="36.42578125" style="610" customWidth="1"/>
    <col min="11824" max="11824" width="21.85546875" style="610" customWidth="1"/>
    <col min="11825" max="11825" width="11.7109375" style="610" customWidth="1"/>
    <col min="11826" max="11826" width="26.28515625" style="610" customWidth="1"/>
    <col min="11827" max="11827" width="9" style="610" customWidth="1"/>
    <col min="11828" max="11828" width="6.28515625" style="610" customWidth="1"/>
    <col min="11829" max="11830" width="7.28515625" style="610" customWidth="1"/>
    <col min="11831" max="11831" width="8.42578125" style="610" customWidth="1"/>
    <col min="11832" max="11832" width="9.5703125" style="610" customWidth="1"/>
    <col min="11833" max="11833" width="6.28515625" style="610" customWidth="1"/>
    <col min="11834" max="11834" width="5.85546875" style="610" customWidth="1"/>
    <col min="11835" max="11836" width="4.42578125" style="610" customWidth="1"/>
    <col min="11837" max="11837" width="5" style="610" customWidth="1"/>
    <col min="11838" max="11838" width="5.85546875" style="610" customWidth="1"/>
    <col min="11839" max="11839" width="6.140625" style="610" customWidth="1"/>
    <col min="11840" max="11840" width="6.28515625" style="610" customWidth="1"/>
    <col min="11841" max="11841" width="11.140625" style="610" customWidth="1"/>
    <col min="11842" max="11842" width="14.140625" style="610" customWidth="1"/>
    <col min="11843" max="11843" width="19.85546875" style="610" customWidth="1"/>
    <col min="11844" max="11844" width="17" style="610" customWidth="1"/>
    <col min="11845" max="11845" width="20.85546875" style="610" customWidth="1"/>
    <col min="11846" max="12058" width="11.42578125" style="610"/>
    <col min="12059" max="12059" width="13.140625" style="610" customWidth="1"/>
    <col min="12060" max="12060" width="4" style="610" customWidth="1"/>
    <col min="12061" max="12061" width="12.85546875" style="610" customWidth="1"/>
    <col min="12062" max="12062" width="14.7109375" style="610" customWidth="1"/>
    <col min="12063" max="12063" width="10" style="610" customWidth="1"/>
    <col min="12064" max="12064" width="6.28515625" style="610" customWidth="1"/>
    <col min="12065" max="12065" width="12.28515625" style="610" customWidth="1"/>
    <col min="12066" max="12066" width="8.5703125" style="610" customWidth="1"/>
    <col min="12067" max="12067" width="13.7109375" style="610" customWidth="1"/>
    <col min="12068" max="12068" width="11.5703125" style="610" customWidth="1"/>
    <col min="12069" max="12069" width="34.28515625" style="610" customWidth="1"/>
    <col min="12070" max="12070" width="24.28515625" style="610" customWidth="1"/>
    <col min="12071" max="12071" width="21.140625" style="610" customWidth="1"/>
    <col min="12072" max="12072" width="22.140625" style="610" customWidth="1"/>
    <col min="12073" max="12073" width="8" style="610" customWidth="1"/>
    <col min="12074" max="12074" width="17" style="610" customWidth="1"/>
    <col min="12075" max="12075" width="12.7109375" style="610" customWidth="1"/>
    <col min="12076" max="12076" width="24.5703125" style="610" customWidth="1"/>
    <col min="12077" max="12077" width="29" style="610" customWidth="1"/>
    <col min="12078" max="12078" width="17.7109375" style="610" customWidth="1"/>
    <col min="12079" max="12079" width="36.42578125" style="610" customWidth="1"/>
    <col min="12080" max="12080" width="21.85546875" style="610" customWidth="1"/>
    <col min="12081" max="12081" width="11.7109375" style="610" customWidth="1"/>
    <col min="12082" max="12082" width="26.28515625" style="610" customWidth="1"/>
    <col min="12083" max="12083" width="9" style="610" customWidth="1"/>
    <col min="12084" max="12084" width="6.28515625" style="610" customWidth="1"/>
    <col min="12085" max="12086" width="7.28515625" style="610" customWidth="1"/>
    <col min="12087" max="12087" width="8.42578125" style="610" customWidth="1"/>
    <col min="12088" max="12088" width="9.5703125" style="610" customWidth="1"/>
    <col min="12089" max="12089" width="6.28515625" style="610" customWidth="1"/>
    <col min="12090" max="12090" width="5.85546875" style="610" customWidth="1"/>
    <col min="12091" max="12092" width="4.42578125" style="610" customWidth="1"/>
    <col min="12093" max="12093" width="5" style="610" customWidth="1"/>
    <col min="12094" max="12094" width="5.85546875" style="610" customWidth="1"/>
    <col min="12095" max="12095" width="6.140625" style="610" customWidth="1"/>
    <col min="12096" max="12096" width="6.28515625" style="610" customWidth="1"/>
    <col min="12097" max="12097" width="11.140625" style="610" customWidth="1"/>
    <col min="12098" max="12098" width="14.140625" style="610" customWidth="1"/>
    <col min="12099" max="12099" width="19.85546875" style="610" customWidth="1"/>
    <col min="12100" max="12100" width="17" style="610" customWidth="1"/>
    <col min="12101" max="12101" width="20.85546875" style="610" customWidth="1"/>
    <col min="12102" max="12314" width="11.42578125" style="610"/>
    <col min="12315" max="12315" width="13.140625" style="610" customWidth="1"/>
    <col min="12316" max="12316" width="4" style="610" customWidth="1"/>
    <col min="12317" max="12317" width="12.85546875" style="610" customWidth="1"/>
    <col min="12318" max="12318" width="14.7109375" style="610" customWidth="1"/>
    <col min="12319" max="12319" width="10" style="610" customWidth="1"/>
    <col min="12320" max="12320" width="6.28515625" style="610" customWidth="1"/>
    <col min="12321" max="12321" width="12.28515625" style="610" customWidth="1"/>
    <col min="12322" max="12322" width="8.5703125" style="610" customWidth="1"/>
    <col min="12323" max="12323" width="13.7109375" style="610" customWidth="1"/>
    <col min="12324" max="12324" width="11.5703125" style="610" customWidth="1"/>
    <col min="12325" max="12325" width="34.28515625" style="610" customWidth="1"/>
    <col min="12326" max="12326" width="24.28515625" style="610" customWidth="1"/>
    <col min="12327" max="12327" width="21.140625" style="610" customWidth="1"/>
    <col min="12328" max="12328" width="22.140625" style="610" customWidth="1"/>
    <col min="12329" max="12329" width="8" style="610" customWidth="1"/>
    <col min="12330" max="12330" width="17" style="610" customWidth="1"/>
    <col min="12331" max="12331" width="12.7109375" style="610" customWidth="1"/>
    <col min="12332" max="12332" width="24.5703125" style="610" customWidth="1"/>
    <col min="12333" max="12333" width="29" style="610" customWidth="1"/>
    <col min="12334" max="12334" width="17.7109375" style="610" customWidth="1"/>
    <col min="12335" max="12335" width="36.42578125" style="610" customWidth="1"/>
    <col min="12336" max="12336" width="21.85546875" style="610" customWidth="1"/>
    <col min="12337" max="12337" width="11.7109375" style="610" customWidth="1"/>
    <col min="12338" max="12338" width="26.28515625" style="610" customWidth="1"/>
    <col min="12339" max="12339" width="9" style="610" customWidth="1"/>
    <col min="12340" max="12340" width="6.28515625" style="610" customWidth="1"/>
    <col min="12341" max="12342" width="7.28515625" style="610" customWidth="1"/>
    <col min="12343" max="12343" width="8.42578125" style="610" customWidth="1"/>
    <col min="12344" max="12344" width="9.5703125" style="610" customWidth="1"/>
    <col min="12345" max="12345" width="6.28515625" style="610" customWidth="1"/>
    <col min="12346" max="12346" width="5.85546875" style="610" customWidth="1"/>
    <col min="12347" max="12348" width="4.42578125" style="610" customWidth="1"/>
    <col min="12349" max="12349" width="5" style="610" customWidth="1"/>
    <col min="12350" max="12350" width="5.85546875" style="610" customWidth="1"/>
    <col min="12351" max="12351" width="6.140625" style="610" customWidth="1"/>
    <col min="12352" max="12352" width="6.28515625" style="610" customWidth="1"/>
    <col min="12353" max="12353" width="11.140625" style="610" customWidth="1"/>
    <col min="12354" max="12354" width="14.140625" style="610" customWidth="1"/>
    <col min="12355" max="12355" width="19.85546875" style="610" customWidth="1"/>
    <col min="12356" max="12356" width="17" style="610" customWidth="1"/>
    <col min="12357" max="12357" width="20.85546875" style="610" customWidth="1"/>
    <col min="12358" max="12570" width="11.42578125" style="610"/>
    <col min="12571" max="12571" width="13.140625" style="610" customWidth="1"/>
    <col min="12572" max="12572" width="4" style="610" customWidth="1"/>
    <col min="12573" max="12573" width="12.85546875" style="610" customWidth="1"/>
    <col min="12574" max="12574" width="14.7109375" style="610" customWidth="1"/>
    <col min="12575" max="12575" width="10" style="610" customWidth="1"/>
    <col min="12576" max="12576" width="6.28515625" style="610" customWidth="1"/>
    <col min="12577" max="12577" width="12.28515625" style="610" customWidth="1"/>
    <col min="12578" max="12578" width="8.5703125" style="610" customWidth="1"/>
    <col min="12579" max="12579" width="13.7109375" style="610" customWidth="1"/>
    <col min="12580" max="12580" width="11.5703125" style="610" customWidth="1"/>
    <col min="12581" max="12581" width="34.28515625" style="610" customWidth="1"/>
    <col min="12582" max="12582" width="24.28515625" style="610" customWidth="1"/>
    <col min="12583" max="12583" width="21.140625" style="610" customWidth="1"/>
    <col min="12584" max="12584" width="22.140625" style="610" customWidth="1"/>
    <col min="12585" max="12585" width="8" style="610" customWidth="1"/>
    <col min="12586" max="12586" width="17" style="610" customWidth="1"/>
    <col min="12587" max="12587" width="12.7109375" style="610" customWidth="1"/>
    <col min="12588" max="12588" width="24.5703125" style="610" customWidth="1"/>
    <col min="12589" max="12589" width="29" style="610" customWidth="1"/>
    <col min="12590" max="12590" width="17.7109375" style="610" customWidth="1"/>
    <col min="12591" max="12591" width="36.42578125" style="610" customWidth="1"/>
    <col min="12592" max="12592" width="21.85546875" style="610" customWidth="1"/>
    <col min="12593" max="12593" width="11.7109375" style="610" customWidth="1"/>
    <col min="12594" max="12594" width="26.28515625" style="610" customWidth="1"/>
    <col min="12595" max="12595" width="9" style="610" customWidth="1"/>
    <col min="12596" max="12596" width="6.28515625" style="610" customWidth="1"/>
    <col min="12597" max="12598" width="7.28515625" style="610" customWidth="1"/>
    <col min="12599" max="12599" width="8.42578125" style="610" customWidth="1"/>
    <col min="12600" max="12600" width="9.5703125" style="610" customWidth="1"/>
    <col min="12601" max="12601" width="6.28515625" style="610" customWidth="1"/>
    <col min="12602" max="12602" width="5.85546875" style="610" customWidth="1"/>
    <col min="12603" max="12604" width="4.42578125" style="610" customWidth="1"/>
    <col min="12605" max="12605" width="5" style="610" customWidth="1"/>
    <col min="12606" max="12606" width="5.85546875" style="610" customWidth="1"/>
    <col min="12607" max="12607" width="6.140625" style="610" customWidth="1"/>
    <col min="12608" max="12608" width="6.28515625" style="610" customWidth="1"/>
    <col min="12609" max="12609" width="11.140625" style="610" customWidth="1"/>
    <col min="12610" max="12610" width="14.140625" style="610" customWidth="1"/>
    <col min="12611" max="12611" width="19.85546875" style="610" customWidth="1"/>
    <col min="12612" max="12612" width="17" style="610" customWidth="1"/>
    <col min="12613" max="12613" width="20.85546875" style="610" customWidth="1"/>
    <col min="12614" max="12826" width="11.42578125" style="610"/>
    <col min="12827" max="12827" width="13.140625" style="610" customWidth="1"/>
    <col min="12828" max="12828" width="4" style="610" customWidth="1"/>
    <col min="12829" max="12829" width="12.85546875" style="610" customWidth="1"/>
    <col min="12830" max="12830" width="14.7109375" style="610" customWidth="1"/>
    <col min="12831" max="12831" width="10" style="610" customWidth="1"/>
    <col min="12832" max="12832" width="6.28515625" style="610" customWidth="1"/>
    <col min="12833" max="12833" width="12.28515625" style="610" customWidth="1"/>
    <col min="12834" max="12834" width="8.5703125" style="610" customWidth="1"/>
    <col min="12835" max="12835" width="13.7109375" style="610" customWidth="1"/>
    <col min="12836" max="12836" width="11.5703125" style="610" customWidth="1"/>
    <col min="12837" max="12837" width="34.28515625" style="610" customWidth="1"/>
    <col min="12838" max="12838" width="24.28515625" style="610" customWidth="1"/>
    <col min="12839" max="12839" width="21.140625" style="610" customWidth="1"/>
    <col min="12840" max="12840" width="22.140625" style="610" customWidth="1"/>
    <col min="12841" max="12841" width="8" style="610" customWidth="1"/>
    <col min="12842" max="12842" width="17" style="610" customWidth="1"/>
    <col min="12843" max="12843" width="12.7109375" style="610" customWidth="1"/>
    <col min="12844" max="12844" width="24.5703125" style="610" customWidth="1"/>
    <col min="12845" max="12845" width="29" style="610" customWidth="1"/>
    <col min="12846" max="12846" width="17.7109375" style="610" customWidth="1"/>
    <col min="12847" max="12847" width="36.42578125" style="610" customWidth="1"/>
    <col min="12848" max="12848" width="21.85546875" style="610" customWidth="1"/>
    <col min="12849" max="12849" width="11.7109375" style="610" customWidth="1"/>
    <col min="12850" max="12850" width="26.28515625" style="610" customWidth="1"/>
    <col min="12851" max="12851" width="9" style="610" customWidth="1"/>
    <col min="12852" max="12852" width="6.28515625" style="610" customWidth="1"/>
    <col min="12853" max="12854" width="7.28515625" style="610" customWidth="1"/>
    <col min="12855" max="12855" width="8.42578125" style="610" customWidth="1"/>
    <col min="12856" max="12856" width="9.5703125" style="610" customWidth="1"/>
    <col min="12857" max="12857" width="6.28515625" style="610" customWidth="1"/>
    <col min="12858" max="12858" width="5.85546875" style="610" customWidth="1"/>
    <col min="12859" max="12860" width="4.42578125" style="610" customWidth="1"/>
    <col min="12861" max="12861" width="5" style="610" customWidth="1"/>
    <col min="12862" max="12862" width="5.85546875" style="610" customWidth="1"/>
    <col min="12863" max="12863" width="6.140625" style="610" customWidth="1"/>
    <col min="12864" max="12864" width="6.28515625" style="610" customWidth="1"/>
    <col min="12865" max="12865" width="11.140625" style="610" customWidth="1"/>
    <col min="12866" max="12866" width="14.140625" style="610" customWidth="1"/>
    <col min="12867" max="12867" width="19.85546875" style="610" customWidth="1"/>
    <col min="12868" max="12868" width="17" style="610" customWidth="1"/>
    <col min="12869" max="12869" width="20.85546875" style="610" customWidth="1"/>
    <col min="12870" max="13082" width="11.42578125" style="610"/>
    <col min="13083" max="13083" width="13.140625" style="610" customWidth="1"/>
    <col min="13084" max="13084" width="4" style="610" customWidth="1"/>
    <col min="13085" max="13085" width="12.85546875" style="610" customWidth="1"/>
    <col min="13086" max="13086" width="14.7109375" style="610" customWidth="1"/>
    <col min="13087" max="13087" width="10" style="610" customWidth="1"/>
    <col min="13088" max="13088" width="6.28515625" style="610" customWidth="1"/>
    <col min="13089" max="13089" width="12.28515625" style="610" customWidth="1"/>
    <col min="13090" max="13090" width="8.5703125" style="610" customWidth="1"/>
    <col min="13091" max="13091" width="13.7109375" style="610" customWidth="1"/>
    <col min="13092" max="13092" width="11.5703125" style="610" customWidth="1"/>
    <col min="13093" max="13093" width="34.28515625" style="610" customWidth="1"/>
    <col min="13094" max="13094" width="24.28515625" style="610" customWidth="1"/>
    <col min="13095" max="13095" width="21.140625" style="610" customWidth="1"/>
    <col min="13096" max="13096" width="22.140625" style="610" customWidth="1"/>
    <col min="13097" max="13097" width="8" style="610" customWidth="1"/>
    <col min="13098" max="13098" width="17" style="610" customWidth="1"/>
    <col min="13099" max="13099" width="12.7109375" style="610" customWidth="1"/>
    <col min="13100" max="13100" width="24.5703125" style="610" customWidth="1"/>
    <col min="13101" max="13101" width="29" style="610" customWidth="1"/>
    <col min="13102" max="13102" width="17.7109375" style="610" customWidth="1"/>
    <col min="13103" max="13103" width="36.42578125" style="610" customWidth="1"/>
    <col min="13104" max="13104" width="21.85546875" style="610" customWidth="1"/>
    <col min="13105" max="13105" width="11.7109375" style="610" customWidth="1"/>
    <col min="13106" max="13106" width="26.28515625" style="610" customWidth="1"/>
    <col min="13107" max="13107" width="9" style="610" customWidth="1"/>
    <col min="13108" max="13108" width="6.28515625" style="610" customWidth="1"/>
    <col min="13109" max="13110" width="7.28515625" style="610" customWidth="1"/>
    <col min="13111" max="13111" width="8.42578125" style="610" customWidth="1"/>
    <col min="13112" max="13112" width="9.5703125" style="610" customWidth="1"/>
    <col min="13113" max="13113" width="6.28515625" style="610" customWidth="1"/>
    <col min="13114" max="13114" width="5.85546875" style="610" customWidth="1"/>
    <col min="13115" max="13116" width="4.42578125" style="610" customWidth="1"/>
    <col min="13117" max="13117" width="5" style="610" customWidth="1"/>
    <col min="13118" max="13118" width="5.85546875" style="610" customWidth="1"/>
    <col min="13119" max="13119" width="6.140625" style="610" customWidth="1"/>
    <col min="13120" max="13120" width="6.28515625" style="610" customWidth="1"/>
    <col min="13121" max="13121" width="11.140625" style="610" customWidth="1"/>
    <col min="13122" max="13122" width="14.140625" style="610" customWidth="1"/>
    <col min="13123" max="13123" width="19.85546875" style="610" customWidth="1"/>
    <col min="13124" max="13124" width="17" style="610" customWidth="1"/>
    <col min="13125" max="13125" width="20.85546875" style="610" customWidth="1"/>
    <col min="13126" max="13338" width="11.42578125" style="610"/>
    <col min="13339" max="13339" width="13.140625" style="610" customWidth="1"/>
    <col min="13340" max="13340" width="4" style="610" customWidth="1"/>
    <col min="13341" max="13341" width="12.85546875" style="610" customWidth="1"/>
    <col min="13342" max="13342" width="14.7109375" style="610" customWidth="1"/>
    <col min="13343" max="13343" width="10" style="610" customWidth="1"/>
    <col min="13344" max="13344" width="6.28515625" style="610" customWidth="1"/>
    <col min="13345" max="13345" width="12.28515625" style="610" customWidth="1"/>
    <col min="13346" max="13346" width="8.5703125" style="610" customWidth="1"/>
    <col min="13347" max="13347" width="13.7109375" style="610" customWidth="1"/>
    <col min="13348" max="13348" width="11.5703125" style="610" customWidth="1"/>
    <col min="13349" max="13349" width="34.28515625" style="610" customWidth="1"/>
    <col min="13350" max="13350" width="24.28515625" style="610" customWidth="1"/>
    <col min="13351" max="13351" width="21.140625" style="610" customWidth="1"/>
    <col min="13352" max="13352" width="22.140625" style="610" customWidth="1"/>
    <col min="13353" max="13353" width="8" style="610" customWidth="1"/>
    <col min="13354" max="13354" width="17" style="610" customWidth="1"/>
    <col min="13355" max="13355" width="12.7109375" style="610" customWidth="1"/>
    <col min="13356" max="13356" width="24.5703125" style="610" customWidth="1"/>
    <col min="13357" max="13357" width="29" style="610" customWidth="1"/>
    <col min="13358" max="13358" width="17.7109375" style="610" customWidth="1"/>
    <col min="13359" max="13359" width="36.42578125" style="610" customWidth="1"/>
    <col min="13360" max="13360" width="21.85546875" style="610" customWidth="1"/>
    <col min="13361" max="13361" width="11.7109375" style="610" customWidth="1"/>
    <col min="13362" max="13362" width="26.28515625" style="610" customWidth="1"/>
    <col min="13363" max="13363" width="9" style="610" customWidth="1"/>
    <col min="13364" max="13364" width="6.28515625" style="610" customWidth="1"/>
    <col min="13365" max="13366" width="7.28515625" style="610" customWidth="1"/>
    <col min="13367" max="13367" width="8.42578125" style="610" customWidth="1"/>
    <col min="13368" max="13368" width="9.5703125" style="610" customWidth="1"/>
    <col min="13369" max="13369" width="6.28515625" style="610" customWidth="1"/>
    <col min="13370" max="13370" width="5.85546875" style="610" customWidth="1"/>
    <col min="13371" max="13372" width="4.42578125" style="610" customWidth="1"/>
    <col min="13373" max="13373" width="5" style="610" customWidth="1"/>
    <col min="13374" max="13374" width="5.85546875" style="610" customWidth="1"/>
    <col min="13375" max="13375" width="6.140625" style="610" customWidth="1"/>
    <col min="13376" max="13376" width="6.28515625" style="610" customWidth="1"/>
    <col min="13377" max="13377" width="11.140625" style="610" customWidth="1"/>
    <col min="13378" max="13378" width="14.140625" style="610" customWidth="1"/>
    <col min="13379" max="13379" width="19.85546875" style="610" customWidth="1"/>
    <col min="13380" max="13380" width="17" style="610" customWidth="1"/>
    <col min="13381" max="13381" width="20.85546875" style="610" customWidth="1"/>
    <col min="13382" max="13594" width="11.42578125" style="610"/>
    <col min="13595" max="13595" width="13.140625" style="610" customWidth="1"/>
    <col min="13596" max="13596" width="4" style="610" customWidth="1"/>
    <col min="13597" max="13597" width="12.85546875" style="610" customWidth="1"/>
    <col min="13598" max="13598" width="14.7109375" style="610" customWidth="1"/>
    <col min="13599" max="13599" width="10" style="610" customWidth="1"/>
    <col min="13600" max="13600" width="6.28515625" style="610" customWidth="1"/>
    <col min="13601" max="13601" width="12.28515625" style="610" customWidth="1"/>
    <col min="13602" max="13602" width="8.5703125" style="610" customWidth="1"/>
    <col min="13603" max="13603" width="13.7109375" style="610" customWidth="1"/>
    <col min="13604" max="13604" width="11.5703125" style="610" customWidth="1"/>
    <col min="13605" max="13605" width="34.28515625" style="610" customWidth="1"/>
    <col min="13606" max="13606" width="24.28515625" style="610" customWidth="1"/>
    <col min="13607" max="13607" width="21.140625" style="610" customWidth="1"/>
    <col min="13608" max="13608" width="22.140625" style="610" customWidth="1"/>
    <col min="13609" max="13609" width="8" style="610" customWidth="1"/>
    <col min="13610" max="13610" width="17" style="610" customWidth="1"/>
    <col min="13611" max="13611" width="12.7109375" style="610" customWidth="1"/>
    <col min="13612" max="13612" width="24.5703125" style="610" customWidth="1"/>
    <col min="13613" max="13613" width="29" style="610" customWidth="1"/>
    <col min="13614" max="13614" width="17.7109375" style="610" customWidth="1"/>
    <col min="13615" max="13615" width="36.42578125" style="610" customWidth="1"/>
    <col min="13616" max="13616" width="21.85546875" style="610" customWidth="1"/>
    <col min="13617" max="13617" width="11.7109375" style="610" customWidth="1"/>
    <col min="13618" max="13618" width="26.28515625" style="610" customWidth="1"/>
    <col min="13619" max="13619" width="9" style="610" customWidth="1"/>
    <col min="13620" max="13620" width="6.28515625" style="610" customWidth="1"/>
    <col min="13621" max="13622" width="7.28515625" style="610" customWidth="1"/>
    <col min="13623" max="13623" width="8.42578125" style="610" customWidth="1"/>
    <col min="13624" max="13624" width="9.5703125" style="610" customWidth="1"/>
    <col min="13625" max="13625" width="6.28515625" style="610" customWidth="1"/>
    <col min="13626" max="13626" width="5.85546875" style="610" customWidth="1"/>
    <col min="13627" max="13628" width="4.42578125" style="610" customWidth="1"/>
    <col min="13629" max="13629" width="5" style="610" customWidth="1"/>
    <col min="13630" max="13630" width="5.85546875" style="610" customWidth="1"/>
    <col min="13631" max="13631" width="6.140625" style="610" customWidth="1"/>
    <col min="13632" max="13632" width="6.28515625" style="610" customWidth="1"/>
    <col min="13633" max="13633" width="11.140625" style="610" customWidth="1"/>
    <col min="13634" max="13634" width="14.140625" style="610" customWidth="1"/>
    <col min="13635" max="13635" width="19.85546875" style="610" customWidth="1"/>
    <col min="13636" max="13636" width="17" style="610" customWidth="1"/>
    <col min="13637" max="13637" width="20.85546875" style="610" customWidth="1"/>
    <col min="13638" max="13850" width="11.42578125" style="610"/>
    <col min="13851" max="13851" width="13.140625" style="610" customWidth="1"/>
    <col min="13852" max="13852" width="4" style="610" customWidth="1"/>
    <col min="13853" max="13853" width="12.85546875" style="610" customWidth="1"/>
    <col min="13854" max="13854" width="14.7109375" style="610" customWidth="1"/>
    <col min="13855" max="13855" width="10" style="610" customWidth="1"/>
    <col min="13856" max="13856" width="6.28515625" style="610" customWidth="1"/>
    <col min="13857" max="13857" width="12.28515625" style="610" customWidth="1"/>
    <col min="13858" max="13858" width="8.5703125" style="610" customWidth="1"/>
    <col min="13859" max="13859" width="13.7109375" style="610" customWidth="1"/>
    <col min="13860" max="13860" width="11.5703125" style="610" customWidth="1"/>
    <col min="13861" max="13861" width="34.28515625" style="610" customWidth="1"/>
    <col min="13862" max="13862" width="24.28515625" style="610" customWidth="1"/>
    <col min="13863" max="13863" width="21.140625" style="610" customWidth="1"/>
    <col min="13864" max="13864" width="22.140625" style="610" customWidth="1"/>
    <col min="13865" max="13865" width="8" style="610" customWidth="1"/>
    <col min="13866" max="13866" width="17" style="610" customWidth="1"/>
    <col min="13867" max="13867" width="12.7109375" style="610" customWidth="1"/>
    <col min="13868" max="13868" width="24.5703125" style="610" customWidth="1"/>
    <col min="13869" max="13869" width="29" style="610" customWidth="1"/>
    <col min="13870" max="13870" width="17.7109375" style="610" customWidth="1"/>
    <col min="13871" max="13871" width="36.42578125" style="610" customWidth="1"/>
    <col min="13872" max="13872" width="21.85546875" style="610" customWidth="1"/>
    <col min="13873" max="13873" width="11.7109375" style="610" customWidth="1"/>
    <col min="13874" max="13874" width="26.28515625" style="610" customWidth="1"/>
    <col min="13875" max="13875" width="9" style="610" customWidth="1"/>
    <col min="13876" max="13876" width="6.28515625" style="610" customWidth="1"/>
    <col min="13877" max="13878" width="7.28515625" style="610" customWidth="1"/>
    <col min="13879" max="13879" width="8.42578125" style="610" customWidth="1"/>
    <col min="13880" max="13880" width="9.5703125" style="610" customWidth="1"/>
    <col min="13881" max="13881" width="6.28515625" style="610" customWidth="1"/>
    <col min="13882" max="13882" width="5.85546875" style="610" customWidth="1"/>
    <col min="13883" max="13884" width="4.42578125" style="610" customWidth="1"/>
    <col min="13885" max="13885" width="5" style="610" customWidth="1"/>
    <col min="13886" max="13886" width="5.85546875" style="610" customWidth="1"/>
    <col min="13887" max="13887" width="6.140625" style="610" customWidth="1"/>
    <col min="13888" max="13888" width="6.28515625" style="610" customWidth="1"/>
    <col min="13889" max="13889" width="11.140625" style="610" customWidth="1"/>
    <col min="13890" max="13890" width="14.140625" style="610" customWidth="1"/>
    <col min="13891" max="13891" width="19.85546875" style="610" customWidth="1"/>
    <col min="13892" max="13892" width="17" style="610" customWidth="1"/>
    <col min="13893" max="13893" width="20.85546875" style="610" customWidth="1"/>
    <col min="13894" max="14106" width="11.42578125" style="610"/>
    <col min="14107" max="14107" width="13.140625" style="610" customWidth="1"/>
    <col min="14108" max="14108" width="4" style="610" customWidth="1"/>
    <col min="14109" max="14109" width="12.85546875" style="610" customWidth="1"/>
    <col min="14110" max="14110" width="14.7109375" style="610" customWidth="1"/>
    <col min="14111" max="14111" width="10" style="610" customWidth="1"/>
    <col min="14112" max="14112" width="6.28515625" style="610" customWidth="1"/>
    <col min="14113" max="14113" width="12.28515625" style="610" customWidth="1"/>
    <col min="14114" max="14114" width="8.5703125" style="610" customWidth="1"/>
    <col min="14115" max="14115" width="13.7109375" style="610" customWidth="1"/>
    <col min="14116" max="14116" width="11.5703125" style="610" customWidth="1"/>
    <col min="14117" max="14117" width="34.28515625" style="610" customWidth="1"/>
    <col min="14118" max="14118" width="24.28515625" style="610" customWidth="1"/>
    <col min="14119" max="14119" width="21.140625" style="610" customWidth="1"/>
    <col min="14120" max="14120" width="22.140625" style="610" customWidth="1"/>
    <col min="14121" max="14121" width="8" style="610" customWidth="1"/>
    <col min="14122" max="14122" width="17" style="610" customWidth="1"/>
    <col min="14123" max="14123" width="12.7109375" style="610" customWidth="1"/>
    <col min="14124" max="14124" width="24.5703125" style="610" customWidth="1"/>
    <col min="14125" max="14125" width="29" style="610" customWidth="1"/>
    <col min="14126" max="14126" width="17.7109375" style="610" customWidth="1"/>
    <col min="14127" max="14127" width="36.42578125" style="610" customWidth="1"/>
    <col min="14128" max="14128" width="21.85546875" style="610" customWidth="1"/>
    <col min="14129" max="14129" width="11.7109375" style="610" customWidth="1"/>
    <col min="14130" max="14130" width="26.28515625" style="610" customWidth="1"/>
    <col min="14131" max="14131" width="9" style="610" customWidth="1"/>
    <col min="14132" max="14132" width="6.28515625" style="610" customWidth="1"/>
    <col min="14133" max="14134" width="7.28515625" style="610" customWidth="1"/>
    <col min="14135" max="14135" width="8.42578125" style="610" customWidth="1"/>
    <col min="14136" max="14136" width="9.5703125" style="610" customWidth="1"/>
    <col min="14137" max="14137" width="6.28515625" style="610" customWidth="1"/>
    <col min="14138" max="14138" width="5.85546875" style="610" customWidth="1"/>
    <col min="14139" max="14140" width="4.42578125" style="610" customWidth="1"/>
    <col min="14141" max="14141" width="5" style="610" customWidth="1"/>
    <col min="14142" max="14142" width="5.85546875" style="610" customWidth="1"/>
    <col min="14143" max="14143" width="6.140625" style="610" customWidth="1"/>
    <col min="14144" max="14144" width="6.28515625" style="610" customWidth="1"/>
    <col min="14145" max="14145" width="11.140625" style="610" customWidth="1"/>
    <col min="14146" max="14146" width="14.140625" style="610" customWidth="1"/>
    <col min="14147" max="14147" width="19.85546875" style="610" customWidth="1"/>
    <col min="14148" max="14148" width="17" style="610" customWidth="1"/>
    <col min="14149" max="14149" width="20.85546875" style="610" customWidth="1"/>
    <col min="14150" max="14362" width="11.42578125" style="610"/>
    <col min="14363" max="14363" width="13.140625" style="610" customWidth="1"/>
    <col min="14364" max="14364" width="4" style="610" customWidth="1"/>
    <col min="14365" max="14365" width="12.85546875" style="610" customWidth="1"/>
    <col min="14366" max="14366" width="14.7109375" style="610" customWidth="1"/>
    <col min="14367" max="14367" width="10" style="610" customWidth="1"/>
    <col min="14368" max="14368" width="6.28515625" style="610" customWidth="1"/>
    <col min="14369" max="14369" width="12.28515625" style="610" customWidth="1"/>
    <col min="14370" max="14370" width="8.5703125" style="610" customWidth="1"/>
    <col min="14371" max="14371" width="13.7109375" style="610" customWidth="1"/>
    <col min="14372" max="14372" width="11.5703125" style="610" customWidth="1"/>
    <col min="14373" max="14373" width="34.28515625" style="610" customWidth="1"/>
    <col min="14374" max="14374" width="24.28515625" style="610" customWidth="1"/>
    <col min="14375" max="14375" width="21.140625" style="610" customWidth="1"/>
    <col min="14376" max="14376" width="22.140625" style="610" customWidth="1"/>
    <col min="14377" max="14377" width="8" style="610" customWidth="1"/>
    <col min="14378" max="14378" width="17" style="610" customWidth="1"/>
    <col min="14379" max="14379" width="12.7109375" style="610" customWidth="1"/>
    <col min="14380" max="14380" width="24.5703125" style="610" customWidth="1"/>
    <col min="14381" max="14381" width="29" style="610" customWidth="1"/>
    <col min="14382" max="14382" width="17.7109375" style="610" customWidth="1"/>
    <col min="14383" max="14383" width="36.42578125" style="610" customWidth="1"/>
    <col min="14384" max="14384" width="21.85546875" style="610" customWidth="1"/>
    <col min="14385" max="14385" width="11.7109375" style="610" customWidth="1"/>
    <col min="14386" max="14386" width="26.28515625" style="610" customWidth="1"/>
    <col min="14387" max="14387" width="9" style="610" customWidth="1"/>
    <col min="14388" max="14388" width="6.28515625" style="610" customWidth="1"/>
    <col min="14389" max="14390" width="7.28515625" style="610" customWidth="1"/>
    <col min="14391" max="14391" width="8.42578125" style="610" customWidth="1"/>
    <col min="14392" max="14392" width="9.5703125" style="610" customWidth="1"/>
    <col min="14393" max="14393" width="6.28515625" style="610" customWidth="1"/>
    <col min="14394" max="14394" width="5.85546875" style="610" customWidth="1"/>
    <col min="14395" max="14396" width="4.42578125" style="610" customWidth="1"/>
    <col min="14397" max="14397" width="5" style="610" customWidth="1"/>
    <col min="14398" max="14398" width="5.85546875" style="610" customWidth="1"/>
    <col min="14399" max="14399" width="6.140625" style="610" customWidth="1"/>
    <col min="14400" max="14400" width="6.28515625" style="610" customWidth="1"/>
    <col min="14401" max="14401" width="11.140625" style="610" customWidth="1"/>
    <col min="14402" max="14402" width="14.140625" style="610" customWidth="1"/>
    <col min="14403" max="14403" width="19.85546875" style="610" customWidth="1"/>
    <col min="14404" max="14404" width="17" style="610" customWidth="1"/>
    <col min="14405" max="14405" width="20.85546875" style="610" customWidth="1"/>
    <col min="14406" max="14618" width="11.42578125" style="610"/>
    <col min="14619" max="14619" width="13.140625" style="610" customWidth="1"/>
    <col min="14620" max="14620" width="4" style="610" customWidth="1"/>
    <col min="14621" max="14621" width="12.85546875" style="610" customWidth="1"/>
    <col min="14622" max="14622" width="14.7109375" style="610" customWidth="1"/>
    <col min="14623" max="14623" width="10" style="610" customWidth="1"/>
    <col min="14624" max="14624" width="6.28515625" style="610" customWidth="1"/>
    <col min="14625" max="14625" width="12.28515625" style="610" customWidth="1"/>
    <col min="14626" max="14626" width="8.5703125" style="610" customWidth="1"/>
    <col min="14627" max="14627" width="13.7109375" style="610" customWidth="1"/>
    <col min="14628" max="14628" width="11.5703125" style="610" customWidth="1"/>
    <col min="14629" max="14629" width="34.28515625" style="610" customWidth="1"/>
    <col min="14630" max="14630" width="24.28515625" style="610" customWidth="1"/>
    <col min="14631" max="14631" width="21.140625" style="610" customWidth="1"/>
    <col min="14632" max="14632" width="22.140625" style="610" customWidth="1"/>
    <col min="14633" max="14633" width="8" style="610" customWidth="1"/>
    <col min="14634" max="14634" width="17" style="610" customWidth="1"/>
    <col min="14635" max="14635" width="12.7109375" style="610" customWidth="1"/>
    <col min="14636" max="14636" width="24.5703125" style="610" customWidth="1"/>
    <col min="14637" max="14637" width="29" style="610" customWidth="1"/>
    <col min="14638" max="14638" width="17.7109375" style="610" customWidth="1"/>
    <col min="14639" max="14639" width="36.42578125" style="610" customWidth="1"/>
    <col min="14640" max="14640" width="21.85546875" style="610" customWidth="1"/>
    <col min="14641" max="14641" width="11.7109375" style="610" customWidth="1"/>
    <col min="14642" max="14642" width="26.28515625" style="610" customWidth="1"/>
    <col min="14643" max="14643" width="9" style="610" customWidth="1"/>
    <col min="14644" max="14644" width="6.28515625" style="610" customWidth="1"/>
    <col min="14645" max="14646" width="7.28515625" style="610" customWidth="1"/>
    <col min="14647" max="14647" width="8.42578125" style="610" customWidth="1"/>
    <col min="14648" max="14648" width="9.5703125" style="610" customWidth="1"/>
    <col min="14649" max="14649" width="6.28515625" style="610" customWidth="1"/>
    <col min="14650" max="14650" width="5.85546875" style="610" customWidth="1"/>
    <col min="14651" max="14652" width="4.42578125" style="610" customWidth="1"/>
    <col min="14653" max="14653" width="5" style="610" customWidth="1"/>
    <col min="14654" max="14654" width="5.85546875" style="610" customWidth="1"/>
    <col min="14655" max="14655" width="6.140625" style="610" customWidth="1"/>
    <col min="14656" max="14656" width="6.28515625" style="610" customWidth="1"/>
    <col min="14657" max="14657" width="11.140625" style="610" customWidth="1"/>
    <col min="14658" max="14658" width="14.140625" style="610" customWidth="1"/>
    <col min="14659" max="14659" width="19.85546875" style="610" customWidth="1"/>
    <col min="14660" max="14660" width="17" style="610" customWidth="1"/>
    <col min="14661" max="14661" width="20.85546875" style="610" customWidth="1"/>
    <col min="14662" max="14874" width="11.42578125" style="610"/>
    <col min="14875" max="14875" width="13.140625" style="610" customWidth="1"/>
    <col min="14876" max="14876" width="4" style="610" customWidth="1"/>
    <col min="14877" max="14877" width="12.85546875" style="610" customWidth="1"/>
    <col min="14878" max="14878" width="14.7109375" style="610" customWidth="1"/>
    <col min="14879" max="14879" width="10" style="610" customWidth="1"/>
    <col min="14880" max="14880" width="6.28515625" style="610" customWidth="1"/>
    <col min="14881" max="14881" width="12.28515625" style="610" customWidth="1"/>
    <col min="14882" max="14882" width="8.5703125" style="610" customWidth="1"/>
    <col min="14883" max="14883" width="13.7109375" style="610" customWidth="1"/>
    <col min="14884" max="14884" width="11.5703125" style="610" customWidth="1"/>
    <col min="14885" max="14885" width="34.28515625" style="610" customWidth="1"/>
    <col min="14886" max="14886" width="24.28515625" style="610" customWidth="1"/>
    <col min="14887" max="14887" width="21.140625" style="610" customWidth="1"/>
    <col min="14888" max="14888" width="22.140625" style="610" customWidth="1"/>
    <col min="14889" max="14889" width="8" style="610" customWidth="1"/>
    <col min="14890" max="14890" width="17" style="610" customWidth="1"/>
    <col min="14891" max="14891" width="12.7109375" style="610" customWidth="1"/>
    <col min="14892" max="14892" width="24.5703125" style="610" customWidth="1"/>
    <col min="14893" max="14893" width="29" style="610" customWidth="1"/>
    <col min="14894" max="14894" width="17.7109375" style="610" customWidth="1"/>
    <col min="14895" max="14895" width="36.42578125" style="610" customWidth="1"/>
    <col min="14896" max="14896" width="21.85546875" style="610" customWidth="1"/>
    <col min="14897" max="14897" width="11.7109375" style="610" customWidth="1"/>
    <col min="14898" max="14898" width="26.28515625" style="610" customWidth="1"/>
    <col min="14899" max="14899" width="9" style="610" customWidth="1"/>
    <col min="14900" max="14900" width="6.28515625" style="610" customWidth="1"/>
    <col min="14901" max="14902" width="7.28515625" style="610" customWidth="1"/>
    <col min="14903" max="14903" width="8.42578125" style="610" customWidth="1"/>
    <col min="14904" max="14904" width="9.5703125" style="610" customWidth="1"/>
    <col min="14905" max="14905" width="6.28515625" style="610" customWidth="1"/>
    <col min="14906" max="14906" width="5.85546875" style="610" customWidth="1"/>
    <col min="14907" max="14908" width="4.42578125" style="610" customWidth="1"/>
    <col min="14909" max="14909" width="5" style="610" customWidth="1"/>
    <col min="14910" max="14910" width="5.85546875" style="610" customWidth="1"/>
    <col min="14911" max="14911" width="6.140625" style="610" customWidth="1"/>
    <col min="14912" max="14912" width="6.28515625" style="610" customWidth="1"/>
    <col min="14913" max="14913" width="11.140625" style="610" customWidth="1"/>
    <col min="14914" max="14914" width="14.140625" style="610" customWidth="1"/>
    <col min="14915" max="14915" width="19.85546875" style="610" customWidth="1"/>
    <col min="14916" max="14916" width="17" style="610" customWidth="1"/>
    <col min="14917" max="14917" width="20.85546875" style="610" customWidth="1"/>
    <col min="14918" max="15130" width="11.42578125" style="610"/>
    <col min="15131" max="15131" width="13.140625" style="610" customWidth="1"/>
    <col min="15132" max="15132" width="4" style="610" customWidth="1"/>
    <col min="15133" max="15133" width="12.85546875" style="610" customWidth="1"/>
    <col min="15134" max="15134" width="14.7109375" style="610" customWidth="1"/>
    <col min="15135" max="15135" width="10" style="610" customWidth="1"/>
    <col min="15136" max="15136" width="6.28515625" style="610" customWidth="1"/>
    <col min="15137" max="15137" width="12.28515625" style="610" customWidth="1"/>
    <col min="15138" max="15138" width="8.5703125" style="610" customWidth="1"/>
    <col min="15139" max="15139" width="13.7109375" style="610" customWidth="1"/>
    <col min="15140" max="15140" width="11.5703125" style="610" customWidth="1"/>
    <col min="15141" max="15141" width="34.28515625" style="610" customWidth="1"/>
    <col min="15142" max="15142" width="24.28515625" style="610" customWidth="1"/>
    <col min="15143" max="15143" width="21.140625" style="610" customWidth="1"/>
    <col min="15144" max="15144" width="22.140625" style="610" customWidth="1"/>
    <col min="15145" max="15145" width="8" style="610" customWidth="1"/>
    <col min="15146" max="15146" width="17" style="610" customWidth="1"/>
    <col min="15147" max="15147" width="12.7109375" style="610" customWidth="1"/>
    <col min="15148" max="15148" width="24.5703125" style="610" customWidth="1"/>
    <col min="15149" max="15149" width="29" style="610" customWidth="1"/>
    <col min="15150" max="15150" width="17.7109375" style="610" customWidth="1"/>
    <col min="15151" max="15151" width="36.42578125" style="610" customWidth="1"/>
    <col min="15152" max="15152" width="21.85546875" style="610" customWidth="1"/>
    <col min="15153" max="15153" width="11.7109375" style="610" customWidth="1"/>
    <col min="15154" max="15154" width="26.28515625" style="610" customWidth="1"/>
    <col min="15155" max="15155" width="9" style="610" customWidth="1"/>
    <col min="15156" max="15156" width="6.28515625" style="610" customWidth="1"/>
    <col min="15157" max="15158" width="7.28515625" style="610" customWidth="1"/>
    <col min="15159" max="15159" width="8.42578125" style="610" customWidth="1"/>
    <col min="15160" max="15160" width="9.5703125" style="610" customWidth="1"/>
    <col min="15161" max="15161" width="6.28515625" style="610" customWidth="1"/>
    <col min="15162" max="15162" width="5.85546875" style="610" customWidth="1"/>
    <col min="15163" max="15164" width="4.42578125" style="610" customWidth="1"/>
    <col min="15165" max="15165" width="5" style="610" customWidth="1"/>
    <col min="15166" max="15166" width="5.85546875" style="610" customWidth="1"/>
    <col min="15167" max="15167" width="6.140625" style="610" customWidth="1"/>
    <col min="15168" max="15168" width="6.28515625" style="610" customWidth="1"/>
    <col min="15169" max="15169" width="11.140625" style="610" customWidth="1"/>
    <col min="15170" max="15170" width="14.140625" style="610" customWidth="1"/>
    <col min="15171" max="15171" width="19.85546875" style="610" customWidth="1"/>
    <col min="15172" max="15172" width="17" style="610" customWidth="1"/>
    <col min="15173" max="15173" width="20.85546875" style="610" customWidth="1"/>
    <col min="15174" max="15386" width="11.42578125" style="610"/>
    <col min="15387" max="15387" width="13.140625" style="610" customWidth="1"/>
    <col min="15388" max="15388" width="4" style="610" customWidth="1"/>
    <col min="15389" max="15389" width="12.85546875" style="610" customWidth="1"/>
    <col min="15390" max="15390" width="14.7109375" style="610" customWidth="1"/>
    <col min="15391" max="15391" width="10" style="610" customWidth="1"/>
    <col min="15392" max="15392" width="6.28515625" style="610" customWidth="1"/>
    <col min="15393" max="15393" width="12.28515625" style="610" customWidth="1"/>
    <col min="15394" max="15394" width="8.5703125" style="610" customWidth="1"/>
    <col min="15395" max="15395" width="13.7109375" style="610" customWidth="1"/>
    <col min="15396" max="15396" width="11.5703125" style="610" customWidth="1"/>
    <col min="15397" max="15397" width="34.28515625" style="610" customWidth="1"/>
    <col min="15398" max="15398" width="24.28515625" style="610" customWidth="1"/>
    <col min="15399" max="15399" width="21.140625" style="610" customWidth="1"/>
    <col min="15400" max="15400" width="22.140625" style="610" customWidth="1"/>
    <col min="15401" max="15401" width="8" style="610" customWidth="1"/>
    <col min="15402" max="15402" width="17" style="610" customWidth="1"/>
    <col min="15403" max="15403" width="12.7109375" style="610" customWidth="1"/>
    <col min="15404" max="15404" width="24.5703125" style="610" customWidth="1"/>
    <col min="15405" max="15405" width="29" style="610" customWidth="1"/>
    <col min="15406" max="15406" width="17.7109375" style="610" customWidth="1"/>
    <col min="15407" max="15407" width="36.42578125" style="610" customWidth="1"/>
    <col min="15408" max="15408" width="21.85546875" style="610" customWidth="1"/>
    <col min="15409" max="15409" width="11.7109375" style="610" customWidth="1"/>
    <col min="15410" max="15410" width="26.28515625" style="610" customWidth="1"/>
    <col min="15411" max="15411" width="9" style="610" customWidth="1"/>
    <col min="15412" max="15412" width="6.28515625" style="610" customWidth="1"/>
    <col min="15413" max="15414" width="7.28515625" style="610" customWidth="1"/>
    <col min="15415" max="15415" width="8.42578125" style="610" customWidth="1"/>
    <col min="15416" max="15416" width="9.5703125" style="610" customWidth="1"/>
    <col min="15417" max="15417" width="6.28515625" style="610" customWidth="1"/>
    <col min="15418" max="15418" width="5.85546875" style="610" customWidth="1"/>
    <col min="15419" max="15420" width="4.42578125" style="610" customWidth="1"/>
    <col min="15421" max="15421" width="5" style="610" customWidth="1"/>
    <col min="15422" max="15422" width="5.85546875" style="610" customWidth="1"/>
    <col min="15423" max="15423" width="6.140625" style="610" customWidth="1"/>
    <col min="15424" max="15424" width="6.28515625" style="610" customWidth="1"/>
    <col min="15425" max="15425" width="11.140625" style="610" customWidth="1"/>
    <col min="15426" max="15426" width="14.140625" style="610" customWidth="1"/>
    <col min="15427" max="15427" width="19.85546875" style="610" customWidth="1"/>
    <col min="15428" max="15428" width="17" style="610" customWidth="1"/>
    <col min="15429" max="15429" width="20.85546875" style="610" customWidth="1"/>
    <col min="15430" max="15642" width="11.42578125" style="610"/>
    <col min="15643" max="15643" width="13.140625" style="610" customWidth="1"/>
    <col min="15644" max="15644" width="4" style="610" customWidth="1"/>
    <col min="15645" max="15645" width="12.85546875" style="610" customWidth="1"/>
    <col min="15646" max="15646" width="14.7109375" style="610" customWidth="1"/>
    <col min="15647" max="15647" width="10" style="610" customWidth="1"/>
    <col min="15648" max="15648" width="6.28515625" style="610" customWidth="1"/>
    <col min="15649" max="15649" width="12.28515625" style="610" customWidth="1"/>
    <col min="15650" max="15650" width="8.5703125" style="610" customWidth="1"/>
    <col min="15651" max="15651" width="13.7109375" style="610" customWidth="1"/>
    <col min="15652" max="15652" width="11.5703125" style="610" customWidth="1"/>
    <col min="15653" max="15653" width="34.28515625" style="610" customWidth="1"/>
    <col min="15654" max="15654" width="24.28515625" style="610" customWidth="1"/>
    <col min="15655" max="15655" width="21.140625" style="610" customWidth="1"/>
    <col min="15656" max="15656" width="22.140625" style="610" customWidth="1"/>
    <col min="15657" max="15657" width="8" style="610" customWidth="1"/>
    <col min="15658" max="15658" width="17" style="610" customWidth="1"/>
    <col min="15659" max="15659" width="12.7109375" style="610" customWidth="1"/>
    <col min="15660" max="15660" width="24.5703125" style="610" customWidth="1"/>
    <col min="15661" max="15661" width="29" style="610" customWidth="1"/>
    <col min="15662" max="15662" width="17.7109375" style="610" customWidth="1"/>
    <col min="15663" max="15663" width="36.42578125" style="610" customWidth="1"/>
    <col min="15664" max="15664" width="21.85546875" style="610" customWidth="1"/>
    <col min="15665" max="15665" width="11.7109375" style="610" customWidth="1"/>
    <col min="15666" max="15666" width="26.28515625" style="610" customWidth="1"/>
    <col min="15667" max="15667" width="9" style="610" customWidth="1"/>
    <col min="15668" max="15668" width="6.28515625" style="610" customWidth="1"/>
    <col min="15669" max="15670" width="7.28515625" style="610" customWidth="1"/>
    <col min="15671" max="15671" width="8.42578125" style="610" customWidth="1"/>
    <col min="15672" max="15672" width="9.5703125" style="610" customWidth="1"/>
    <col min="15673" max="15673" width="6.28515625" style="610" customWidth="1"/>
    <col min="15674" max="15674" width="5.85546875" style="610" customWidth="1"/>
    <col min="15675" max="15676" width="4.42578125" style="610" customWidth="1"/>
    <col min="15677" max="15677" width="5" style="610" customWidth="1"/>
    <col min="15678" max="15678" width="5.85546875" style="610" customWidth="1"/>
    <col min="15679" max="15679" width="6.140625" style="610" customWidth="1"/>
    <col min="15680" max="15680" width="6.28515625" style="610" customWidth="1"/>
    <col min="15681" max="15681" width="11.140625" style="610" customWidth="1"/>
    <col min="15682" max="15682" width="14.140625" style="610" customWidth="1"/>
    <col min="15683" max="15683" width="19.85546875" style="610" customWidth="1"/>
    <col min="15684" max="15684" width="17" style="610" customWidth="1"/>
    <col min="15685" max="15685" width="20.85546875" style="610" customWidth="1"/>
    <col min="15686" max="15898" width="11.42578125" style="610"/>
    <col min="15899" max="15899" width="13.140625" style="610" customWidth="1"/>
    <col min="15900" max="15900" width="4" style="610" customWidth="1"/>
    <col min="15901" max="15901" width="12.85546875" style="610" customWidth="1"/>
    <col min="15902" max="15902" width="14.7109375" style="610" customWidth="1"/>
    <col min="15903" max="15903" width="10" style="610" customWidth="1"/>
    <col min="15904" max="15904" width="6.28515625" style="610" customWidth="1"/>
    <col min="15905" max="15905" width="12.28515625" style="610" customWidth="1"/>
    <col min="15906" max="15906" width="8.5703125" style="610" customWidth="1"/>
    <col min="15907" max="15907" width="13.7109375" style="610" customWidth="1"/>
    <col min="15908" max="15908" width="11.5703125" style="610" customWidth="1"/>
    <col min="15909" max="15909" width="34.28515625" style="610" customWidth="1"/>
    <col min="15910" max="15910" width="24.28515625" style="610" customWidth="1"/>
    <col min="15911" max="15911" width="21.140625" style="610" customWidth="1"/>
    <col min="15912" max="15912" width="22.140625" style="610" customWidth="1"/>
    <col min="15913" max="15913" width="8" style="610" customWidth="1"/>
    <col min="15914" max="15914" width="17" style="610" customWidth="1"/>
    <col min="15915" max="15915" width="12.7109375" style="610" customWidth="1"/>
    <col min="15916" max="15916" width="24.5703125" style="610" customWidth="1"/>
    <col min="15917" max="15917" width="29" style="610" customWidth="1"/>
    <col min="15918" max="15918" width="17.7109375" style="610" customWidth="1"/>
    <col min="15919" max="15919" width="36.42578125" style="610" customWidth="1"/>
    <col min="15920" max="15920" width="21.85546875" style="610" customWidth="1"/>
    <col min="15921" max="15921" width="11.7109375" style="610" customWidth="1"/>
    <col min="15922" max="15922" width="26.28515625" style="610" customWidth="1"/>
    <col min="15923" max="15923" width="9" style="610" customWidth="1"/>
    <col min="15924" max="15924" width="6.28515625" style="610" customWidth="1"/>
    <col min="15925" max="15926" width="7.28515625" style="610" customWidth="1"/>
    <col min="15927" max="15927" width="8.42578125" style="610" customWidth="1"/>
    <col min="15928" max="15928" width="9.5703125" style="610" customWidth="1"/>
    <col min="15929" max="15929" width="6.28515625" style="610" customWidth="1"/>
    <col min="15930" max="15930" width="5.85546875" style="610" customWidth="1"/>
    <col min="15931" max="15932" width="4.42578125" style="610" customWidth="1"/>
    <col min="15933" max="15933" width="5" style="610" customWidth="1"/>
    <col min="15934" max="15934" width="5.85546875" style="610" customWidth="1"/>
    <col min="15935" max="15935" width="6.140625" style="610" customWidth="1"/>
    <col min="15936" max="15936" width="6.28515625" style="610" customWidth="1"/>
    <col min="15937" max="15937" width="11.140625" style="610" customWidth="1"/>
    <col min="15938" max="15938" width="14.140625" style="610" customWidth="1"/>
    <col min="15939" max="15939" width="19.85546875" style="610" customWidth="1"/>
    <col min="15940" max="15940" width="17" style="610" customWidth="1"/>
    <col min="15941" max="15941" width="20.85546875" style="610" customWidth="1"/>
    <col min="15942" max="16154" width="11.42578125" style="610"/>
    <col min="16155" max="16155" width="13.140625" style="610" customWidth="1"/>
    <col min="16156" max="16156" width="4" style="610" customWidth="1"/>
    <col min="16157" max="16157" width="12.85546875" style="610" customWidth="1"/>
    <col min="16158" max="16158" width="14.7109375" style="610" customWidth="1"/>
    <col min="16159" max="16159" width="10" style="610" customWidth="1"/>
    <col min="16160" max="16160" width="6.28515625" style="610" customWidth="1"/>
    <col min="16161" max="16161" width="12.28515625" style="610" customWidth="1"/>
    <col min="16162" max="16162" width="8.5703125" style="610" customWidth="1"/>
    <col min="16163" max="16163" width="13.7109375" style="610" customWidth="1"/>
    <col min="16164" max="16164" width="11.5703125" style="610" customWidth="1"/>
    <col min="16165" max="16165" width="34.28515625" style="610" customWidth="1"/>
    <col min="16166" max="16166" width="24.28515625" style="610" customWidth="1"/>
    <col min="16167" max="16167" width="21.140625" style="610" customWidth="1"/>
    <col min="16168" max="16168" width="22.140625" style="610" customWidth="1"/>
    <col min="16169" max="16169" width="8" style="610" customWidth="1"/>
    <col min="16170" max="16170" width="17" style="610" customWidth="1"/>
    <col min="16171" max="16171" width="12.7109375" style="610" customWidth="1"/>
    <col min="16172" max="16172" width="24.5703125" style="610" customWidth="1"/>
    <col min="16173" max="16173" width="29" style="610" customWidth="1"/>
    <col min="16174" max="16174" width="17.7109375" style="610" customWidth="1"/>
    <col min="16175" max="16175" width="36.42578125" style="610" customWidth="1"/>
    <col min="16176" max="16176" width="21.85546875" style="610" customWidth="1"/>
    <col min="16177" max="16177" width="11.7109375" style="610" customWidth="1"/>
    <col min="16178" max="16178" width="26.28515625" style="610" customWidth="1"/>
    <col min="16179" max="16179" width="9" style="610" customWidth="1"/>
    <col min="16180" max="16180" width="6.28515625" style="610" customWidth="1"/>
    <col min="16181" max="16182" width="7.28515625" style="610" customWidth="1"/>
    <col min="16183" max="16183" width="8.42578125" style="610" customWidth="1"/>
    <col min="16184" max="16184" width="9.5703125" style="610" customWidth="1"/>
    <col min="16185" max="16185" width="6.28515625" style="610" customWidth="1"/>
    <col min="16186" max="16186" width="5.85546875" style="610" customWidth="1"/>
    <col min="16187" max="16188" width="4.42578125" style="610" customWidth="1"/>
    <col min="16189" max="16189" width="5" style="610" customWidth="1"/>
    <col min="16190" max="16190" width="5.85546875" style="610" customWidth="1"/>
    <col min="16191" max="16191" width="6.140625" style="610" customWidth="1"/>
    <col min="16192" max="16192" width="6.28515625" style="610" customWidth="1"/>
    <col min="16193" max="16193" width="11.140625" style="610" customWidth="1"/>
    <col min="16194" max="16194" width="14.140625" style="610" customWidth="1"/>
    <col min="16195" max="16195" width="19.85546875" style="610" customWidth="1"/>
    <col min="16196" max="16196" width="17" style="610" customWidth="1"/>
    <col min="16197" max="16197" width="20.85546875" style="610" customWidth="1"/>
    <col min="16198" max="16384" width="11.42578125" style="610"/>
  </cols>
  <sheetData>
    <row r="1" spans="1:89" ht="21" customHeight="1" x14ac:dyDescent="0.25">
      <c r="A1" s="5403" t="s">
        <v>867</v>
      </c>
      <c r="B1" s="5404"/>
      <c r="C1" s="5404"/>
      <c r="D1" s="5404"/>
      <c r="E1" s="5404"/>
      <c r="F1" s="5404"/>
      <c r="G1" s="5404"/>
      <c r="H1" s="5404"/>
      <c r="I1" s="5404"/>
      <c r="J1" s="5404"/>
      <c r="K1" s="5404"/>
      <c r="L1" s="5404"/>
      <c r="M1" s="5404"/>
      <c r="N1" s="5404"/>
      <c r="O1" s="5404"/>
      <c r="P1" s="5404"/>
      <c r="Q1" s="5404"/>
      <c r="R1" s="5404"/>
      <c r="S1" s="5404"/>
      <c r="T1" s="5404"/>
      <c r="U1" s="5404"/>
      <c r="V1" s="5404"/>
      <c r="W1" s="5404"/>
      <c r="X1" s="5404"/>
      <c r="Y1" s="5404"/>
      <c r="Z1" s="5404"/>
      <c r="AA1" s="5404"/>
      <c r="AB1" s="5404"/>
      <c r="AC1" s="5404"/>
      <c r="AD1" s="5404"/>
      <c r="AE1" s="5404"/>
      <c r="AF1" s="5404"/>
      <c r="AG1" s="5404"/>
      <c r="AH1" s="5404"/>
      <c r="AI1" s="5404"/>
      <c r="AJ1" s="5404"/>
      <c r="AK1" s="5404"/>
      <c r="AL1" s="5404"/>
      <c r="AM1" s="5404"/>
      <c r="AN1" s="5404"/>
      <c r="AO1" s="5404"/>
      <c r="AP1" s="5404"/>
      <c r="AQ1" s="5404"/>
      <c r="AR1" s="5404"/>
      <c r="AS1" s="5404"/>
      <c r="AT1" s="5404"/>
      <c r="AU1" s="5404"/>
      <c r="AV1" s="5404"/>
      <c r="AW1" s="5404"/>
      <c r="AX1" s="5404"/>
      <c r="AY1" s="5404"/>
      <c r="AZ1" s="5404"/>
      <c r="BA1" s="5404"/>
      <c r="BB1" s="5404"/>
      <c r="BC1" s="5404"/>
      <c r="BD1" s="5404"/>
      <c r="BE1" s="5404"/>
      <c r="BF1" s="5404"/>
      <c r="BG1" s="5404"/>
      <c r="BH1" s="5404"/>
      <c r="BI1" s="5404"/>
      <c r="BJ1" s="5404"/>
      <c r="BK1" s="5404"/>
      <c r="BL1" s="5404"/>
      <c r="BM1" s="5404"/>
      <c r="BN1" s="5404"/>
      <c r="BO1" s="5404"/>
      <c r="BP1" s="5405"/>
      <c r="BQ1" s="1297" t="s">
        <v>199</v>
      </c>
      <c r="BR1" s="1298" t="s">
        <v>1</v>
      </c>
    </row>
    <row r="2" spans="1:89" ht="21" customHeight="1" x14ac:dyDescent="0.25">
      <c r="A2" s="5403"/>
      <c r="B2" s="5404"/>
      <c r="C2" s="5404"/>
      <c r="D2" s="5404"/>
      <c r="E2" s="5404"/>
      <c r="F2" s="5404"/>
      <c r="G2" s="5404"/>
      <c r="H2" s="5404"/>
      <c r="I2" s="5404"/>
      <c r="J2" s="5404"/>
      <c r="K2" s="5404"/>
      <c r="L2" s="5404"/>
      <c r="M2" s="5404"/>
      <c r="N2" s="5404"/>
      <c r="O2" s="5404"/>
      <c r="P2" s="5404"/>
      <c r="Q2" s="5404"/>
      <c r="R2" s="5404"/>
      <c r="S2" s="5404"/>
      <c r="T2" s="5404"/>
      <c r="U2" s="5404"/>
      <c r="V2" s="5404"/>
      <c r="W2" s="5404"/>
      <c r="X2" s="5404"/>
      <c r="Y2" s="5404"/>
      <c r="Z2" s="5404"/>
      <c r="AA2" s="5404"/>
      <c r="AB2" s="5404"/>
      <c r="AC2" s="5404"/>
      <c r="AD2" s="5404"/>
      <c r="AE2" s="5404"/>
      <c r="AF2" s="5404"/>
      <c r="AG2" s="5404"/>
      <c r="AH2" s="5404"/>
      <c r="AI2" s="5404"/>
      <c r="AJ2" s="5404"/>
      <c r="AK2" s="5404"/>
      <c r="AL2" s="5404"/>
      <c r="AM2" s="5404"/>
      <c r="AN2" s="5404"/>
      <c r="AO2" s="5404"/>
      <c r="AP2" s="5404"/>
      <c r="AQ2" s="5404"/>
      <c r="AR2" s="5404"/>
      <c r="AS2" s="5404"/>
      <c r="AT2" s="5404"/>
      <c r="AU2" s="5404"/>
      <c r="AV2" s="5404"/>
      <c r="AW2" s="5404"/>
      <c r="AX2" s="5404"/>
      <c r="AY2" s="5404"/>
      <c r="AZ2" s="5404"/>
      <c r="BA2" s="5404"/>
      <c r="BB2" s="5404"/>
      <c r="BC2" s="5404"/>
      <c r="BD2" s="5404"/>
      <c r="BE2" s="5404"/>
      <c r="BF2" s="5404"/>
      <c r="BG2" s="5404"/>
      <c r="BH2" s="5404"/>
      <c r="BI2" s="5404"/>
      <c r="BJ2" s="5404"/>
      <c r="BK2" s="5404"/>
      <c r="BL2" s="5404"/>
      <c r="BM2" s="5404"/>
      <c r="BN2" s="5404"/>
      <c r="BO2" s="5404"/>
      <c r="BP2" s="5405"/>
      <c r="BQ2" s="1299" t="s">
        <v>2</v>
      </c>
      <c r="BR2" s="1300">
        <v>6</v>
      </c>
    </row>
    <row r="3" spans="1:89" ht="21" customHeight="1" x14ac:dyDescent="0.25">
      <c r="A3" s="5403"/>
      <c r="B3" s="5404"/>
      <c r="C3" s="5404"/>
      <c r="D3" s="5404"/>
      <c r="E3" s="5404"/>
      <c r="F3" s="5404"/>
      <c r="G3" s="5404"/>
      <c r="H3" s="5404"/>
      <c r="I3" s="5404"/>
      <c r="J3" s="5404"/>
      <c r="K3" s="5404"/>
      <c r="L3" s="5404"/>
      <c r="M3" s="5404"/>
      <c r="N3" s="5404"/>
      <c r="O3" s="5404"/>
      <c r="P3" s="5404"/>
      <c r="Q3" s="5404"/>
      <c r="R3" s="5404"/>
      <c r="S3" s="5404"/>
      <c r="T3" s="5404"/>
      <c r="U3" s="5404"/>
      <c r="V3" s="5404"/>
      <c r="W3" s="5404"/>
      <c r="X3" s="5404"/>
      <c r="Y3" s="5404"/>
      <c r="Z3" s="5404"/>
      <c r="AA3" s="5404"/>
      <c r="AB3" s="5404"/>
      <c r="AC3" s="5404"/>
      <c r="AD3" s="5404"/>
      <c r="AE3" s="5404"/>
      <c r="AF3" s="5404"/>
      <c r="AG3" s="5404"/>
      <c r="AH3" s="5404"/>
      <c r="AI3" s="5404"/>
      <c r="AJ3" s="5404"/>
      <c r="AK3" s="5404"/>
      <c r="AL3" s="5404"/>
      <c r="AM3" s="5404"/>
      <c r="AN3" s="5404"/>
      <c r="AO3" s="5404"/>
      <c r="AP3" s="5404"/>
      <c r="AQ3" s="5404"/>
      <c r="AR3" s="5404"/>
      <c r="AS3" s="5404"/>
      <c r="AT3" s="5404"/>
      <c r="AU3" s="5404"/>
      <c r="AV3" s="5404"/>
      <c r="AW3" s="5404"/>
      <c r="AX3" s="5404"/>
      <c r="AY3" s="5404"/>
      <c r="AZ3" s="5404"/>
      <c r="BA3" s="5404"/>
      <c r="BB3" s="5404"/>
      <c r="BC3" s="5404"/>
      <c r="BD3" s="5404"/>
      <c r="BE3" s="5404"/>
      <c r="BF3" s="5404"/>
      <c r="BG3" s="5404"/>
      <c r="BH3" s="5404"/>
      <c r="BI3" s="5404"/>
      <c r="BJ3" s="5404"/>
      <c r="BK3" s="5404"/>
      <c r="BL3" s="5404"/>
      <c r="BM3" s="5404"/>
      <c r="BN3" s="5404"/>
      <c r="BO3" s="5404"/>
      <c r="BP3" s="5405"/>
      <c r="BQ3" s="1301" t="s">
        <v>3</v>
      </c>
      <c r="BR3" s="1302" t="s">
        <v>4</v>
      </c>
    </row>
    <row r="4" spans="1:89" s="611" customFormat="1" ht="21" customHeight="1" x14ac:dyDescent="0.2">
      <c r="A4" s="5406"/>
      <c r="B4" s="5407"/>
      <c r="C4" s="5407"/>
      <c r="D4" s="5407"/>
      <c r="E4" s="5407"/>
      <c r="F4" s="5407"/>
      <c r="G4" s="5407"/>
      <c r="H4" s="5407"/>
      <c r="I4" s="5407"/>
      <c r="J4" s="5407"/>
      <c r="K4" s="5407"/>
      <c r="L4" s="5407"/>
      <c r="M4" s="5407"/>
      <c r="N4" s="5407"/>
      <c r="O4" s="5407"/>
      <c r="P4" s="5407"/>
      <c r="Q4" s="5407"/>
      <c r="R4" s="5407"/>
      <c r="S4" s="5407"/>
      <c r="T4" s="5407"/>
      <c r="U4" s="5407"/>
      <c r="V4" s="5407"/>
      <c r="W4" s="5407"/>
      <c r="X4" s="5407"/>
      <c r="Y4" s="5407"/>
      <c r="Z4" s="5407"/>
      <c r="AA4" s="5407"/>
      <c r="AB4" s="5407"/>
      <c r="AC4" s="5407"/>
      <c r="AD4" s="5407"/>
      <c r="AE4" s="5407"/>
      <c r="AF4" s="5407"/>
      <c r="AG4" s="5407"/>
      <c r="AH4" s="5407"/>
      <c r="AI4" s="5407"/>
      <c r="AJ4" s="5407"/>
      <c r="AK4" s="5407"/>
      <c r="AL4" s="5407"/>
      <c r="AM4" s="5407"/>
      <c r="AN4" s="5407"/>
      <c r="AO4" s="5407"/>
      <c r="AP4" s="5407"/>
      <c r="AQ4" s="5407"/>
      <c r="AR4" s="5407"/>
      <c r="AS4" s="5407"/>
      <c r="AT4" s="5407"/>
      <c r="AU4" s="5407"/>
      <c r="AV4" s="5407"/>
      <c r="AW4" s="5407"/>
      <c r="AX4" s="5407"/>
      <c r="AY4" s="5407"/>
      <c r="AZ4" s="5407"/>
      <c r="BA4" s="5407"/>
      <c r="BB4" s="5407"/>
      <c r="BC4" s="5407"/>
      <c r="BD4" s="5407"/>
      <c r="BE4" s="5407"/>
      <c r="BF4" s="5407"/>
      <c r="BG4" s="5407"/>
      <c r="BH4" s="5407"/>
      <c r="BI4" s="5407"/>
      <c r="BJ4" s="5407"/>
      <c r="BK4" s="5407"/>
      <c r="BL4" s="5407"/>
      <c r="BM4" s="5407"/>
      <c r="BN4" s="5407"/>
      <c r="BO4" s="5407"/>
      <c r="BP4" s="5408"/>
      <c r="BQ4" s="1303" t="s">
        <v>5</v>
      </c>
      <c r="BR4" s="1304" t="s">
        <v>6</v>
      </c>
    </row>
    <row r="5" spans="1:89" ht="21" customHeight="1" x14ac:dyDescent="0.2">
      <c r="A5" s="3873" t="s">
        <v>7</v>
      </c>
      <c r="B5" s="3874"/>
      <c r="C5" s="3874"/>
      <c r="D5" s="3874"/>
      <c r="E5" s="3874"/>
      <c r="F5" s="3874"/>
      <c r="G5" s="3874"/>
      <c r="H5" s="3874"/>
      <c r="I5" s="3874"/>
      <c r="J5" s="3874"/>
      <c r="K5" s="3874"/>
      <c r="L5" s="3874"/>
      <c r="M5" s="3874"/>
      <c r="N5" s="5062"/>
      <c r="O5" s="3878" t="s">
        <v>8</v>
      </c>
      <c r="P5" s="3880"/>
      <c r="Q5" s="3880"/>
      <c r="R5" s="3880"/>
      <c r="S5" s="3880"/>
      <c r="T5" s="3880"/>
      <c r="U5" s="3880"/>
      <c r="V5" s="3880"/>
      <c r="W5" s="3880"/>
      <c r="X5" s="3880"/>
      <c r="Y5" s="3880"/>
      <c r="Z5" s="3880"/>
      <c r="AA5" s="3880"/>
      <c r="AB5" s="3880"/>
      <c r="AC5" s="3880"/>
      <c r="AD5" s="3880"/>
      <c r="AE5" s="3880"/>
      <c r="AF5" s="3880"/>
      <c r="AG5" s="3880"/>
      <c r="AH5" s="3880"/>
      <c r="AI5" s="3880"/>
      <c r="AJ5" s="3880"/>
      <c r="AK5" s="3880"/>
      <c r="AL5" s="3880"/>
      <c r="AM5" s="3880"/>
      <c r="AN5" s="3880"/>
      <c r="AO5" s="3880"/>
      <c r="AP5" s="3880"/>
      <c r="AQ5" s="3880"/>
      <c r="AR5" s="3880"/>
      <c r="AS5" s="3880"/>
      <c r="AT5" s="3880"/>
      <c r="AU5" s="3880"/>
      <c r="AV5" s="3880"/>
      <c r="AW5" s="3880"/>
      <c r="AX5" s="3880"/>
      <c r="AY5" s="3880"/>
      <c r="AZ5" s="3880"/>
      <c r="BA5" s="3880"/>
      <c r="BB5" s="3880"/>
      <c r="BC5" s="3880"/>
      <c r="BD5" s="3880"/>
      <c r="BE5" s="3880"/>
      <c r="BF5" s="3880"/>
      <c r="BG5" s="3880"/>
      <c r="BH5" s="3880"/>
      <c r="BI5" s="3880"/>
      <c r="BJ5" s="3880"/>
      <c r="BK5" s="3880"/>
      <c r="BL5" s="3880"/>
      <c r="BM5" s="3880"/>
      <c r="BN5" s="3880"/>
      <c r="BO5" s="3880"/>
      <c r="BP5" s="3880"/>
      <c r="BQ5" s="3880"/>
      <c r="BR5" s="5065"/>
    </row>
    <row r="6" spans="1:89" ht="21" customHeight="1" thickBot="1" x14ac:dyDescent="0.25">
      <c r="A6" s="3875"/>
      <c r="B6" s="3876"/>
      <c r="C6" s="3876"/>
      <c r="D6" s="3876"/>
      <c r="E6" s="3876"/>
      <c r="F6" s="3876"/>
      <c r="G6" s="3876"/>
      <c r="H6" s="3876"/>
      <c r="I6" s="3876"/>
      <c r="J6" s="3876"/>
      <c r="K6" s="3876"/>
      <c r="L6" s="3876"/>
      <c r="M6" s="3876"/>
      <c r="N6" s="5063"/>
      <c r="O6" s="3878"/>
      <c r="P6" s="3880"/>
      <c r="Q6" s="3880"/>
      <c r="R6" s="3880"/>
      <c r="S6" s="3880"/>
      <c r="T6" s="3880"/>
      <c r="U6" s="3880"/>
      <c r="V6" s="3880"/>
      <c r="W6" s="3880"/>
      <c r="X6" s="3880"/>
      <c r="Y6" s="3880"/>
      <c r="Z6" s="3880"/>
      <c r="AA6" s="3881"/>
      <c r="AB6" s="1084"/>
      <c r="AC6" s="1084"/>
      <c r="AD6" s="1084"/>
      <c r="AE6" s="1084"/>
      <c r="AF6" s="1084"/>
      <c r="AG6" s="1084"/>
      <c r="AH6" s="1084"/>
      <c r="AI6" s="1084"/>
      <c r="AJ6" s="1084"/>
      <c r="AK6" s="1084"/>
      <c r="AL6" s="1084"/>
      <c r="AM6" s="1084"/>
      <c r="AN6" s="1084"/>
      <c r="AO6" s="1084"/>
      <c r="AP6" s="1084"/>
      <c r="AQ6" s="1084"/>
      <c r="AR6" s="1084"/>
      <c r="AS6" s="1084"/>
      <c r="AT6" s="1084"/>
      <c r="AU6" s="1084"/>
      <c r="AV6" s="1084"/>
      <c r="AW6" s="1084"/>
      <c r="AX6" s="1084"/>
      <c r="AY6" s="1084"/>
      <c r="AZ6" s="1084"/>
      <c r="BA6" s="1084"/>
      <c r="BB6" s="1084"/>
      <c r="BC6" s="1084"/>
      <c r="BD6" s="1084"/>
      <c r="BE6" s="1084"/>
      <c r="BF6" s="1084"/>
      <c r="BG6" s="1084"/>
      <c r="BH6" s="1084"/>
      <c r="BI6" s="1305"/>
      <c r="BJ6" s="1305"/>
      <c r="BK6" s="1306"/>
      <c r="BL6" s="1084"/>
      <c r="BM6" s="1084"/>
      <c r="BN6" s="3878"/>
      <c r="BO6" s="3880"/>
      <c r="BP6" s="3880"/>
      <c r="BQ6" s="3880"/>
      <c r="BR6" s="5065"/>
    </row>
    <row r="7" spans="1:89" ht="37.5" customHeight="1" x14ac:dyDescent="0.2">
      <c r="A7" s="5066" t="s">
        <v>0</v>
      </c>
      <c r="B7" s="3493" t="s">
        <v>9</v>
      </c>
      <c r="C7" s="3493"/>
      <c r="D7" s="3493" t="s">
        <v>0</v>
      </c>
      <c r="E7" s="3493" t="s">
        <v>10</v>
      </c>
      <c r="F7" s="3493"/>
      <c r="G7" s="3493" t="s">
        <v>0</v>
      </c>
      <c r="H7" s="3493" t="s">
        <v>11</v>
      </c>
      <c r="I7" s="3493"/>
      <c r="J7" s="3493" t="s">
        <v>0</v>
      </c>
      <c r="K7" s="3897" t="s">
        <v>12</v>
      </c>
      <c r="L7" s="3897" t="s">
        <v>13</v>
      </c>
      <c r="M7" s="3898" t="s">
        <v>14</v>
      </c>
      <c r="N7" s="3899"/>
      <c r="O7" s="3493" t="s">
        <v>15</v>
      </c>
      <c r="P7" s="4159" t="s">
        <v>16</v>
      </c>
      <c r="Q7" s="3897" t="s">
        <v>8</v>
      </c>
      <c r="R7" s="3493" t="s">
        <v>17</v>
      </c>
      <c r="S7" s="3493" t="s">
        <v>18</v>
      </c>
      <c r="T7" s="3897" t="s">
        <v>19</v>
      </c>
      <c r="U7" s="3897" t="s">
        <v>20</v>
      </c>
      <c r="V7" s="3897" t="s">
        <v>21</v>
      </c>
      <c r="W7" s="5421" t="s">
        <v>18</v>
      </c>
      <c r="X7" s="5422"/>
      <c r="Y7" s="5423"/>
      <c r="Z7" s="4159" t="s">
        <v>0</v>
      </c>
      <c r="AA7" s="3493" t="s">
        <v>22</v>
      </c>
      <c r="AB7" s="3032" t="s">
        <v>23</v>
      </c>
      <c r="AC7" s="3033"/>
      <c r="AD7" s="3033"/>
      <c r="AE7" s="3034"/>
      <c r="AF7" s="3035" t="s">
        <v>24</v>
      </c>
      <c r="AG7" s="3036"/>
      <c r="AH7" s="3036"/>
      <c r="AI7" s="3036"/>
      <c r="AJ7" s="3036"/>
      <c r="AK7" s="3036"/>
      <c r="AL7" s="3036"/>
      <c r="AM7" s="3037"/>
      <c r="AN7" s="3038" t="s">
        <v>25</v>
      </c>
      <c r="AO7" s="3039"/>
      <c r="AP7" s="3039"/>
      <c r="AQ7" s="3039"/>
      <c r="AR7" s="3039"/>
      <c r="AS7" s="3039"/>
      <c r="AT7" s="3039"/>
      <c r="AU7" s="3039"/>
      <c r="AV7" s="3039"/>
      <c r="AW7" s="3039"/>
      <c r="AX7" s="3039"/>
      <c r="AY7" s="3040"/>
      <c r="AZ7" s="3035" t="s">
        <v>26</v>
      </c>
      <c r="BA7" s="3036"/>
      <c r="BB7" s="3036"/>
      <c r="BC7" s="3036"/>
      <c r="BD7" s="3036"/>
      <c r="BE7" s="3037"/>
      <c r="BF7" s="4013" t="s">
        <v>27</v>
      </c>
      <c r="BG7" s="4014"/>
      <c r="BH7" s="5412" t="s">
        <v>28</v>
      </c>
      <c r="BI7" s="5413"/>
      <c r="BJ7" s="5413"/>
      <c r="BK7" s="5413"/>
      <c r="BL7" s="5413"/>
      <c r="BM7" s="5414"/>
      <c r="BN7" s="5068" t="s">
        <v>29</v>
      </c>
      <c r="BO7" s="5069"/>
      <c r="BP7" s="5068" t="s">
        <v>30</v>
      </c>
      <c r="BQ7" s="5069"/>
      <c r="BR7" s="3852" t="s">
        <v>31</v>
      </c>
    </row>
    <row r="8" spans="1:89" ht="126" customHeight="1" x14ac:dyDescent="0.2">
      <c r="A8" s="5066"/>
      <c r="B8" s="3493"/>
      <c r="C8" s="3493"/>
      <c r="D8" s="3493"/>
      <c r="E8" s="3493"/>
      <c r="F8" s="3493"/>
      <c r="G8" s="3493"/>
      <c r="H8" s="3493"/>
      <c r="I8" s="3493"/>
      <c r="J8" s="3493"/>
      <c r="K8" s="3897"/>
      <c r="L8" s="3897"/>
      <c r="M8" s="5059"/>
      <c r="N8" s="5060"/>
      <c r="O8" s="3493"/>
      <c r="P8" s="4160"/>
      <c r="Q8" s="3897"/>
      <c r="R8" s="3493"/>
      <c r="S8" s="3493"/>
      <c r="T8" s="3897"/>
      <c r="U8" s="3897"/>
      <c r="V8" s="3897"/>
      <c r="W8" s="5424"/>
      <c r="X8" s="5425"/>
      <c r="Y8" s="5426"/>
      <c r="Z8" s="4160"/>
      <c r="AA8" s="3493"/>
      <c r="AB8" s="4152" t="s">
        <v>37</v>
      </c>
      <c r="AC8" s="4152"/>
      <c r="AD8" s="5409" t="s">
        <v>38</v>
      </c>
      <c r="AE8" s="5409"/>
      <c r="AF8" s="4150" t="s">
        <v>39</v>
      </c>
      <c r="AG8" s="5410"/>
      <c r="AH8" s="4152" t="s">
        <v>40</v>
      </c>
      <c r="AI8" s="5411"/>
      <c r="AJ8" s="4150" t="s">
        <v>201</v>
      </c>
      <c r="AK8" s="4151"/>
      <c r="AL8" s="4152" t="s">
        <v>42</v>
      </c>
      <c r="AM8" s="4152"/>
      <c r="AN8" s="4152" t="s">
        <v>43</v>
      </c>
      <c r="AO8" s="4152"/>
      <c r="AP8" s="4152" t="s">
        <v>44</v>
      </c>
      <c r="AQ8" s="4152"/>
      <c r="AR8" s="4152" t="s">
        <v>45</v>
      </c>
      <c r="AS8" s="4152"/>
      <c r="AT8" s="4152" t="s">
        <v>46</v>
      </c>
      <c r="AU8" s="4152"/>
      <c r="AV8" s="4152" t="s">
        <v>47</v>
      </c>
      <c r="AW8" s="4152"/>
      <c r="AX8" s="4152" t="s">
        <v>48</v>
      </c>
      <c r="AY8" s="4152"/>
      <c r="AZ8" s="4152" t="s">
        <v>49</v>
      </c>
      <c r="BA8" s="4152"/>
      <c r="BB8" s="4152" t="s">
        <v>50</v>
      </c>
      <c r="BC8" s="4152"/>
      <c r="BD8" s="4152" t="s">
        <v>51</v>
      </c>
      <c r="BE8" s="4152"/>
      <c r="BF8" s="4015"/>
      <c r="BG8" s="4016"/>
      <c r="BH8" s="3491" t="s">
        <v>112</v>
      </c>
      <c r="BI8" s="5419" t="s">
        <v>53</v>
      </c>
      <c r="BJ8" s="5419" t="s">
        <v>54</v>
      </c>
      <c r="BK8" s="5420" t="s">
        <v>55</v>
      </c>
      <c r="BL8" s="3491" t="s">
        <v>56</v>
      </c>
      <c r="BM8" s="3495" t="s">
        <v>57</v>
      </c>
      <c r="BN8" s="5070"/>
      <c r="BO8" s="5071"/>
      <c r="BP8" s="5070"/>
      <c r="BQ8" s="5071"/>
      <c r="BR8" s="3852"/>
    </row>
    <row r="9" spans="1:89" ht="36" customHeight="1" x14ac:dyDescent="0.2">
      <c r="A9" s="5066"/>
      <c r="B9" s="3493"/>
      <c r="C9" s="3493"/>
      <c r="D9" s="3493"/>
      <c r="E9" s="3493"/>
      <c r="F9" s="3493"/>
      <c r="G9" s="3493"/>
      <c r="H9" s="3493"/>
      <c r="I9" s="3493"/>
      <c r="J9" s="3493"/>
      <c r="K9" s="3897"/>
      <c r="L9" s="3897"/>
      <c r="M9" s="1080" t="s">
        <v>32</v>
      </c>
      <c r="N9" s="1080" t="s">
        <v>33</v>
      </c>
      <c r="O9" s="3493"/>
      <c r="P9" s="4160"/>
      <c r="Q9" s="3897"/>
      <c r="R9" s="3493"/>
      <c r="S9" s="3493"/>
      <c r="T9" s="3897"/>
      <c r="U9" s="3897"/>
      <c r="V9" s="3897"/>
      <c r="W9" s="1307" t="s">
        <v>34</v>
      </c>
      <c r="X9" s="1307" t="s">
        <v>35</v>
      </c>
      <c r="Y9" s="1307" t="s">
        <v>36</v>
      </c>
      <c r="Z9" s="5061"/>
      <c r="AA9" s="3493"/>
      <c r="AB9" s="1080" t="s">
        <v>32</v>
      </c>
      <c r="AC9" s="1080" t="s">
        <v>33</v>
      </c>
      <c r="AD9" s="1080" t="s">
        <v>32</v>
      </c>
      <c r="AE9" s="1080" t="s">
        <v>33</v>
      </c>
      <c r="AF9" s="1080" t="s">
        <v>32</v>
      </c>
      <c r="AG9" s="1080" t="s">
        <v>33</v>
      </c>
      <c r="AH9" s="1080" t="s">
        <v>32</v>
      </c>
      <c r="AI9" s="1080" t="s">
        <v>33</v>
      </c>
      <c r="AJ9" s="1080" t="s">
        <v>32</v>
      </c>
      <c r="AK9" s="1080" t="s">
        <v>33</v>
      </c>
      <c r="AL9" s="1080" t="s">
        <v>32</v>
      </c>
      <c r="AM9" s="1080" t="s">
        <v>33</v>
      </c>
      <c r="AN9" s="1080" t="s">
        <v>32</v>
      </c>
      <c r="AO9" s="1080" t="s">
        <v>33</v>
      </c>
      <c r="AP9" s="1080" t="s">
        <v>32</v>
      </c>
      <c r="AQ9" s="1080" t="s">
        <v>33</v>
      </c>
      <c r="AR9" s="1080" t="s">
        <v>32</v>
      </c>
      <c r="AS9" s="1080" t="s">
        <v>33</v>
      </c>
      <c r="AT9" s="1080" t="s">
        <v>32</v>
      </c>
      <c r="AU9" s="1080" t="s">
        <v>33</v>
      </c>
      <c r="AV9" s="1080" t="s">
        <v>32</v>
      </c>
      <c r="AW9" s="1080" t="s">
        <v>33</v>
      </c>
      <c r="AX9" s="1080" t="s">
        <v>32</v>
      </c>
      <c r="AY9" s="1080" t="s">
        <v>33</v>
      </c>
      <c r="AZ9" s="1080" t="s">
        <v>32</v>
      </c>
      <c r="BA9" s="1080" t="s">
        <v>33</v>
      </c>
      <c r="BB9" s="1080" t="s">
        <v>32</v>
      </c>
      <c r="BC9" s="1080" t="s">
        <v>33</v>
      </c>
      <c r="BD9" s="1080" t="s">
        <v>32</v>
      </c>
      <c r="BE9" s="1080" t="s">
        <v>33</v>
      </c>
      <c r="BF9" s="1080" t="s">
        <v>32</v>
      </c>
      <c r="BG9" s="1080" t="s">
        <v>33</v>
      </c>
      <c r="BH9" s="3491"/>
      <c r="BI9" s="5419"/>
      <c r="BJ9" s="5419"/>
      <c r="BK9" s="5420"/>
      <c r="BL9" s="3491"/>
      <c r="BM9" s="3496"/>
      <c r="BN9" s="1308" t="s">
        <v>32</v>
      </c>
      <c r="BO9" s="1308" t="s">
        <v>33</v>
      </c>
      <c r="BP9" s="1308" t="s">
        <v>32</v>
      </c>
      <c r="BQ9" s="1308" t="s">
        <v>33</v>
      </c>
      <c r="BR9" s="3852"/>
    </row>
    <row r="10" spans="1:89" ht="20.25" customHeight="1" x14ac:dyDescent="0.2">
      <c r="A10" s="1309">
        <v>3</v>
      </c>
      <c r="B10" s="1310"/>
      <c r="C10" s="1310" t="s">
        <v>836</v>
      </c>
      <c r="D10" s="1310"/>
      <c r="E10" s="1310"/>
      <c r="F10" s="1310"/>
      <c r="G10" s="1310"/>
      <c r="H10" s="1310"/>
      <c r="I10" s="1310"/>
      <c r="J10" s="1310"/>
      <c r="K10" s="1311"/>
      <c r="L10" s="1311"/>
      <c r="M10" s="1310"/>
      <c r="N10" s="1310"/>
      <c r="O10" s="1312"/>
      <c r="P10" s="1312"/>
      <c r="Q10" s="1311"/>
      <c r="R10" s="1313"/>
      <c r="S10" s="1314"/>
      <c r="T10" s="1311"/>
      <c r="U10" s="1311"/>
      <c r="V10" s="1311"/>
      <c r="W10" s="1315"/>
      <c r="X10" s="1315"/>
      <c r="Y10" s="1315"/>
      <c r="Z10" s="1316"/>
      <c r="AA10" s="1312"/>
      <c r="AB10" s="1310"/>
      <c r="AC10" s="1310"/>
      <c r="AD10" s="1310"/>
      <c r="AE10" s="1310"/>
      <c r="AF10" s="1310"/>
      <c r="AG10" s="1310"/>
      <c r="AH10" s="1310"/>
      <c r="AI10" s="1310"/>
      <c r="AJ10" s="1310"/>
      <c r="AK10" s="1310"/>
      <c r="AL10" s="1310"/>
      <c r="AM10" s="1310"/>
      <c r="AN10" s="1310"/>
      <c r="AO10" s="1310"/>
      <c r="AP10" s="1310"/>
      <c r="AQ10" s="1310"/>
      <c r="AR10" s="1310"/>
      <c r="AS10" s="1310"/>
      <c r="AT10" s="1310"/>
      <c r="AU10" s="1310"/>
      <c r="AV10" s="1310"/>
      <c r="AW10" s="1310"/>
      <c r="AX10" s="1310"/>
      <c r="AY10" s="1310"/>
      <c r="AZ10" s="1310"/>
      <c r="BA10" s="1310"/>
      <c r="BB10" s="1310"/>
      <c r="BC10" s="1310"/>
      <c r="BD10" s="1310"/>
      <c r="BE10" s="1310"/>
      <c r="BF10" s="1310"/>
      <c r="BG10" s="1317"/>
      <c r="BH10" s="1317"/>
      <c r="BI10" s="1318"/>
      <c r="BJ10" s="1318"/>
      <c r="BK10" s="1319"/>
      <c r="BL10" s="1317"/>
      <c r="BM10" s="1320"/>
      <c r="BN10" s="1320"/>
      <c r="BO10" s="1320"/>
      <c r="BP10" s="1320"/>
      <c r="BQ10" s="1321"/>
      <c r="BR10" s="1321"/>
      <c r="BS10" s="612"/>
      <c r="BT10" s="612"/>
      <c r="BU10" s="612"/>
      <c r="BV10" s="612"/>
      <c r="BW10" s="612"/>
      <c r="BX10" s="612"/>
      <c r="BY10" s="612"/>
      <c r="BZ10" s="612"/>
      <c r="CA10" s="612"/>
      <c r="CB10" s="612"/>
      <c r="CC10" s="612"/>
      <c r="CD10" s="612"/>
      <c r="CE10" s="612"/>
      <c r="CF10" s="612"/>
      <c r="CG10" s="612"/>
      <c r="CH10" s="612"/>
      <c r="CI10" s="612"/>
      <c r="CJ10" s="612"/>
      <c r="CK10" s="612"/>
    </row>
    <row r="11" spans="1:89" s="612" customFormat="1" ht="20.25" customHeight="1" x14ac:dyDescent="0.2">
      <c r="A11" s="1322"/>
      <c r="B11" s="1323"/>
      <c r="C11" s="1324"/>
      <c r="D11" s="1325">
        <v>20</v>
      </c>
      <c r="E11" s="1326" t="s">
        <v>868</v>
      </c>
      <c r="F11" s="1326"/>
      <c r="G11" s="1326"/>
      <c r="H11" s="1326"/>
      <c r="I11" s="1326"/>
      <c r="J11" s="1326"/>
      <c r="K11" s="1327"/>
      <c r="L11" s="1327"/>
      <c r="M11" s="1326"/>
      <c r="N11" s="1326"/>
      <c r="O11" s="1328"/>
      <c r="P11" s="1328"/>
      <c r="Q11" s="1327"/>
      <c r="R11" s="1329"/>
      <c r="S11" s="1330"/>
      <c r="T11" s="1327"/>
      <c r="U11" s="1327"/>
      <c r="V11" s="1327"/>
      <c r="W11" s="1331"/>
      <c r="X11" s="1331"/>
      <c r="Y11" s="1331"/>
      <c r="Z11" s="1332"/>
      <c r="AA11" s="1328"/>
      <c r="AB11" s="1326"/>
      <c r="AC11" s="1326"/>
      <c r="AD11" s="1326"/>
      <c r="AE11" s="1326"/>
      <c r="AF11" s="1326"/>
      <c r="AG11" s="1326"/>
      <c r="AH11" s="1326"/>
      <c r="AI11" s="1326"/>
      <c r="AJ11" s="1326"/>
      <c r="AK11" s="1326"/>
      <c r="AL11" s="1326"/>
      <c r="AM11" s="1326"/>
      <c r="AN11" s="1326"/>
      <c r="AO11" s="1326"/>
      <c r="AP11" s="1326"/>
      <c r="AQ11" s="1326"/>
      <c r="AR11" s="1326"/>
      <c r="AS11" s="1326"/>
      <c r="AT11" s="1326"/>
      <c r="AU11" s="1326"/>
      <c r="AV11" s="1326"/>
      <c r="AW11" s="1326"/>
      <c r="AX11" s="1326"/>
      <c r="AY11" s="1326"/>
      <c r="AZ11" s="1326"/>
      <c r="BA11" s="1326"/>
      <c r="BB11" s="1326"/>
      <c r="BC11" s="1326"/>
      <c r="BD11" s="1326"/>
      <c r="BE11" s="1326"/>
      <c r="BF11" s="1326"/>
      <c r="BG11" s="1326"/>
      <c r="BH11" s="1333"/>
      <c r="BI11" s="1334"/>
      <c r="BJ11" s="1334"/>
      <c r="BK11" s="1335"/>
      <c r="BL11" s="1336"/>
      <c r="BM11" s="1333"/>
      <c r="BN11" s="1337"/>
      <c r="BO11" s="1337"/>
      <c r="BP11" s="1337"/>
      <c r="BQ11" s="1337"/>
      <c r="BR11" s="1338"/>
    </row>
    <row r="12" spans="1:89" s="612" customFormat="1" ht="20.25" customHeight="1" x14ac:dyDescent="0.2">
      <c r="A12" s="1004"/>
      <c r="B12" s="1005"/>
      <c r="C12" s="1006"/>
      <c r="D12" s="1082"/>
      <c r="E12" s="1081"/>
      <c r="F12" s="1081"/>
      <c r="G12" s="1339">
        <v>68</v>
      </c>
      <c r="H12" s="1340" t="s">
        <v>869</v>
      </c>
      <c r="I12" s="1340"/>
      <c r="J12" s="1340"/>
      <c r="K12" s="1341"/>
      <c r="L12" s="1341"/>
      <c r="M12" s="1340"/>
      <c r="N12" s="1340"/>
      <c r="O12" s="1342"/>
      <c r="P12" s="1343"/>
      <c r="Q12" s="1341"/>
      <c r="R12" s="1344"/>
      <c r="S12" s="1345"/>
      <c r="T12" s="1341"/>
      <c r="U12" s="1341"/>
      <c r="V12" s="1341"/>
      <c r="W12" s="1346"/>
      <c r="X12" s="1346"/>
      <c r="Y12" s="1346"/>
      <c r="Z12" s="1347"/>
      <c r="AA12" s="1343"/>
      <c r="AB12" s="1340"/>
      <c r="AC12" s="1340"/>
      <c r="AD12" s="1340"/>
      <c r="AE12" s="1340"/>
      <c r="AF12" s="1340"/>
      <c r="AG12" s="1340"/>
      <c r="AH12" s="1340"/>
      <c r="AI12" s="1340"/>
      <c r="AJ12" s="1340"/>
      <c r="AK12" s="1340"/>
      <c r="AL12" s="1340"/>
      <c r="AM12" s="1340"/>
      <c r="AN12" s="1340"/>
      <c r="AO12" s="1340"/>
      <c r="AP12" s="1340"/>
      <c r="AQ12" s="1340"/>
      <c r="AR12" s="1340"/>
      <c r="AS12" s="1340"/>
      <c r="AT12" s="1340"/>
      <c r="AU12" s="1340"/>
      <c r="AV12" s="1340"/>
      <c r="AW12" s="1340"/>
      <c r="AX12" s="1340"/>
      <c r="AY12" s="1340"/>
      <c r="AZ12" s="1340"/>
      <c r="BA12" s="1340"/>
      <c r="BB12" s="1340"/>
      <c r="BC12" s="1340"/>
      <c r="BD12" s="1340"/>
      <c r="BE12" s="1340"/>
      <c r="BF12" s="1340"/>
      <c r="BG12" s="1340"/>
      <c r="BH12" s="1348"/>
      <c r="BI12" s="1349"/>
      <c r="BJ12" s="1349"/>
      <c r="BK12" s="1350"/>
      <c r="BL12" s="1351"/>
      <c r="BM12" s="1348"/>
      <c r="BN12" s="1352"/>
      <c r="BO12" s="1352"/>
      <c r="BP12" s="1352"/>
      <c r="BQ12" s="1352"/>
      <c r="BR12" s="1353"/>
    </row>
    <row r="13" spans="1:89" s="612" customFormat="1" ht="33" customHeight="1" x14ac:dyDescent="0.2">
      <c r="A13" s="1004"/>
      <c r="B13" s="1005"/>
      <c r="C13" s="1006"/>
      <c r="D13" s="1073"/>
      <c r="E13" s="1074"/>
      <c r="F13" s="1074"/>
      <c r="G13" s="1072"/>
      <c r="H13" s="1074"/>
      <c r="I13" s="1074"/>
      <c r="J13" s="3504">
        <v>202</v>
      </c>
      <c r="K13" s="3505" t="s">
        <v>870</v>
      </c>
      <c r="L13" s="3505" t="s">
        <v>871</v>
      </c>
      <c r="M13" s="3504">
        <v>23</v>
      </c>
      <c r="N13" s="5418">
        <v>23</v>
      </c>
      <c r="O13" s="1069" t="s">
        <v>872</v>
      </c>
      <c r="P13" s="3558" t="s">
        <v>873</v>
      </c>
      <c r="Q13" s="3564" t="s">
        <v>874</v>
      </c>
      <c r="R13" s="1079">
        <f>+W13/$S$13</f>
        <v>9.1393201330798313E-2</v>
      </c>
      <c r="S13" s="3513">
        <f>SUM(W13:W19)</f>
        <v>2180137888.8000002</v>
      </c>
      <c r="T13" s="3564" t="s">
        <v>875</v>
      </c>
      <c r="U13" s="5415" t="s">
        <v>876</v>
      </c>
      <c r="V13" s="3564" t="s">
        <v>877</v>
      </c>
      <c r="W13" s="1395">
        <v>199249781</v>
      </c>
      <c r="X13" s="681">
        <v>128730800</v>
      </c>
      <c r="Y13" s="1396">
        <v>112900410</v>
      </c>
      <c r="Z13" s="1354">
        <v>12</v>
      </c>
      <c r="AA13" s="1355" t="s">
        <v>878</v>
      </c>
      <c r="AB13" s="3506">
        <v>300</v>
      </c>
      <c r="AC13" s="3506">
        <v>405</v>
      </c>
      <c r="AD13" s="3506">
        <v>710</v>
      </c>
      <c r="AE13" s="3506">
        <v>429</v>
      </c>
      <c r="AF13" s="3506">
        <v>317</v>
      </c>
      <c r="AG13" s="3506">
        <v>309</v>
      </c>
      <c r="AH13" s="3506">
        <v>633</v>
      </c>
      <c r="AI13" s="3506">
        <v>247</v>
      </c>
      <c r="AJ13" s="3506"/>
      <c r="AK13" s="3506">
        <v>136</v>
      </c>
      <c r="AL13" s="3506"/>
      <c r="AM13" s="3506">
        <v>142</v>
      </c>
      <c r="AN13" s="3506"/>
      <c r="AO13" s="3506">
        <v>1</v>
      </c>
      <c r="AP13" s="3506"/>
      <c r="AQ13" s="3506">
        <v>2</v>
      </c>
      <c r="AR13" s="3506"/>
      <c r="AS13" s="3506"/>
      <c r="AT13" s="3506"/>
      <c r="AU13" s="3506"/>
      <c r="AV13" s="3506"/>
      <c r="AW13" s="3506">
        <v>5</v>
      </c>
      <c r="AX13" s="3506"/>
      <c r="AY13" s="3506"/>
      <c r="AZ13" s="3506"/>
      <c r="BA13" s="3506"/>
      <c r="BB13" s="3506">
        <v>60</v>
      </c>
      <c r="BC13" s="3506">
        <v>216</v>
      </c>
      <c r="BD13" s="5435"/>
      <c r="BE13" s="5436"/>
      <c r="BF13" s="3506">
        <f>+AB13+AD13</f>
        <v>1010</v>
      </c>
      <c r="BG13" s="3506">
        <f>+AC13+AE13</f>
        <v>834</v>
      </c>
      <c r="BH13" s="3506">
        <v>90</v>
      </c>
      <c r="BI13" s="5427">
        <f>+SUM(X13:X19)</f>
        <v>1478038397.8</v>
      </c>
      <c r="BJ13" s="5431">
        <f>+SUM(Y13:Y19)</f>
        <v>653664888</v>
      </c>
      <c r="BK13" s="3550">
        <f>+BI13/S13</f>
        <v>0.67795638312288009</v>
      </c>
      <c r="BL13" s="1071" t="s">
        <v>878</v>
      </c>
      <c r="BM13" s="3562" t="s">
        <v>879</v>
      </c>
      <c r="BN13" s="4395">
        <v>43480</v>
      </c>
      <c r="BO13" s="4395">
        <v>43480</v>
      </c>
      <c r="BP13" s="4395">
        <v>43830</v>
      </c>
      <c r="BQ13" s="4395">
        <v>43830</v>
      </c>
      <c r="BR13" s="5415" t="s">
        <v>880</v>
      </c>
    </row>
    <row r="14" spans="1:89" s="612" customFormat="1" ht="30" customHeight="1" x14ac:dyDescent="0.2">
      <c r="A14" s="1004"/>
      <c r="B14" s="1005"/>
      <c r="C14" s="1006"/>
      <c r="D14" s="1073"/>
      <c r="E14" s="1074"/>
      <c r="F14" s="1074"/>
      <c r="G14" s="1073"/>
      <c r="H14" s="1074"/>
      <c r="I14" s="1074"/>
      <c r="J14" s="3504"/>
      <c r="K14" s="3505"/>
      <c r="L14" s="3505"/>
      <c r="M14" s="3504"/>
      <c r="N14" s="3583"/>
      <c r="O14" s="1070" t="s">
        <v>881</v>
      </c>
      <c r="P14" s="3561"/>
      <c r="Q14" s="3565"/>
      <c r="R14" s="1079">
        <f>+W14/$S$13</f>
        <v>9.1737316720863354E-3</v>
      </c>
      <c r="S14" s="3514"/>
      <c r="T14" s="3565"/>
      <c r="U14" s="5416"/>
      <c r="V14" s="3565"/>
      <c r="W14" s="1395">
        <v>20000000</v>
      </c>
      <c r="X14" s="681">
        <v>8701913</v>
      </c>
      <c r="Y14" s="1397">
        <v>8701913</v>
      </c>
      <c r="Z14" s="1354">
        <v>9</v>
      </c>
      <c r="AA14" s="1355" t="s">
        <v>882</v>
      </c>
      <c r="AB14" s="3506"/>
      <c r="AC14" s="3506"/>
      <c r="AD14" s="3506"/>
      <c r="AE14" s="3506"/>
      <c r="AF14" s="3506"/>
      <c r="AG14" s="3506"/>
      <c r="AH14" s="3506"/>
      <c r="AI14" s="3506"/>
      <c r="AJ14" s="3506"/>
      <c r="AK14" s="3506"/>
      <c r="AL14" s="3506"/>
      <c r="AM14" s="3506"/>
      <c r="AN14" s="3506"/>
      <c r="AO14" s="3506"/>
      <c r="AP14" s="3506"/>
      <c r="AQ14" s="3506"/>
      <c r="AR14" s="3506"/>
      <c r="AS14" s="3506"/>
      <c r="AT14" s="3506"/>
      <c r="AU14" s="3506"/>
      <c r="AV14" s="3506"/>
      <c r="AW14" s="3506"/>
      <c r="AX14" s="3506"/>
      <c r="AY14" s="3506"/>
      <c r="AZ14" s="3506"/>
      <c r="BA14" s="3506"/>
      <c r="BB14" s="3506"/>
      <c r="BC14" s="3506"/>
      <c r="BD14" s="5435"/>
      <c r="BE14" s="5436"/>
      <c r="BF14" s="3506"/>
      <c r="BG14" s="3506"/>
      <c r="BH14" s="3506"/>
      <c r="BI14" s="5430"/>
      <c r="BJ14" s="5432"/>
      <c r="BK14" s="3573"/>
      <c r="BL14" s="1071" t="s">
        <v>882</v>
      </c>
      <c r="BM14" s="3563"/>
      <c r="BN14" s="4396"/>
      <c r="BO14" s="4396"/>
      <c r="BP14" s="4396"/>
      <c r="BQ14" s="4396"/>
      <c r="BR14" s="5416"/>
    </row>
    <row r="15" spans="1:89" s="612" customFormat="1" ht="36" customHeight="1" x14ac:dyDescent="0.2">
      <c r="A15" s="1004"/>
      <c r="B15" s="1005"/>
      <c r="C15" s="1006"/>
      <c r="D15" s="1073"/>
      <c r="E15" s="1074"/>
      <c r="F15" s="1074"/>
      <c r="G15" s="1073"/>
      <c r="H15" s="1074"/>
      <c r="I15" s="1074"/>
      <c r="J15" s="3504"/>
      <c r="K15" s="3505"/>
      <c r="L15" s="3505"/>
      <c r="M15" s="3504"/>
      <c r="N15" s="3583"/>
      <c r="O15" s="1356" t="s">
        <v>883</v>
      </c>
      <c r="P15" s="3561"/>
      <c r="Q15" s="3565"/>
      <c r="R15" s="1079">
        <f t="shared" ref="R15:R19" si="0">+W15/$S$13</f>
        <v>3.6039673180143485E-2</v>
      </c>
      <c r="S15" s="3514"/>
      <c r="T15" s="3565"/>
      <c r="U15" s="5416"/>
      <c r="V15" s="3565"/>
      <c r="W15" s="1398">
        <v>78571457</v>
      </c>
      <c r="X15" s="681">
        <v>24250000</v>
      </c>
      <c r="Y15" s="1397">
        <v>22235000</v>
      </c>
      <c r="Z15" s="1354">
        <v>3</v>
      </c>
      <c r="AA15" s="1357" t="s">
        <v>884</v>
      </c>
      <c r="AB15" s="3506"/>
      <c r="AC15" s="3506"/>
      <c r="AD15" s="3506"/>
      <c r="AE15" s="3506"/>
      <c r="AF15" s="3506"/>
      <c r="AG15" s="3506"/>
      <c r="AH15" s="3506"/>
      <c r="AI15" s="3506"/>
      <c r="AJ15" s="3506"/>
      <c r="AK15" s="3506"/>
      <c r="AL15" s="3506"/>
      <c r="AM15" s="3506"/>
      <c r="AN15" s="3506"/>
      <c r="AO15" s="3506"/>
      <c r="AP15" s="3506"/>
      <c r="AQ15" s="3506"/>
      <c r="AR15" s="3506"/>
      <c r="AS15" s="3506"/>
      <c r="AT15" s="3506"/>
      <c r="AU15" s="3506"/>
      <c r="AV15" s="3506"/>
      <c r="AW15" s="3506"/>
      <c r="AX15" s="3506"/>
      <c r="AY15" s="3506"/>
      <c r="AZ15" s="3506"/>
      <c r="BA15" s="3506"/>
      <c r="BB15" s="3506"/>
      <c r="BC15" s="3506"/>
      <c r="BD15" s="5435"/>
      <c r="BE15" s="5436"/>
      <c r="BF15" s="3506"/>
      <c r="BG15" s="3506"/>
      <c r="BH15" s="3506"/>
      <c r="BI15" s="5430"/>
      <c r="BJ15" s="5432"/>
      <c r="BK15" s="3573"/>
      <c r="BL15" s="1358" t="s">
        <v>884</v>
      </c>
      <c r="BM15" s="3563"/>
      <c r="BN15" s="4396"/>
      <c r="BO15" s="4396"/>
      <c r="BP15" s="4396"/>
      <c r="BQ15" s="4396"/>
      <c r="BR15" s="5416"/>
    </row>
    <row r="16" spans="1:89" s="612" customFormat="1" ht="33" customHeight="1" x14ac:dyDescent="0.2">
      <c r="A16" s="1004"/>
      <c r="B16" s="1005"/>
      <c r="C16" s="1006"/>
      <c r="D16" s="1073"/>
      <c r="E16" s="1074"/>
      <c r="F16" s="1074"/>
      <c r="G16" s="1073"/>
      <c r="H16" s="1074"/>
      <c r="I16" s="1074"/>
      <c r="J16" s="3504"/>
      <c r="K16" s="3505"/>
      <c r="L16" s="3505"/>
      <c r="M16" s="3504"/>
      <c r="N16" s="3583"/>
      <c r="O16" s="1070" t="s">
        <v>885</v>
      </c>
      <c r="P16" s="3561"/>
      <c r="Q16" s="3565"/>
      <c r="R16" s="1079">
        <f t="shared" si="0"/>
        <v>3.5715076280270548E-2</v>
      </c>
      <c r="S16" s="3514"/>
      <c r="T16" s="3565"/>
      <c r="U16" s="5416"/>
      <c r="V16" s="3565"/>
      <c r="W16" s="1398">
        <v>77863791</v>
      </c>
      <c r="X16" s="681">
        <v>73066000</v>
      </c>
      <c r="Y16" s="1397">
        <v>26272415</v>
      </c>
      <c r="Z16" s="1358">
        <v>12</v>
      </c>
      <c r="AA16" s="1357" t="s">
        <v>878</v>
      </c>
      <c r="AB16" s="3506"/>
      <c r="AC16" s="3506"/>
      <c r="AD16" s="3506"/>
      <c r="AE16" s="3506"/>
      <c r="AF16" s="3506"/>
      <c r="AG16" s="3506"/>
      <c r="AH16" s="3506"/>
      <c r="AI16" s="3506"/>
      <c r="AJ16" s="3506"/>
      <c r="AK16" s="3506"/>
      <c r="AL16" s="3506"/>
      <c r="AM16" s="3506"/>
      <c r="AN16" s="3506"/>
      <c r="AO16" s="3506"/>
      <c r="AP16" s="3506"/>
      <c r="AQ16" s="3506"/>
      <c r="AR16" s="3506"/>
      <c r="AS16" s="3506"/>
      <c r="AT16" s="3506"/>
      <c r="AU16" s="3506"/>
      <c r="AV16" s="3506"/>
      <c r="AW16" s="3506"/>
      <c r="AX16" s="3506"/>
      <c r="AY16" s="3506"/>
      <c r="AZ16" s="3506"/>
      <c r="BA16" s="3506"/>
      <c r="BB16" s="3506"/>
      <c r="BC16" s="3506"/>
      <c r="BD16" s="5435"/>
      <c r="BE16" s="5436"/>
      <c r="BF16" s="3506"/>
      <c r="BG16" s="3506"/>
      <c r="BH16" s="3506"/>
      <c r="BI16" s="5430"/>
      <c r="BJ16" s="5432"/>
      <c r="BK16" s="3573"/>
      <c r="BL16" s="1358" t="s">
        <v>878</v>
      </c>
      <c r="BM16" s="3563"/>
      <c r="BN16" s="4396"/>
      <c r="BO16" s="4396"/>
      <c r="BP16" s="4396"/>
      <c r="BQ16" s="4396"/>
      <c r="BR16" s="5416"/>
    </row>
    <row r="17" spans="1:70" s="612" customFormat="1" ht="28.5" customHeight="1" x14ac:dyDescent="0.2">
      <c r="A17" s="1004"/>
      <c r="B17" s="1005"/>
      <c r="C17" s="1006"/>
      <c r="D17" s="1073"/>
      <c r="E17" s="1074"/>
      <c r="F17" s="1074"/>
      <c r="G17" s="1073"/>
      <c r="H17" s="1074"/>
      <c r="I17" s="1074"/>
      <c r="J17" s="3504"/>
      <c r="K17" s="3505"/>
      <c r="L17" s="3505"/>
      <c r="M17" s="3504"/>
      <c r="N17" s="3583"/>
      <c r="O17" s="1356" t="s">
        <v>886</v>
      </c>
      <c r="P17" s="3561"/>
      <c r="Q17" s="3565"/>
      <c r="R17" s="1079">
        <f t="shared" si="0"/>
        <v>0.56973786345398791</v>
      </c>
      <c r="S17" s="3514"/>
      <c r="T17" s="3565"/>
      <c r="U17" s="5416"/>
      <c r="V17" s="3585"/>
      <c r="W17" s="1398">
        <v>1242107102.8</v>
      </c>
      <c r="X17" s="681">
        <v>900110085.79999995</v>
      </c>
      <c r="Y17" s="1397">
        <v>165773436</v>
      </c>
      <c r="Z17" s="1358">
        <v>6</v>
      </c>
      <c r="AA17" s="1357" t="s">
        <v>887</v>
      </c>
      <c r="AB17" s="3506"/>
      <c r="AC17" s="3506"/>
      <c r="AD17" s="3506"/>
      <c r="AE17" s="3506"/>
      <c r="AF17" s="3506"/>
      <c r="AG17" s="3506"/>
      <c r="AH17" s="3506"/>
      <c r="AI17" s="3506"/>
      <c r="AJ17" s="3506"/>
      <c r="AK17" s="3506"/>
      <c r="AL17" s="3506"/>
      <c r="AM17" s="3506"/>
      <c r="AN17" s="3506"/>
      <c r="AO17" s="3506"/>
      <c r="AP17" s="3506"/>
      <c r="AQ17" s="3506"/>
      <c r="AR17" s="3506"/>
      <c r="AS17" s="3506"/>
      <c r="AT17" s="3506"/>
      <c r="AU17" s="3506"/>
      <c r="AV17" s="3506"/>
      <c r="AW17" s="3506"/>
      <c r="AX17" s="3506"/>
      <c r="AY17" s="3506"/>
      <c r="AZ17" s="3506"/>
      <c r="BA17" s="3506"/>
      <c r="BB17" s="3506"/>
      <c r="BC17" s="3506"/>
      <c r="BD17" s="5435"/>
      <c r="BE17" s="5436"/>
      <c r="BF17" s="3506"/>
      <c r="BG17" s="3506"/>
      <c r="BH17" s="3506"/>
      <c r="BI17" s="5430"/>
      <c r="BJ17" s="5432"/>
      <c r="BK17" s="3573"/>
      <c r="BL17" s="1358" t="s">
        <v>887</v>
      </c>
      <c r="BM17" s="3563"/>
      <c r="BN17" s="4396"/>
      <c r="BO17" s="4396"/>
      <c r="BP17" s="4396"/>
      <c r="BQ17" s="4396"/>
      <c r="BR17" s="5416"/>
    </row>
    <row r="18" spans="1:70" s="612" customFormat="1" ht="59.25" customHeight="1" x14ac:dyDescent="0.2">
      <c r="A18" s="1004"/>
      <c r="B18" s="1005"/>
      <c r="C18" s="1006"/>
      <c r="D18" s="1073"/>
      <c r="E18" s="3560"/>
      <c r="F18" s="3560"/>
      <c r="G18" s="1073"/>
      <c r="H18" s="1005"/>
      <c r="I18" s="1005"/>
      <c r="J18" s="3504"/>
      <c r="K18" s="3505"/>
      <c r="L18" s="3505"/>
      <c r="M18" s="3504"/>
      <c r="N18" s="3583"/>
      <c r="O18" s="1071" t="s">
        <v>888</v>
      </c>
      <c r="P18" s="3561"/>
      <c r="Q18" s="3565"/>
      <c r="R18" s="1079">
        <f t="shared" si="0"/>
        <v>0.17043631914700752</v>
      </c>
      <c r="S18" s="3514"/>
      <c r="T18" s="3565"/>
      <c r="U18" s="5416"/>
      <c r="V18" s="1077" t="s">
        <v>889</v>
      </c>
      <c r="W18" s="1395">
        <v>371574677</v>
      </c>
      <c r="X18" s="681">
        <v>221034599</v>
      </c>
      <c r="Y18" s="1399">
        <v>195636714</v>
      </c>
      <c r="Z18" s="1354">
        <v>4</v>
      </c>
      <c r="AA18" s="1355" t="s">
        <v>890</v>
      </c>
      <c r="AB18" s="3506"/>
      <c r="AC18" s="3506"/>
      <c r="AD18" s="3506"/>
      <c r="AE18" s="3506"/>
      <c r="AF18" s="3506"/>
      <c r="AG18" s="3506"/>
      <c r="AH18" s="3506"/>
      <c r="AI18" s="3506"/>
      <c r="AJ18" s="3506"/>
      <c r="AK18" s="3506"/>
      <c r="AL18" s="3506"/>
      <c r="AM18" s="3506"/>
      <c r="AN18" s="3506"/>
      <c r="AO18" s="3506"/>
      <c r="AP18" s="3506"/>
      <c r="AQ18" s="3506"/>
      <c r="AR18" s="3506"/>
      <c r="AS18" s="3506"/>
      <c r="AT18" s="3506"/>
      <c r="AU18" s="3506"/>
      <c r="AV18" s="3506"/>
      <c r="AW18" s="3506"/>
      <c r="AX18" s="3506"/>
      <c r="AY18" s="3506"/>
      <c r="AZ18" s="3506"/>
      <c r="BA18" s="3506"/>
      <c r="BB18" s="3506"/>
      <c r="BC18" s="3506"/>
      <c r="BD18" s="5435"/>
      <c r="BE18" s="5436"/>
      <c r="BF18" s="3506"/>
      <c r="BG18" s="3506"/>
      <c r="BH18" s="3506"/>
      <c r="BI18" s="5430"/>
      <c r="BJ18" s="5432"/>
      <c r="BK18" s="3573"/>
      <c r="BL18" s="1075" t="s">
        <v>890</v>
      </c>
      <c r="BM18" s="3563"/>
      <c r="BN18" s="4396"/>
      <c r="BO18" s="4396"/>
      <c r="BP18" s="4396"/>
      <c r="BQ18" s="4396"/>
      <c r="BR18" s="5416"/>
    </row>
    <row r="19" spans="1:70" s="612" customFormat="1" ht="113.25" customHeight="1" x14ac:dyDescent="0.2">
      <c r="A19" s="1004"/>
      <c r="B19" s="1005"/>
      <c r="C19" s="1006"/>
      <c r="D19" s="1073"/>
      <c r="E19" s="1074"/>
      <c r="F19" s="1074"/>
      <c r="G19" s="1073"/>
      <c r="H19" s="1074"/>
      <c r="I19" s="1074"/>
      <c r="J19" s="1075">
        <v>203</v>
      </c>
      <c r="K19" s="1077" t="s">
        <v>891</v>
      </c>
      <c r="L19" s="1077" t="s">
        <v>892</v>
      </c>
      <c r="M19" s="1075">
        <v>20</v>
      </c>
      <c r="N19" s="1075">
        <v>21</v>
      </c>
      <c r="O19" s="1071" t="s">
        <v>893</v>
      </c>
      <c r="P19" s="3512"/>
      <c r="Q19" s="3585"/>
      <c r="R19" s="1079">
        <f t="shared" si="0"/>
        <v>8.7504134935705802E-2</v>
      </c>
      <c r="S19" s="3515"/>
      <c r="T19" s="3585"/>
      <c r="U19" s="5417"/>
      <c r="V19" s="1359" t="s">
        <v>894</v>
      </c>
      <c r="W19" s="681">
        <v>190771080</v>
      </c>
      <c r="X19" s="681">
        <v>122145000</v>
      </c>
      <c r="Y19" s="1397">
        <v>122145000</v>
      </c>
      <c r="Z19" s="1354">
        <v>4</v>
      </c>
      <c r="AA19" s="1076" t="s">
        <v>890</v>
      </c>
      <c r="AB19" s="3506"/>
      <c r="AC19" s="3506"/>
      <c r="AD19" s="3506"/>
      <c r="AE19" s="3506"/>
      <c r="AF19" s="3506"/>
      <c r="AG19" s="3506"/>
      <c r="AH19" s="3506"/>
      <c r="AI19" s="3506"/>
      <c r="AJ19" s="3506"/>
      <c r="AK19" s="3506"/>
      <c r="AL19" s="3506"/>
      <c r="AM19" s="3506"/>
      <c r="AN19" s="3506"/>
      <c r="AO19" s="3506"/>
      <c r="AP19" s="3506"/>
      <c r="AQ19" s="3506"/>
      <c r="AR19" s="3506"/>
      <c r="AS19" s="3506"/>
      <c r="AT19" s="3506"/>
      <c r="AU19" s="3506"/>
      <c r="AV19" s="3506"/>
      <c r="AW19" s="3506"/>
      <c r="AX19" s="3506"/>
      <c r="AY19" s="3506"/>
      <c r="AZ19" s="3506"/>
      <c r="BA19" s="3506"/>
      <c r="BB19" s="3506"/>
      <c r="BC19" s="3506"/>
      <c r="BD19" s="5435"/>
      <c r="BE19" s="5436"/>
      <c r="BF19" s="3506"/>
      <c r="BG19" s="3506"/>
      <c r="BH19" s="3506"/>
      <c r="BI19" s="5428"/>
      <c r="BJ19" s="5433"/>
      <c r="BK19" s="3551"/>
      <c r="BL19" s="1075" t="s">
        <v>890</v>
      </c>
      <c r="BM19" s="5434"/>
      <c r="BN19" s="4397"/>
      <c r="BO19" s="4397"/>
      <c r="BP19" s="4397"/>
      <c r="BQ19" s="4397"/>
      <c r="BR19" s="5417"/>
    </row>
    <row r="20" spans="1:70" s="612" customFormat="1" ht="23.25" customHeight="1" x14ac:dyDescent="0.2">
      <c r="A20" s="1004"/>
      <c r="B20" s="1005"/>
      <c r="C20" s="1006"/>
      <c r="D20" s="1073"/>
      <c r="E20" s="1074"/>
      <c r="F20" s="1074"/>
      <c r="G20" s="1339">
        <v>69</v>
      </c>
      <c r="H20" s="1340" t="s">
        <v>895</v>
      </c>
      <c r="I20" s="1340"/>
      <c r="J20" s="1340"/>
      <c r="K20" s="1341"/>
      <c r="L20" s="1341"/>
      <c r="M20" s="1340"/>
      <c r="N20" s="1340"/>
      <c r="O20" s="1342"/>
      <c r="P20" s="1343"/>
      <c r="Q20" s="1341"/>
      <c r="R20" s="1344"/>
      <c r="S20" s="1392"/>
      <c r="T20" s="1341" t="s">
        <v>896</v>
      </c>
      <c r="U20" s="1341" t="s">
        <v>896</v>
      </c>
      <c r="V20" s="1341"/>
      <c r="W20" s="1392"/>
      <c r="X20" s="1392"/>
      <c r="Y20" s="1392"/>
      <c r="Z20" s="1347"/>
      <c r="AA20" s="1360"/>
      <c r="AB20" s="3506"/>
      <c r="AC20" s="3506"/>
      <c r="AD20" s="3506"/>
      <c r="AE20" s="3506"/>
      <c r="AF20" s="3506"/>
      <c r="AG20" s="3506"/>
      <c r="AH20" s="3506"/>
      <c r="AI20" s="3506"/>
      <c r="AJ20" s="3506"/>
      <c r="AK20" s="3506"/>
      <c r="AL20" s="3506"/>
      <c r="AM20" s="3506"/>
      <c r="AN20" s="3506"/>
      <c r="AO20" s="3506"/>
      <c r="AP20" s="3506"/>
      <c r="AQ20" s="3506"/>
      <c r="AR20" s="3506"/>
      <c r="AS20" s="3506"/>
      <c r="AT20" s="3506"/>
      <c r="AU20" s="3506"/>
      <c r="AV20" s="3506"/>
      <c r="AW20" s="3506"/>
      <c r="AX20" s="3506"/>
      <c r="AY20" s="3506"/>
      <c r="AZ20" s="3506"/>
      <c r="BA20" s="3506"/>
      <c r="BB20" s="3506"/>
      <c r="BC20" s="3506"/>
      <c r="BD20" s="5435"/>
      <c r="BE20" s="5436"/>
      <c r="BF20" s="3506"/>
      <c r="BG20" s="3506"/>
      <c r="BH20" s="3506"/>
      <c r="BI20" s="1414"/>
      <c r="BJ20" s="1414"/>
      <c r="BK20" s="1361"/>
      <c r="BL20" s="1343"/>
      <c r="BM20" s="1362"/>
      <c r="BN20" s="1352"/>
      <c r="BO20" s="1352"/>
      <c r="BP20" s="1352"/>
      <c r="BQ20" s="1352"/>
      <c r="BR20" s="1363"/>
    </row>
    <row r="21" spans="1:70" s="612" customFormat="1" ht="46.5" customHeight="1" x14ac:dyDescent="0.2">
      <c r="A21" s="1004"/>
      <c r="B21" s="1005"/>
      <c r="C21" s="1006"/>
      <c r="D21" s="1073"/>
      <c r="E21" s="1074"/>
      <c r="F21" s="1074"/>
      <c r="G21" s="1073"/>
      <c r="H21" s="1074"/>
      <c r="I21" s="1074"/>
      <c r="J21" s="3504">
        <v>204</v>
      </c>
      <c r="K21" s="3505" t="s">
        <v>897</v>
      </c>
      <c r="L21" s="3525" t="s">
        <v>898</v>
      </c>
      <c r="M21" s="3510">
        <v>13</v>
      </c>
      <c r="N21" s="3556">
        <v>9</v>
      </c>
      <c r="O21" s="1069" t="s">
        <v>899</v>
      </c>
      <c r="P21" s="3558" t="s">
        <v>873</v>
      </c>
      <c r="Q21" s="3564" t="s">
        <v>874</v>
      </c>
      <c r="R21" s="1079">
        <f>+W21/S21</f>
        <v>0.64747356051703875</v>
      </c>
      <c r="S21" s="3513">
        <f>SUM(W21:W22)</f>
        <v>170200000</v>
      </c>
      <c r="T21" s="3564" t="s">
        <v>875</v>
      </c>
      <c r="U21" s="3564" t="s">
        <v>876</v>
      </c>
      <c r="V21" s="3564" t="s">
        <v>900</v>
      </c>
      <c r="W21" s="1395">
        <v>110200000</v>
      </c>
      <c r="X21" s="1399">
        <v>74117580</v>
      </c>
      <c r="Y21" s="1399">
        <v>44982570.799999997</v>
      </c>
      <c r="Z21" s="1354">
        <v>4</v>
      </c>
      <c r="AA21" s="1355" t="s">
        <v>890</v>
      </c>
      <c r="AB21" s="3506"/>
      <c r="AC21" s="3506"/>
      <c r="AD21" s="3506"/>
      <c r="AE21" s="3506"/>
      <c r="AF21" s="3506"/>
      <c r="AG21" s="3506"/>
      <c r="AH21" s="3506"/>
      <c r="AI21" s="3506"/>
      <c r="AJ21" s="3506"/>
      <c r="AK21" s="3506"/>
      <c r="AL21" s="3506"/>
      <c r="AM21" s="3506"/>
      <c r="AN21" s="3506"/>
      <c r="AO21" s="3506"/>
      <c r="AP21" s="3506"/>
      <c r="AQ21" s="3506"/>
      <c r="AR21" s="3506"/>
      <c r="AS21" s="3506"/>
      <c r="AT21" s="3506"/>
      <c r="AU21" s="3506"/>
      <c r="AV21" s="3506"/>
      <c r="AW21" s="3506"/>
      <c r="AX21" s="3506"/>
      <c r="AY21" s="3506"/>
      <c r="AZ21" s="3506"/>
      <c r="BA21" s="3506"/>
      <c r="BB21" s="3506"/>
      <c r="BC21" s="3506"/>
      <c r="BD21" s="5435"/>
      <c r="BE21" s="5436"/>
      <c r="BF21" s="3506"/>
      <c r="BG21" s="3506"/>
      <c r="BH21" s="3506"/>
      <c r="BI21" s="5427">
        <f>+SUM(X21:X22)</f>
        <v>107218480</v>
      </c>
      <c r="BJ21" s="5431">
        <f>+SUM(Y21:Y22)</f>
        <v>76413492.599999994</v>
      </c>
      <c r="BK21" s="3550">
        <f>+BI21/S21</f>
        <v>0.62995581668625145</v>
      </c>
      <c r="BL21" s="1071" t="s">
        <v>890</v>
      </c>
      <c r="BM21" s="3562" t="s">
        <v>879</v>
      </c>
      <c r="BN21" s="4395">
        <v>43480</v>
      </c>
      <c r="BO21" s="4395">
        <v>43480</v>
      </c>
      <c r="BP21" s="4395">
        <f>+BP13</f>
        <v>43830</v>
      </c>
      <c r="BQ21" s="4395">
        <v>43830</v>
      </c>
      <c r="BR21" s="5415" t="s">
        <v>880</v>
      </c>
    </row>
    <row r="22" spans="1:70" s="612" customFormat="1" ht="51.75" customHeight="1" x14ac:dyDescent="0.2">
      <c r="A22" s="1004"/>
      <c r="B22" s="1005"/>
      <c r="C22" s="1006"/>
      <c r="D22" s="1073"/>
      <c r="E22" s="1074"/>
      <c r="F22" s="1074"/>
      <c r="G22" s="1073"/>
      <c r="H22" s="1074"/>
      <c r="I22" s="1074"/>
      <c r="J22" s="3504"/>
      <c r="K22" s="3505"/>
      <c r="L22" s="3525"/>
      <c r="M22" s="3512"/>
      <c r="N22" s="5429"/>
      <c r="O22" s="1071" t="s">
        <v>901</v>
      </c>
      <c r="P22" s="4158"/>
      <c r="Q22" s="3585"/>
      <c r="R22" s="1079">
        <f>+W22/S21</f>
        <v>0.3525264394829612</v>
      </c>
      <c r="S22" s="3515"/>
      <c r="T22" s="3585"/>
      <c r="U22" s="3585" t="s">
        <v>896</v>
      </c>
      <c r="V22" s="3585"/>
      <c r="W22" s="1395">
        <v>60000000</v>
      </c>
      <c r="X22" s="681">
        <v>33100900</v>
      </c>
      <c r="Y22" s="1400">
        <v>31430921.800000001</v>
      </c>
      <c r="Z22" s="1354">
        <v>12</v>
      </c>
      <c r="AA22" s="1355" t="s">
        <v>878</v>
      </c>
      <c r="AB22" s="3506"/>
      <c r="AC22" s="3506"/>
      <c r="AD22" s="3506"/>
      <c r="AE22" s="3506"/>
      <c r="AF22" s="3506"/>
      <c r="AG22" s="3506"/>
      <c r="AH22" s="3506"/>
      <c r="AI22" s="3506"/>
      <c r="AJ22" s="3506"/>
      <c r="AK22" s="3506"/>
      <c r="AL22" s="3506"/>
      <c r="AM22" s="3506"/>
      <c r="AN22" s="3506"/>
      <c r="AO22" s="3506"/>
      <c r="AP22" s="3506"/>
      <c r="AQ22" s="3506"/>
      <c r="AR22" s="3506"/>
      <c r="AS22" s="3506"/>
      <c r="AT22" s="3506"/>
      <c r="AU22" s="3506"/>
      <c r="AV22" s="3506"/>
      <c r="AW22" s="3506"/>
      <c r="AX22" s="3506"/>
      <c r="AY22" s="3506"/>
      <c r="AZ22" s="3506"/>
      <c r="BA22" s="3506"/>
      <c r="BB22" s="3506"/>
      <c r="BC22" s="3506"/>
      <c r="BD22" s="5435"/>
      <c r="BE22" s="5436"/>
      <c r="BF22" s="3506"/>
      <c r="BG22" s="3506"/>
      <c r="BH22" s="3506"/>
      <c r="BI22" s="5428"/>
      <c r="BJ22" s="5433"/>
      <c r="BK22" s="3551"/>
      <c r="BL22" s="1071" t="s">
        <v>878</v>
      </c>
      <c r="BM22" s="5434"/>
      <c r="BN22" s="4396"/>
      <c r="BO22" s="4396"/>
      <c r="BP22" s="4396"/>
      <c r="BQ22" s="4396"/>
      <c r="BR22" s="5416"/>
    </row>
    <row r="23" spans="1:70" s="612" customFormat="1" ht="23.25" customHeight="1" x14ac:dyDescent="0.2">
      <c r="A23" s="1004"/>
      <c r="B23" s="1005"/>
      <c r="C23" s="1006"/>
      <c r="D23" s="1073"/>
      <c r="E23" s="1074"/>
      <c r="F23" s="1074"/>
      <c r="G23" s="1339">
        <v>70</v>
      </c>
      <c r="H23" s="1340" t="s">
        <v>902</v>
      </c>
      <c r="I23" s="1340"/>
      <c r="J23" s="1340"/>
      <c r="K23" s="1341"/>
      <c r="L23" s="1341"/>
      <c r="M23" s="1340"/>
      <c r="N23" s="1340"/>
      <c r="O23" s="1364"/>
      <c r="P23" s="1343"/>
      <c r="Q23" s="1341"/>
      <c r="R23" s="1344"/>
      <c r="S23" s="1392"/>
      <c r="T23" s="1341" t="s">
        <v>896</v>
      </c>
      <c r="U23" s="1341" t="s">
        <v>896</v>
      </c>
      <c r="V23" s="1341"/>
      <c r="W23" s="1392"/>
      <c r="X23" s="1392"/>
      <c r="Y23" s="1392"/>
      <c r="Z23" s="1347"/>
      <c r="AA23" s="1343"/>
      <c r="AB23" s="1362"/>
      <c r="AC23" s="1362"/>
      <c r="AD23" s="1362"/>
      <c r="AE23" s="1362"/>
      <c r="AF23" s="1362"/>
      <c r="AG23" s="1362"/>
      <c r="AH23" s="1362"/>
      <c r="AI23" s="1362"/>
      <c r="AJ23" s="1362"/>
      <c r="AK23" s="1362"/>
      <c r="AL23" s="1362"/>
      <c r="AM23" s="1362"/>
      <c r="AN23" s="1362"/>
      <c r="AO23" s="1362"/>
      <c r="AP23" s="1362"/>
      <c r="AQ23" s="1362"/>
      <c r="AR23" s="1362"/>
      <c r="AS23" s="1362"/>
      <c r="AT23" s="1362"/>
      <c r="AU23" s="1362"/>
      <c r="AV23" s="1362"/>
      <c r="AW23" s="1362"/>
      <c r="AX23" s="1362"/>
      <c r="AY23" s="1362"/>
      <c r="AZ23" s="1362"/>
      <c r="BA23" s="1362"/>
      <c r="BB23" s="1362"/>
      <c r="BC23" s="1362"/>
      <c r="BD23" s="1362"/>
      <c r="BE23" s="1362"/>
      <c r="BF23" s="1362"/>
      <c r="BG23" s="1362"/>
      <c r="BH23" s="1362"/>
      <c r="BI23" s="1414"/>
      <c r="BJ23" s="1414"/>
      <c r="BK23" s="1361"/>
      <c r="BL23" s="1343"/>
      <c r="BM23" s="1362"/>
      <c r="BN23" s="1352"/>
      <c r="BO23" s="1352"/>
      <c r="BP23" s="1352"/>
      <c r="BQ23" s="1352"/>
      <c r="BR23" s="1363"/>
    </row>
    <row r="24" spans="1:70" s="612" customFormat="1" ht="42.75" customHeight="1" x14ac:dyDescent="0.2">
      <c r="A24" s="1004"/>
      <c r="B24" s="1005"/>
      <c r="C24" s="1006"/>
      <c r="D24" s="1073"/>
      <c r="E24" s="1074"/>
      <c r="F24" s="1074"/>
      <c r="G24" s="1073"/>
      <c r="H24" s="1074"/>
      <c r="I24" s="1074"/>
      <c r="J24" s="3504">
        <v>205</v>
      </c>
      <c r="K24" s="3505" t="s">
        <v>903</v>
      </c>
      <c r="L24" s="3525" t="s">
        <v>904</v>
      </c>
      <c r="M24" s="3504">
        <v>1</v>
      </c>
      <c r="N24" s="3583">
        <v>1</v>
      </c>
      <c r="O24" s="1069" t="s">
        <v>905</v>
      </c>
      <c r="P24" s="5437" t="s">
        <v>906</v>
      </c>
      <c r="Q24" s="3505" t="s">
        <v>907</v>
      </c>
      <c r="R24" s="1079">
        <f>+W24/$S$24</f>
        <v>0.30932041144262568</v>
      </c>
      <c r="S24" s="3521">
        <f>+SUM(W24:W28)</f>
        <v>387947240.34000003</v>
      </c>
      <c r="T24" s="3564" t="s">
        <v>908</v>
      </c>
      <c r="U24" s="3564" t="s">
        <v>909</v>
      </c>
      <c r="V24" s="3564" t="s">
        <v>910</v>
      </c>
      <c r="W24" s="947">
        <v>120000000</v>
      </c>
      <c r="X24" s="681">
        <v>107863071</v>
      </c>
      <c r="Y24" s="1397">
        <v>27311812</v>
      </c>
      <c r="Z24" s="1078">
        <v>12</v>
      </c>
      <c r="AA24" s="1075" t="s">
        <v>878</v>
      </c>
      <c r="AB24" s="3506">
        <v>6000</v>
      </c>
      <c r="AC24" s="3506">
        <v>5738</v>
      </c>
      <c r="AD24" s="3506">
        <v>9000</v>
      </c>
      <c r="AE24" s="3506">
        <v>9311</v>
      </c>
      <c r="AF24" s="3506">
        <v>10500</v>
      </c>
      <c r="AG24" s="3506">
        <v>9496</v>
      </c>
      <c r="AH24" s="3506">
        <v>4500</v>
      </c>
      <c r="AI24" s="3506">
        <v>4301</v>
      </c>
      <c r="AJ24" s="3506"/>
      <c r="AK24" s="3506">
        <v>934</v>
      </c>
      <c r="AL24" s="3506"/>
      <c r="AM24" s="3506">
        <v>118</v>
      </c>
      <c r="AN24" s="3506">
        <v>22</v>
      </c>
      <c r="AO24" s="3506">
        <v>30</v>
      </c>
      <c r="AP24" s="3506">
        <v>115</v>
      </c>
      <c r="AQ24" s="3506">
        <v>90</v>
      </c>
      <c r="AR24" s="3506">
        <v>1</v>
      </c>
      <c r="AS24" s="3506">
        <v>2</v>
      </c>
      <c r="AT24" s="3506"/>
      <c r="AU24" s="3506">
        <v>5</v>
      </c>
      <c r="AV24" s="3506"/>
      <c r="AW24" s="3506"/>
      <c r="AX24" s="3506"/>
      <c r="AY24" s="3506"/>
      <c r="AZ24" s="3506"/>
      <c r="BA24" s="3506"/>
      <c r="BB24" s="3506">
        <v>59</v>
      </c>
      <c r="BC24" s="3506">
        <v>21</v>
      </c>
      <c r="BD24" s="4116"/>
      <c r="BE24" s="4116"/>
      <c r="BF24" s="3506">
        <f>+AB24+AD24</f>
        <v>15000</v>
      </c>
      <c r="BG24" s="3506">
        <f>+AC24+AE24</f>
        <v>15049</v>
      </c>
      <c r="BH24" s="3506">
        <v>27</v>
      </c>
      <c r="BI24" s="5431">
        <f>+SUM(X24:X28)</f>
        <v>375470311</v>
      </c>
      <c r="BJ24" s="5431">
        <f>+SUM(Y24:Y28)</f>
        <v>206657586</v>
      </c>
      <c r="BK24" s="3520">
        <f>+BI24/S24</f>
        <v>0.96783859235842185</v>
      </c>
      <c r="BL24" s="1075" t="s">
        <v>878</v>
      </c>
      <c r="BM24" s="3506" t="s">
        <v>911</v>
      </c>
      <c r="BN24" s="5438">
        <v>43480</v>
      </c>
      <c r="BO24" s="5438">
        <v>43480</v>
      </c>
      <c r="BP24" s="5438">
        <v>43830</v>
      </c>
      <c r="BQ24" s="5438">
        <v>43830</v>
      </c>
      <c r="BR24" s="5439" t="s">
        <v>880</v>
      </c>
    </row>
    <row r="25" spans="1:70" s="612" customFormat="1" ht="38.25" customHeight="1" x14ac:dyDescent="0.2">
      <c r="A25" s="1004"/>
      <c r="B25" s="1005"/>
      <c r="C25" s="1006"/>
      <c r="D25" s="1073"/>
      <c r="E25" s="1074"/>
      <c r="F25" s="1074"/>
      <c r="G25" s="1073"/>
      <c r="H25" s="1074"/>
      <c r="I25" s="1074"/>
      <c r="J25" s="3504"/>
      <c r="K25" s="3505"/>
      <c r="L25" s="3525"/>
      <c r="M25" s="3504"/>
      <c r="N25" s="3583"/>
      <c r="O25" s="1070" t="s">
        <v>912</v>
      </c>
      <c r="P25" s="5437"/>
      <c r="Q25" s="3505"/>
      <c r="R25" s="1079">
        <f t="shared" ref="R25:R28" si="1">+W25/$S$24</f>
        <v>0.2577670095355214</v>
      </c>
      <c r="S25" s="3521"/>
      <c r="T25" s="3565"/>
      <c r="U25" s="3565" t="s">
        <v>896</v>
      </c>
      <c r="V25" s="3565"/>
      <c r="W25" s="1395">
        <v>100000000</v>
      </c>
      <c r="X25" s="681">
        <v>100000000</v>
      </c>
      <c r="Y25" s="1397">
        <v>97580000</v>
      </c>
      <c r="Z25" s="1354">
        <v>4</v>
      </c>
      <c r="AA25" s="1071" t="s">
        <v>890</v>
      </c>
      <c r="AB25" s="3506"/>
      <c r="AC25" s="3506"/>
      <c r="AD25" s="3506"/>
      <c r="AE25" s="3506"/>
      <c r="AF25" s="3506"/>
      <c r="AG25" s="3506"/>
      <c r="AH25" s="3506"/>
      <c r="AI25" s="3506"/>
      <c r="AJ25" s="3506"/>
      <c r="AK25" s="3506"/>
      <c r="AL25" s="3506"/>
      <c r="AM25" s="3506"/>
      <c r="AN25" s="3506"/>
      <c r="AO25" s="3506"/>
      <c r="AP25" s="3506"/>
      <c r="AQ25" s="3506"/>
      <c r="AR25" s="3506"/>
      <c r="AS25" s="3506"/>
      <c r="AT25" s="3506"/>
      <c r="AU25" s="3506"/>
      <c r="AV25" s="3506"/>
      <c r="AW25" s="3506"/>
      <c r="AX25" s="3506"/>
      <c r="AY25" s="3506"/>
      <c r="AZ25" s="3506"/>
      <c r="BA25" s="3506"/>
      <c r="BB25" s="3506"/>
      <c r="BC25" s="3506"/>
      <c r="BD25" s="4119"/>
      <c r="BE25" s="4119"/>
      <c r="BF25" s="3506"/>
      <c r="BG25" s="3506"/>
      <c r="BH25" s="3506"/>
      <c r="BI25" s="5432"/>
      <c r="BJ25" s="5432"/>
      <c r="BK25" s="3520"/>
      <c r="BL25" s="1075" t="s">
        <v>890</v>
      </c>
      <c r="BM25" s="3506"/>
      <c r="BN25" s="5438"/>
      <c r="BO25" s="5438"/>
      <c r="BP25" s="5438"/>
      <c r="BQ25" s="5438"/>
      <c r="BR25" s="5439"/>
    </row>
    <row r="26" spans="1:70" s="612" customFormat="1" ht="38.25" customHeight="1" x14ac:dyDescent="0.2">
      <c r="A26" s="1004"/>
      <c r="B26" s="1005"/>
      <c r="C26" s="1006"/>
      <c r="D26" s="1073"/>
      <c r="E26" s="1074"/>
      <c r="F26" s="1074"/>
      <c r="G26" s="1073"/>
      <c r="H26" s="1074"/>
      <c r="I26" s="1074"/>
      <c r="J26" s="3504"/>
      <c r="K26" s="3505"/>
      <c r="L26" s="3525"/>
      <c r="M26" s="3504"/>
      <c r="N26" s="3583"/>
      <c r="O26" s="1070" t="s">
        <v>913</v>
      </c>
      <c r="P26" s="5437"/>
      <c r="Q26" s="3505"/>
      <c r="R26" s="1079">
        <f t="shared" si="1"/>
        <v>0.2808956906214759</v>
      </c>
      <c r="S26" s="3521"/>
      <c r="T26" s="3565"/>
      <c r="U26" s="3565"/>
      <c r="V26" s="3565"/>
      <c r="W26" s="1395">
        <v>108972708</v>
      </c>
      <c r="X26" s="681">
        <v>108972708</v>
      </c>
      <c r="Y26" s="1397">
        <v>57286354</v>
      </c>
      <c r="Z26" s="1354">
        <v>7</v>
      </c>
      <c r="AA26" s="1071" t="s">
        <v>914</v>
      </c>
      <c r="AB26" s="3506"/>
      <c r="AC26" s="3506"/>
      <c r="AD26" s="3506"/>
      <c r="AE26" s="3506"/>
      <c r="AF26" s="3506"/>
      <c r="AG26" s="3506"/>
      <c r="AH26" s="3506"/>
      <c r="AI26" s="3506"/>
      <c r="AJ26" s="3506"/>
      <c r="AK26" s="3506"/>
      <c r="AL26" s="3506"/>
      <c r="AM26" s="3506"/>
      <c r="AN26" s="3506"/>
      <c r="AO26" s="3506"/>
      <c r="AP26" s="3506"/>
      <c r="AQ26" s="3506"/>
      <c r="AR26" s="3506"/>
      <c r="AS26" s="3506"/>
      <c r="AT26" s="3506"/>
      <c r="AU26" s="3506"/>
      <c r="AV26" s="3506"/>
      <c r="AW26" s="3506"/>
      <c r="AX26" s="3506"/>
      <c r="AY26" s="3506"/>
      <c r="AZ26" s="3506"/>
      <c r="BA26" s="3506"/>
      <c r="BB26" s="3506"/>
      <c r="BC26" s="3506"/>
      <c r="BD26" s="4119"/>
      <c r="BE26" s="4119"/>
      <c r="BF26" s="3506"/>
      <c r="BG26" s="3506"/>
      <c r="BH26" s="3506"/>
      <c r="BI26" s="5432"/>
      <c r="BJ26" s="5432"/>
      <c r="BK26" s="3520"/>
      <c r="BL26" s="1075" t="s">
        <v>914</v>
      </c>
      <c r="BM26" s="3506"/>
      <c r="BN26" s="5438"/>
      <c r="BO26" s="5438"/>
      <c r="BP26" s="5438"/>
      <c r="BQ26" s="5438"/>
      <c r="BR26" s="5439"/>
    </row>
    <row r="27" spans="1:70" s="612" customFormat="1" ht="38.25" customHeight="1" x14ac:dyDescent="0.2">
      <c r="A27" s="1004"/>
      <c r="B27" s="1005"/>
      <c r="C27" s="1006"/>
      <c r="D27" s="1073"/>
      <c r="E27" s="1074"/>
      <c r="F27" s="1074"/>
      <c r="G27" s="1073"/>
      <c r="H27" s="1074"/>
      <c r="I27" s="1074"/>
      <c r="J27" s="3504"/>
      <c r="K27" s="3505"/>
      <c r="L27" s="3525"/>
      <c r="M27" s="3504"/>
      <c r="N27" s="3583"/>
      <c r="O27" s="1070" t="s">
        <v>915</v>
      </c>
      <c r="P27" s="5437"/>
      <c r="Q27" s="3505"/>
      <c r="R27" s="1079">
        <f t="shared" si="1"/>
        <v>0.11601213943565077</v>
      </c>
      <c r="S27" s="3521"/>
      <c r="T27" s="3565"/>
      <c r="U27" s="3565"/>
      <c r="V27" s="3565"/>
      <c r="W27" s="1395">
        <v>45006589.340000004</v>
      </c>
      <c r="X27" s="681">
        <v>44666589</v>
      </c>
      <c r="Y27" s="1397">
        <v>23351420</v>
      </c>
      <c r="Z27" s="1354">
        <v>13</v>
      </c>
      <c r="AA27" s="1071" t="s">
        <v>916</v>
      </c>
      <c r="AB27" s="3506"/>
      <c r="AC27" s="3506"/>
      <c r="AD27" s="3506"/>
      <c r="AE27" s="3506"/>
      <c r="AF27" s="3506"/>
      <c r="AG27" s="3506"/>
      <c r="AH27" s="3506"/>
      <c r="AI27" s="3506"/>
      <c r="AJ27" s="3506"/>
      <c r="AK27" s="3506"/>
      <c r="AL27" s="3506"/>
      <c r="AM27" s="3506"/>
      <c r="AN27" s="3506"/>
      <c r="AO27" s="3506"/>
      <c r="AP27" s="3506"/>
      <c r="AQ27" s="3506"/>
      <c r="AR27" s="3506"/>
      <c r="AS27" s="3506"/>
      <c r="AT27" s="3506"/>
      <c r="AU27" s="3506"/>
      <c r="AV27" s="3506"/>
      <c r="AW27" s="3506"/>
      <c r="AX27" s="3506"/>
      <c r="AY27" s="3506"/>
      <c r="AZ27" s="3506"/>
      <c r="BA27" s="3506"/>
      <c r="BB27" s="3506"/>
      <c r="BC27" s="3506"/>
      <c r="BD27" s="4119"/>
      <c r="BE27" s="4119"/>
      <c r="BF27" s="3506"/>
      <c r="BG27" s="3506"/>
      <c r="BH27" s="3506"/>
      <c r="BI27" s="5432"/>
      <c r="BJ27" s="5432"/>
      <c r="BK27" s="3520"/>
      <c r="BL27" s="1071" t="s">
        <v>916</v>
      </c>
      <c r="BM27" s="3506"/>
      <c r="BN27" s="5438"/>
      <c r="BO27" s="5438"/>
      <c r="BP27" s="5438"/>
      <c r="BQ27" s="5438"/>
      <c r="BR27" s="5439"/>
    </row>
    <row r="28" spans="1:70" s="612" customFormat="1" ht="38.25" customHeight="1" x14ac:dyDescent="0.2">
      <c r="A28" s="1004"/>
      <c r="B28" s="1005"/>
      <c r="C28" s="1006"/>
      <c r="D28" s="1073"/>
      <c r="E28" s="1074"/>
      <c r="F28" s="1074"/>
      <c r="G28" s="1073"/>
      <c r="H28" s="1074"/>
      <c r="I28" s="1074"/>
      <c r="J28" s="3504"/>
      <c r="K28" s="3505"/>
      <c r="L28" s="3525"/>
      <c r="M28" s="3504"/>
      <c r="N28" s="3583"/>
      <c r="O28" s="1365" t="s">
        <v>917</v>
      </c>
      <c r="P28" s="5437"/>
      <c r="Q28" s="3505"/>
      <c r="R28" s="1079">
        <f t="shared" si="1"/>
        <v>3.6004748964726191E-2</v>
      </c>
      <c r="S28" s="3521"/>
      <c r="T28" s="3565"/>
      <c r="U28" s="3565"/>
      <c r="V28" s="3565"/>
      <c r="W28" s="760">
        <v>13967943</v>
      </c>
      <c r="X28" s="681">
        <v>13967943</v>
      </c>
      <c r="Y28" s="1397">
        <v>1128000</v>
      </c>
      <c r="Z28" s="1354">
        <v>15</v>
      </c>
      <c r="AA28" s="1074" t="s">
        <v>882</v>
      </c>
      <c r="AB28" s="3506"/>
      <c r="AC28" s="3506"/>
      <c r="AD28" s="3506"/>
      <c r="AE28" s="3506"/>
      <c r="AF28" s="3506"/>
      <c r="AG28" s="3506"/>
      <c r="AH28" s="3506"/>
      <c r="AI28" s="3506"/>
      <c r="AJ28" s="3506"/>
      <c r="AK28" s="3506"/>
      <c r="AL28" s="3506"/>
      <c r="AM28" s="3506"/>
      <c r="AN28" s="3506"/>
      <c r="AO28" s="3506"/>
      <c r="AP28" s="3506"/>
      <c r="AQ28" s="3506"/>
      <c r="AR28" s="3506"/>
      <c r="AS28" s="3506"/>
      <c r="AT28" s="3506"/>
      <c r="AU28" s="3506"/>
      <c r="AV28" s="3506"/>
      <c r="AW28" s="3506"/>
      <c r="AX28" s="3506"/>
      <c r="AY28" s="3506"/>
      <c r="AZ28" s="3506"/>
      <c r="BA28" s="3506"/>
      <c r="BB28" s="3506"/>
      <c r="BC28" s="3506"/>
      <c r="BD28" s="5440"/>
      <c r="BE28" s="5440"/>
      <c r="BF28" s="3506"/>
      <c r="BG28" s="3506"/>
      <c r="BH28" s="3506"/>
      <c r="BI28" s="5432"/>
      <c r="BJ28" s="5432"/>
      <c r="BK28" s="3520"/>
      <c r="BL28" s="1074" t="s">
        <v>882</v>
      </c>
      <c r="BM28" s="3506"/>
      <c r="BN28" s="5438"/>
      <c r="BO28" s="5438"/>
      <c r="BP28" s="5438"/>
      <c r="BQ28" s="5438"/>
      <c r="BR28" s="5439"/>
    </row>
    <row r="29" spans="1:70" s="612" customFormat="1" ht="23.25" customHeight="1" thickBot="1" x14ac:dyDescent="0.25">
      <c r="A29" s="1004"/>
      <c r="B29" s="1005"/>
      <c r="C29" s="1006"/>
      <c r="D29" s="1073"/>
      <c r="E29" s="1074"/>
      <c r="F29" s="1074"/>
      <c r="G29" s="1339">
        <v>71</v>
      </c>
      <c r="H29" s="1340" t="s">
        <v>918</v>
      </c>
      <c r="I29" s="1340"/>
      <c r="J29" s="1340"/>
      <c r="K29" s="1341"/>
      <c r="L29" s="1341"/>
      <c r="M29" s="1340"/>
      <c r="N29" s="1340"/>
      <c r="O29" s="1364"/>
      <c r="P29" s="1343"/>
      <c r="Q29" s="1341"/>
      <c r="R29" s="1344"/>
      <c r="S29" s="1392"/>
      <c r="T29" s="1341" t="s">
        <v>896</v>
      </c>
      <c r="U29" s="1341" t="s">
        <v>896</v>
      </c>
      <c r="V29" s="1341"/>
      <c r="W29" s="1392"/>
      <c r="X29" s="1392"/>
      <c r="Y29" s="1392"/>
      <c r="Z29" s="1347"/>
      <c r="AA29" s="1343"/>
      <c r="AB29" s="1362"/>
      <c r="AC29" s="1362"/>
      <c r="AD29" s="1362"/>
      <c r="AE29" s="1362"/>
      <c r="AF29" s="1362"/>
      <c r="AG29" s="1362"/>
      <c r="AH29" s="1362"/>
      <c r="AI29" s="1362"/>
      <c r="AJ29" s="1362"/>
      <c r="AK29" s="1362"/>
      <c r="AL29" s="1362"/>
      <c r="AM29" s="1362"/>
      <c r="AN29" s="1362"/>
      <c r="AO29" s="1362"/>
      <c r="AP29" s="1362"/>
      <c r="AQ29" s="1362"/>
      <c r="AR29" s="1362"/>
      <c r="AS29" s="1362"/>
      <c r="AT29" s="1362"/>
      <c r="AU29" s="1362"/>
      <c r="AV29" s="1362"/>
      <c r="AW29" s="1362"/>
      <c r="AX29" s="1362"/>
      <c r="AY29" s="1362"/>
      <c r="AZ29" s="1362"/>
      <c r="BA29" s="1362"/>
      <c r="BB29" s="1362"/>
      <c r="BC29" s="1362"/>
      <c r="BD29" s="1362"/>
      <c r="BE29" s="1362"/>
      <c r="BF29" s="1362"/>
      <c r="BG29" s="1362"/>
      <c r="BH29" s="1362"/>
      <c r="BI29" s="1414"/>
      <c r="BJ29" s="1414"/>
      <c r="BK29" s="1361"/>
      <c r="BL29" s="1343"/>
      <c r="BM29" s="1362"/>
      <c r="BN29" s="1352"/>
      <c r="BO29" s="1352"/>
      <c r="BP29" s="1352"/>
      <c r="BQ29" s="1352"/>
      <c r="BR29" s="1363"/>
    </row>
    <row r="30" spans="1:70" s="612" customFormat="1" ht="72" customHeight="1" x14ac:dyDescent="0.2">
      <c r="A30" s="1004"/>
      <c r="B30" s="1005"/>
      <c r="C30" s="1006"/>
      <c r="D30" s="1073"/>
      <c r="E30" s="1074"/>
      <c r="F30" s="1074"/>
      <c r="G30" s="1073"/>
      <c r="H30" s="1074"/>
      <c r="I30" s="1074"/>
      <c r="J30" s="3510">
        <v>206</v>
      </c>
      <c r="K30" s="2873" t="s">
        <v>919</v>
      </c>
      <c r="L30" s="3564" t="s">
        <v>920</v>
      </c>
      <c r="M30" s="3510">
        <v>12</v>
      </c>
      <c r="N30" s="3556">
        <v>12</v>
      </c>
      <c r="O30" s="1069" t="s">
        <v>921</v>
      </c>
      <c r="P30" s="3558" t="s">
        <v>922</v>
      </c>
      <c r="Q30" s="3564" t="s">
        <v>923</v>
      </c>
      <c r="R30" s="1079">
        <f>+W30/$S$30</f>
        <v>0.15714285714285714</v>
      </c>
      <c r="S30" s="3521">
        <f>SUM(W30:W35)</f>
        <v>350000000</v>
      </c>
      <c r="T30" s="3564" t="s">
        <v>924</v>
      </c>
      <c r="U30" s="3564" t="s">
        <v>925</v>
      </c>
      <c r="V30" s="3564" t="s">
        <v>926</v>
      </c>
      <c r="W30" s="1401">
        <v>55000000</v>
      </c>
      <c r="X30" s="1399">
        <v>39169600</v>
      </c>
      <c r="Y30" s="1397">
        <v>16327100</v>
      </c>
      <c r="Z30" s="1367">
        <v>12</v>
      </c>
      <c r="AA30" s="1367" t="s">
        <v>878</v>
      </c>
      <c r="AB30" s="3562">
        <v>900</v>
      </c>
      <c r="AC30" s="3562">
        <v>219</v>
      </c>
      <c r="AD30" s="3562">
        <v>300</v>
      </c>
      <c r="AE30" s="3562">
        <v>1006</v>
      </c>
      <c r="AF30" s="3562">
        <v>372</v>
      </c>
      <c r="AG30" s="3562">
        <v>380</v>
      </c>
      <c r="AH30" s="3562">
        <v>94</v>
      </c>
      <c r="AI30" s="3562">
        <v>505</v>
      </c>
      <c r="AJ30" s="3562">
        <v>734</v>
      </c>
      <c r="AK30" s="3562">
        <v>314</v>
      </c>
      <c r="AL30" s="3562"/>
      <c r="AM30" s="3562">
        <v>26</v>
      </c>
      <c r="AN30" s="3562"/>
      <c r="AO30" s="3562">
        <v>1</v>
      </c>
      <c r="AP30" s="3562"/>
      <c r="AQ30" s="3562">
        <v>1</v>
      </c>
      <c r="AR30" s="3562"/>
      <c r="AS30" s="3562"/>
      <c r="AT30" s="3562"/>
      <c r="AU30" s="3562"/>
      <c r="AV30" s="3562"/>
      <c r="AW30" s="3562"/>
      <c r="AX30" s="3562"/>
      <c r="AY30" s="3562"/>
      <c r="AZ30" s="3562"/>
      <c r="BA30" s="3562"/>
      <c r="BB30" s="3562"/>
      <c r="BC30" s="3562"/>
      <c r="BD30" s="4116"/>
      <c r="BE30" s="4116"/>
      <c r="BF30" s="3562">
        <f>+AB30+AD30</f>
        <v>1200</v>
      </c>
      <c r="BG30" s="3562">
        <f>+AC30+AE30</f>
        <v>1225</v>
      </c>
      <c r="BH30" s="3562">
        <v>40</v>
      </c>
      <c r="BI30" s="5431">
        <f>+SUM(X30:X35)</f>
        <v>328936185</v>
      </c>
      <c r="BJ30" s="5431">
        <f>+SUM(Y30:Y35)</f>
        <v>191775514</v>
      </c>
      <c r="BK30" s="3550">
        <f>+BI30/S30</f>
        <v>0.93981767142857142</v>
      </c>
      <c r="BL30" s="1367" t="s">
        <v>878</v>
      </c>
      <c r="BM30" s="3562" t="s">
        <v>879</v>
      </c>
      <c r="BN30" s="4395">
        <v>43480</v>
      </c>
      <c r="BO30" s="4395">
        <v>43480</v>
      </c>
      <c r="BP30" s="4395">
        <v>43830</v>
      </c>
      <c r="BQ30" s="4395">
        <v>43830</v>
      </c>
      <c r="BR30" s="5441" t="s">
        <v>880</v>
      </c>
    </row>
    <row r="31" spans="1:70" s="612" customFormat="1" ht="69" customHeight="1" x14ac:dyDescent="0.2">
      <c r="A31" s="1004"/>
      <c r="B31" s="1005"/>
      <c r="C31" s="1006"/>
      <c r="D31" s="1073"/>
      <c r="E31" s="1074"/>
      <c r="F31" s="1074"/>
      <c r="G31" s="1073"/>
      <c r="H31" s="1074"/>
      <c r="I31" s="1074"/>
      <c r="J31" s="3512"/>
      <c r="K31" s="2874"/>
      <c r="L31" s="3585"/>
      <c r="M31" s="3512"/>
      <c r="N31" s="5429"/>
      <c r="O31" s="1070" t="s">
        <v>927</v>
      </c>
      <c r="P31" s="3561"/>
      <c r="Q31" s="3565"/>
      <c r="R31" s="1079">
        <f t="shared" ref="R31:R35" si="2">+W31/$S$30</f>
        <v>0.17142857142857143</v>
      </c>
      <c r="S31" s="3521"/>
      <c r="T31" s="3565"/>
      <c r="U31" s="3565"/>
      <c r="V31" s="3585"/>
      <c r="W31" s="947">
        <v>60000000</v>
      </c>
      <c r="X31" s="1399">
        <v>54766585</v>
      </c>
      <c r="Y31" s="1397">
        <v>28406000</v>
      </c>
      <c r="Z31" s="1075">
        <v>13</v>
      </c>
      <c r="AA31" s="1075" t="s">
        <v>928</v>
      </c>
      <c r="AB31" s="3563"/>
      <c r="AC31" s="3563"/>
      <c r="AD31" s="3563"/>
      <c r="AE31" s="3563"/>
      <c r="AF31" s="3563"/>
      <c r="AG31" s="3563"/>
      <c r="AH31" s="3563"/>
      <c r="AI31" s="3563"/>
      <c r="AJ31" s="3563"/>
      <c r="AK31" s="3563"/>
      <c r="AL31" s="3563"/>
      <c r="AM31" s="3563"/>
      <c r="AN31" s="3563"/>
      <c r="AO31" s="3563"/>
      <c r="AP31" s="3563"/>
      <c r="AQ31" s="3563"/>
      <c r="AR31" s="3563"/>
      <c r="AS31" s="3563"/>
      <c r="AT31" s="3563"/>
      <c r="AU31" s="3563"/>
      <c r="AV31" s="3563"/>
      <c r="AW31" s="3563"/>
      <c r="AX31" s="3563"/>
      <c r="AY31" s="3563"/>
      <c r="AZ31" s="3563"/>
      <c r="BA31" s="3563"/>
      <c r="BB31" s="3563"/>
      <c r="BC31" s="3563"/>
      <c r="BD31" s="4119"/>
      <c r="BE31" s="4119"/>
      <c r="BF31" s="3563"/>
      <c r="BG31" s="3563"/>
      <c r="BH31" s="3563"/>
      <c r="BI31" s="5432"/>
      <c r="BJ31" s="5432"/>
      <c r="BK31" s="3573"/>
      <c r="BL31" s="1075" t="s">
        <v>928</v>
      </c>
      <c r="BM31" s="3563"/>
      <c r="BN31" s="4396"/>
      <c r="BO31" s="4396"/>
      <c r="BP31" s="4396"/>
      <c r="BQ31" s="4396"/>
      <c r="BR31" s="5442"/>
    </row>
    <row r="32" spans="1:70" s="612" customFormat="1" ht="54" customHeight="1" x14ac:dyDescent="0.2">
      <c r="A32" s="1004"/>
      <c r="B32" s="1005"/>
      <c r="C32" s="1006"/>
      <c r="D32" s="1073"/>
      <c r="E32" s="1074"/>
      <c r="F32" s="1074"/>
      <c r="G32" s="1073"/>
      <c r="H32" s="1074"/>
      <c r="I32" s="1074"/>
      <c r="J32" s="3510">
        <v>207</v>
      </c>
      <c r="K32" s="2873" t="s">
        <v>929</v>
      </c>
      <c r="L32" s="3564" t="s">
        <v>930</v>
      </c>
      <c r="M32" s="3510">
        <v>1</v>
      </c>
      <c r="N32" s="3556">
        <v>1</v>
      </c>
      <c r="O32" s="1069" t="s">
        <v>931</v>
      </c>
      <c r="P32" s="3561"/>
      <c r="Q32" s="3565"/>
      <c r="R32" s="1079">
        <f t="shared" si="2"/>
        <v>0.2857142857142857</v>
      </c>
      <c r="S32" s="3521"/>
      <c r="T32" s="3565"/>
      <c r="U32" s="3565"/>
      <c r="V32" s="3564" t="s">
        <v>932</v>
      </c>
      <c r="W32" s="947">
        <v>100000000</v>
      </c>
      <c r="X32" s="1399">
        <v>100000000</v>
      </c>
      <c r="Y32" s="1399">
        <v>49788361</v>
      </c>
      <c r="Z32" s="1075">
        <v>13</v>
      </c>
      <c r="AA32" s="1075" t="s">
        <v>928</v>
      </c>
      <c r="AB32" s="3563"/>
      <c r="AC32" s="3563"/>
      <c r="AD32" s="3563"/>
      <c r="AE32" s="3563"/>
      <c r="AF32" s="3563"/>
      <c r="AG32" s="3563"/>
      <c r="AH32" s="3563"/>
      <c r="AI32" s="3563"/>
      <c r="AJ32" s="3563"/>
      <c r="AK32" s="3563"/>
      <c r="AL32" s="3563"/>
      <c r="AM32" s="3563"/>
      <c r="AN32" s="3563"/>
      <c r="AO32" s="3563"/>
      <c r="AP32" s="3563"/>
      <c r="AQ32" s="3563"/>
      <c r="AR32" s="3563"/>
      <c r="AS32" s="3563"/>
      <c r="AT32" s="3563"/>
      <c r="AU32" s="3563"/>
      <c r="AV32" s="3563"/>
      <c r="AW32" s="3563"/>
      <c r="AX32" s="3563"/>
      <c r="AY32" s="3563"/>
      <c r="AZ32" s="3563"/>
      <c r="BA32" s="3563"/>
      <c r="BB32" s="3563"/>
      <c r="BC32" s="3563"/>
      <c r="BD32" s="4119"/>
      <c r="BE32" s="4119"/>
      <c r="BF32" s="3563"/>
      <c r="BG32" s="3563"/>
      <c r="BH32" s="3563"/>
      <c r="BI32" s="5432"/>
      <c r="BJ32" s="5432"/>
      <c r="BK32" s="3573"/>
      <c r="BL32" s="1075" t="s">
        <v>928</v>
      </c>
      <c r="BM32" s="3563"/>
      <c r="BN32" s="4396"/>
      <c r="BO32" s="4396"/>
      <c r="BP32" s="4396"/>
      <c r="BQ32" s="4396"/>
      <c r="BR32" s="5442"/>
    </row>
    <row r="33" spans="1:70" s="612" customFormat="1" ht="33" customHeight="1" x14ac:dyDescent="0.2">
      <c r="A33" s="1004"/>
      <c r="B33" s="1005"/>
      <c r="C33" s="1006"/>
      <c r="D33" s="1073"/>
      <c r="E33" s="1074"/>
      <c r="F33" s="1074"/>
      <c r="G33" s="1073"/>
      <c r="H33" s="1074"/>
      <c r="I33" s="1074"/>
      <c r="J33" s="3512"/>
      <c r="K33" s="2874"/>
      <c r="L33" s="3585"/>
      <c r="M33" s="3512"/>
      <c r="N33" s="5429"/>
      <c r="O33" s="1070" t="s">
        <v>933</v>
      </c>
      <c r="P33" s="3561"/>
      <c r="Q33" s="3565"/>
      <c r="R33" s="1079">
        <f t="shared" si="2"/>
        <v>0.22857142857142856</v>
      </c>
      <c r="S33" s="3521"/>
      <c r="T33" s="3565"/>
      <c r="U33" s="3565" t="s">
        <v>896</v>
      </c>
      <c r="V33" s="3585"/>
      <c r="W33" s="947">
        <v>80000000</v>
      </c>
      <c r="X33" s="1399">
        <v>80000000</v>
      </c>
      <c r="Y33" s="1399">
        <v>73354000</v>
      </c>
      <c r="Z33" s="1075">
        <v>12</v>
      </c>
      <c r="AA33" s="1075" t="s">
        <v>878</v>
      </c>
      <c r="AB33" s="3563"/>
      <c r="AC33" s="3563"/>
      <c r="AD33" s="3563"/>
      <c r="AE33" s="3563"/>
      <c r="AF33" s="3563"/>
      <c r="AG33" s="3563"/>
      <c r="AH33" s="3563"/>
      <c r="AI33" s="3563"/>
      <c r="AJ33" s="3563"/>
      <c r="AK33" s="3563"/>
      <c r="AL33" s="3563"/>
      <c r="AM33" s="3563"/>
      <c r="AN33" s="3563"/>
      <c r="AO33" s="3563"/>
      <c r="AP33" s="3563"/>
      <c r="AQ33" s="3563"/>
      <c r="AR33" s="3563"/>
      <c r="AS33" s="3563"/>
      <c r="AT33" s="3563"/>
      <c r="AU33" s="3563"/>
      <c r="AV33" s="3563"/>
      <c r="AW33" s="3563"/>
      <c r="AX33" s="3563"/>
      <c r="AY33" s="3563"/>
      <c r="AZ33" s="3563"/>
      <c r="BA33" s="3563"/>
      <c r="BB33" s="3563"/>
      <c r="BC33" s="3563"/>
      <c r="BD33" s="4119"/>
      <c r="BE33" s="4119"/>
      <c r="BF33" s="3563"/>
      <c r="BG33" s="3563"/>
      <c r="BH33" s="3563"/>
      <c r="BI33" s="5432"/>
      <c r="BJ33" s="5432"/>
      <c r="BK33" s="3573"/>
      <c r="BL33" s="1075" t="s">
        <v>878</v>
      </c>
      <c r="BM33" s="3563"/>
      <c r="BN33" s="4396"/>
      <c r="BO33" s="4396"/>
      <c r="BP33" s="4396"/>
      <c r="BQ33" s="4396"/>
      <c r="BR33" s="5442"/>
    </row>
    <row r="34" spans="1:70" s="612" customFormat="1" ht="38.25" customHeight="1" x14ac:dyDescent="0.2">
      <c r="A34" s="1004"/>
      <c r="B34" s="1005"/>
      <c r="C34" s="1006"/>
      <c r="D34" s="1073"/>
      <c r="E34" s="1074"/>
      <c r="F34" s="1074"/>
      <c r="G34" s="1073"/>
      <c r="H34" s="1074"/>
      <c r="I34" s="1074"/>
      <c r="J34" s="3504">
        <v>208</v>
      </c>
      <c r="K34" s="3525" t="s">
        <v>934</v>
      </c>
      <c r="L34" s="3525" t="s">
        <v>935</v>
      </c>
      <c r="M34" s="3504">
        <v>1</v>
      </c>
      <c r="N34" s="3583">
        <v>1</v>
      </c>
      <c r="O34" s="1069" t="s">
        <v>936</v>
      </c>
      <c r="P34" s="3561"/>
      <c r="Q34" s="3565"/>
      <c r="R34" s="1079">
        <f t="shared" si="2"/>
        <v>8.5714285714285715E-2</v>
      </c>
      <c r="S34" s="3521"/>
      <c r="T34" s="3565"/>
      <c r="U34" s="3565" t="s">
        <v>896</v>
      </c>
      <c r="V34" s="3505" t="s">
        <v>937</v>
      </c>
      <c r="W34" s="947">
        <v>30000000</v>
      </c>
      <c r="X34" s="681">
        <v>30000000</v>
      </c>
      <c r="Y34" s="1397">
        <v>18500053</v>
      </c>
      <c r="Z34" s="1078">
        <v>4</v>
      </c>
      <c r="AA34" s="1075" t="s">
        <v>890</v>
      </c>
      <c r="AB34" s="3563"/>
      <c r="AC34" s="3563"/>
      <c r="AD34" s="3563"/>
      <c r="AE34" s="3563"/>
      <c r="AF34" s="3563"/>
      <c r="AG34" s="3563"/>
      <c r="AH34" s="3563"/>
      <c r="AI34" s="3563"/>
      <c r="AJ34" s="3563"/>
      <c r="AK34" s="3563"/>
      <c r="AL34" s="3563"/>
      <c r="AM34" s="3563"/>
      <c r="AN34" s="3563"/>
      <c r="AO34" s="3563"/>
      <c r="AP34" s="3563"/>
      <c r="AQ34" s="3563"/>
      <c r="AR34" s="3563"/>
      <c r="AS34" s="3563"/>
      <c r="AT34" s="3563"/>
      <c r="AU34" s="3563"/>
      <c r="AV34" s="3563"/>
      <c r="AW34" s="3563"/>
      <c r="AX34" s="3563"/>
      <c r="AY34" s="3563"/>
      <c r="AZ34" s="3563"/>
      <c r="BA34" s="3563"/>
      <c r="BB34" s="3563"/>
      <c r="BC34" s="3563"/>
      <c r="BD34" s="4119"/>
      <c r="BE34" s="4119"/>
      <c r="BF34" s="3563"/>
      <c r="BG34" s="3563"/>
      <c r="BH34" s="3563"/>
      <c r="BI34" s="5432"/>
      <c r="BJ34" s="5432"/>
      <c r="BK34" s="3573"/>
      <c r="BL34" s="1075" t="s">
        <v>890</v>
      </c>
      <c r="BM34" s="3563"/>
      <c r="BN34" s="4396"/>
      <c r="BO34" s="4396"/>
      <c r="BP34" s="4396"/>
      <c r="BQ34" s="4396"/>
      <c r="BR34" s="5442"/>
    </row>
    <row r="35" spans="1:70" s="612" customFormat="1" ht="37.5" customHeight="1" x14ac:dyDescent="0.2">
      <c r="A35" s="1004"/>
      <c r="B35" s="1005"/>
      <c r="C35" s="1006"/>
      <c r="D35" s="1073"/>
      <c r="E35" s="1074"/>
      <c r="F35" s="1074"/>
      <c r="G35" s="1073"/>
      <c r="H35" s="1074"/>
      <c r="I35" s="1074"/>
      <c r="J35" s="3504"/>
      <c r="K35" s="3525"/>
      <c r="L35" s="3525"/>
      <c r="M35" s="3504"/>
      <c r="N35" s="3583"/>
      <c r="O35" s="1071" t="s">
        <v>938</v>
      </c>
      <c r="P35" s="3561"/>
      <c r="Q35" s="3565"/>
      <c r="R35" s="1079">
        <f t="shared" si="2"/>
        <v>7.1428571428571425E-2</v>
      </c>
      <c r="S35" s="3521"/>
      <c r="T35" s="3565"/>
      <c r="U35" s="3565"/>
      <c r="V35" s="3505"/>
      <c r="W35" s="947">
        <v>25000000</v>
      </c>
      <c r="X35" s="681">
        <v>25000000</v>
      </c>
      <c r="Y35" s="1397">
        <v>5400000</v>
      </c>
      <c r="Z35" s="1078">
        <v>12</v>
      </c>
      <c r="AA35" s="1075" t="s">
        <v>878</v>
      </c>
      <c r="AB35" s="3563"/>
      <c r="AC35" s="3563"/>
      <c r="AD35" s="3563"/>
      <c r="AE35" s="3563"/>
      <c r="AF35" s="3563"/>
      <c r="AG35" s="3563"/>
      <c r="AH35" s="3563"/>
      <c r="AI35" s="3563"/>
      <c r="AJ35" s="3563"/>
      <c r="AK35" s="3563"/>
      <c r="AL35" s="3563"/>
      <c r="AM35" s="3563"/>
      <c r="AN35" s="3563"/>
      <c r="AO35" s="3563"/>
      <c r="AP35" s="3563"/>
      <c r="AQ35" s="3563"/>
      <c r="AR35" s="3563"/>
      <c r="AS35" s="3563"/>
      <c r="AT35" s="3563"/>
      <c r="AU35" s="3563"/>
      <c r="AV35" s="3563"/>
      <c r="AW35" s="3563"/>
      <c r="AX35" s="3563"/>
      <c r="AY35" s="3563"/>
      <c r="AZ35" s="3563"/>
      <c r="BA35" s="3563"/>
      <c r="BB35" s="3563"/>
      <c r="BC35" s="3563"/>
      <c r="BD35" s="4119"/>
      <c r="BE35" s="4119"/>
      <c r="BF35" s="3563"/>
      <c r="BG35" s="3563"/>
      <c r="BH35" s="3563"/>
      <c r="BI35" s="5432"/>
      <c r="BJ35" s="5432"/>
      <c r="BK35" s="3573"/>
      <c r="BL35" s="1075" t="s">
        <v>878</v>
      </c>
      <c r="BM35" s="3563"/>
      <c r="BN35" s="4396"/>
      <c r="BO35" s="4396"/>
      <c r="BP35" s="4396"/>
      <c r="BQ35" s="4396"/>
      <c r="BR35" s="5442"/>
    </row>
    <row r="36" spans="1:70" s="612" customFormat="1" ht="20.25" customHeight="1" x14ac:dyDescent="0.2">
      <c r="A36" s="1322"/>
      <c r="B36" s="1323"/>
      <c r="C36" s="1324"/>
      <c r="D36" s="1325">
        <v>21</v>
      </c>
      <c r="E36" s="1326" t="s">
        <v>939</v>
      </c>
      <c r="F36" s="1326"/>
      <c r="G36" s="1326"/>
      <c r="H36" s="1326"/>
      <c r="I36" s="1326"/>
      <c r="J36" s="1326"/>
      <c r="K36" s="1327"/>
      <c r="L36" s="1327"/>
      <c r="M36" s="1326"/>
      <c r="N36" s="1326"/>
      <c r="O36" s="1328"/>
      <c r="P36" s="1328"/>
      <c r="Q36" s="1327"/>
      <c r="R36" s="1329"/>
      <c r="S36" s="1393"/>
      <c r="T36" s="1327" t="s">
        <v>896</v>
      </c>
      <c r="U36" s="1327" t="s">
        <v>896</v>
      </c>
      <c r="V36" s="1327"/>
      <c r="W36" s="1393"/>
      <c r="X36" s="1393"/>
      <c r="Y36" s="1393"/>
      <c r="Z36" s="1332"/>
      <c r="AA36" s="1328"/>
      <c r="AB36" s="1326"/>
      <c r="AC36" s="1326"/>
      <c r="AD36" s="1326"/>
      <c r="AE36" s="1326"/>
      <c r="AF36" s="1326"/>
      <c r="AG36" s="1326"/>
      <c r="AH36" s="1326"/>
      <c r="AI36" s="1326"/>
      <c r="AJ36" s="1326"/>
      <c r="AK36" s="1326"/>
      <c r="AL36" s="1326"/>
      <c r="AM36" s="1326"/>
      <c r="AN36" s="1326"/>
      <c r="AO36" s="1326"/>
      <c r="AP36" s="1326"/>
      <c r="AQ36" s="1326"/>
      <c r="AR36" s="1326"/>
      <c r="AS36" s="1326"/>
      <c r="AT36" s="1326"/>
      <c r="AU36" s="1326"/>
      <c r="AV36" s="1326"/>
      <c r="AW36" s="1326"/>
      <c r="AX36" s="1326"/>
      <c r="AY36" s="1326"/>
      <c r="AZ36" s="1326"/>
      <c r="BA36" s="1326"/>
      <c r="BB36" s="1326"/>
      <c r="BC36" s="1326"/>
      <c r="BD36" s="1326"/>
      <c r="BE36" s="1326"/>
      <c r="BF36" s="1326"/>
      <c r="BG36" s="1326"/>
      <c r="BH36" s="1333"/>
      <c r="BI36" s="1415"/>
      <c r="BJ36" s="1415"/>
      <c r="BK36" s="1335"/>
      <c r="BL36" s="1328"/>
      <c r="BM36" s="1333"/>
      <c r="BN36" s="1337"/>
      <c r="BO36" s="1337"/>
      <c r="BP36" s="1337"/>
      <c r="BQ36" s="1337"/>
      <c r="BR36" s="1338"/>
    </row>
    <row r="37" spans="1:70" s="612" customFormat="1" ht="23.25" customHeight="1" x14ac:dyDescent="0.2">
      <c r="A37" s="1004"/>
      <c r="B37" s="1005"/>
      <c r="C37" s="1006"/>
      <c r="D37" s="1073"/>
      <c r="E37" s="1074"/>
      <c r="F37" s="1074"/>
      <c r="G37" s="1339">
        <v>72</v>
      </c>
      <c r="H37" s="1340" t="s">
        <v>940</v>
      </c>
      <c r="I37" s="1340"/>
      <c r="J37" s="1340"/>
      <c r="K37" s="1341"/>
      <c r="L37" s="1341"/>
      <c r="M37" s="1340"/>
      <c r="N37" s="1340"/>
      <c r="O37" s="1342"/>
      <c r="P37" s="1343"/>
      <c r="Q37" s="1341"/>
      <c r="R37" s="1344"/>
      <c r="S37" s="1392"/>
      <c r="T37" s="1341" t="s">
        <v>896</v>
      </c>
      <c r="U37" s="1341" t="s">
        <v>896</v>
      </c>
      <c r="V37" s="1341"/>
      <c r="W37" s="1392"/>
      <c r="X37" s="1392"/>
      <c r="Y37" s="1392"/>
      <c r="Z37" s="1347"/>
      <c r="AA37" s="1343"/>
      <c r="AB37" s="1362"/>
      <c r="AC37" s="1362"/>
      <c r="AD37" s="1362"/>
      <c r="AE37" s="1362"/>
      <c r="AF37" s="1362"/>
      <c r="AG37" s="1362"/>
      <c r="AH37" s="1362"/>
      <c r="AI37" s="1362"/>
      <c r="AJ37" s="1362"/>
      <c r="AK37" s="1362"/>
      <c r="AL37" s="1362"/>
      <c r="AM37" s="1362"/>
      <c r="AN37" s="1362"/>
      <c r="AO37" s="1362"/>
      <c r="AP37" s="1362"/>
      <c r="AQ37" s="1362"/>
      <c r="AR37" s="1362"/>
      <c r="AS37" s="1362"/>
      <c r="AT37" s="1362"/>
      <c r="AU37" s="1362"/>
      <c r="AV37" s="1362"/>
      <c r="AW37" s="1362"/>
      <c r="AX37" s="1362"/>
      <c r="AY37" s="1362"/>
      <c r="AZ37" s="1362"/>
      <c r="BA37" s="1362"/>
      <c r="BB37" s="1362"/>
      <c r="BC37" s="1362"/>
      <c r="BD37" s="1362"/>
      <c r="BE37" s="1362"/>
      <c r="BF37" s="1362"/>
      <c r="BG37" s="1362"/>
      <c r="BH37" s="1362"/>
      <c r="BI37" s="1414"/>
      <c r="BJ37" s="1414"/>
      <c r="BK37" s="1361"/>
      <c r="BL37" s="1343"/>
      <c r="BM37" s="1362"/>
      <c r="BN37" s="1352"/>
      <c r="BO37" s="1352"/>
      <c r="BP37" s="1352"/>
      <c r="BQ37" s="1352"/>
      <c r="BR37" s="1363"/>
    </row>
    <row r="38" spans="1:70" s="612" customFormat="1" ht="37.5" customHeight="1" x14ac:dyDescent="0.2">
      <c r="A38" s="1004"/>
      <c r="B38" s="1005"/>
      <c r="C38" s="1006"/>
      <c r="D38" s="1073"/>
      <c r="E38" s="1074"/>
      <c r="F38" s="1074"/>
      <c r="G38" s="1073"/>
      <c r="H38" s="1074"/>
      <c r="I38" s="1074"/>
      <c r="J38" s="3504">
        <v>209</v>
      </c>
      <c r="K38" s="2873" t="s">
        <v>941</v>
      </c>
      <c r="L38" s="2873" t="s">
        <v>942</v>
      </c>
      <c r="M38" s="3510">
        <v>1</v>
      </c>
      <c r="N38" s="3556">
        <v>1</v>
      </c>
      <c r="O38" s="1069" t="s">
        <v>943</v>
      </c>
      <c r="P38" s="3558" t="s">
        <v>944</v>
      </c>
      <c r="Q38" s="3564" t="s">
        <v>945</v>
      </c>
      <c r="R38" s="1079">
        <f>+W38/$S$38</f>
        <v>0.1019261807761284</v>
      </c>
      <c r="S38" s="3513">
        <f>+SUM(W38:W48)</f>
        <v>294330659.42000002</v>
      </c>
      <c r="T38" s="3564" t="s">
        <v>946</v>
      </c>
      <c r="U38" s="3564" t="s">
        <v>947</v>
      </c>
      <c r="V38" s="3564" t="s">
        <v>948</v>
      </c>
      <c r="W38" s="1395">
        <v>30000000</v>
      </c>
      <c r="X38" s="681">
        <v>23612000</v>
      </c>
      <c r="Y38" s="1397">
        <v>20112000</v>
      </c>
      <c r="Z38" s="1354">
        <v>3</v>
      </c>
      <c r="AA38" s="1071" t="s">
        <v>884</v>
      </c>
      <c r="AB38" s="3562">
        <v>1666</v>
      </c>
      <c r="AC38" s="3562">
        <v>3694</v>
      </c>
      <c r="AD38" s="3562">
        <v>1507</v>
      </c>
      <c r="AE38" s="3562">
        <v>5540</v>
      </c>
      <c r="AF38" s="3562">
        <v>1400</v>
      </c>
      <c r="AG38" s="3562">
        <v>4202</v>
      </c>
      <c r="AH38" s="3562">
        <v>350</v>
      </c>
      <c r="AI38" s="3562">
        <v>510</v>
      </c>
      <c r="AJ38" s="3562">
        <v>450</v>
      </c>
      <c r="AK38" s="3562">
        <v>571</v>
      </c>
      <c r="AL38" s="3562">
        <v>973</v>
      </c>
      <c r="AM38" s="3562">
        <v>3575</v>
      </c>
      <c r="AN38" s="3562"/>
      <c r="AO38" s="3562"/>
      <c r="AP38" s="3562"/>
      <c r="AQ38" s="3562"/>
      <c r="AR38" s="3562"/>
      <c r="AS38" s="3562"/>
      <c r="AT38" s="3562"/>
      <c r="AU38" s="3562"/>
      <c r="AV38" s="3562"/>
      <c r="AW38" s="3562"/>
      <c r="AX38" s="3562"/>
      <c r="AY38" s="3562"/>
      <c r="AZ38" s="3562"/>
      <c r="BA38" s="3562"/>
      <c r="BB38" s="3562"/>
      <c r="BC38" s="3562"/>
      <c r="BD38" s="4116"/>
      <c r="BE38" s="4116"/>
      <c r="BF38" s="3562">
        <f>+AB38+AD38</f>
        <v>3173</v>
      </c>
      <c r="BG38" s="3562">
        <f>+AC38+AE38</f>
        <v>9234</v>
      </c>
      <c r="BH38" s="3562">
        <v>27</v>
      </c>
      <c r="BI38" s="5431">
        <f>+SUM(X38:X48)</f>
        <v>253540949</v>
      </c>
      <c r="BJ38" s="5431">
        <f>+SUM(Y38:Y48)</f>
        <v>121182996</v>
      </c>
      <c r="BK38" s="3550">
        <f>+BI38/S38</f>
        <v>0.86141535339750497</v>
      </c>
      <c r="BL38" s="1071" t="s">
        <v>884</v>
      </c>
      <c r="BM38" s="3562" t="s">
        <v>949</v>
      </c>
      <c r="BN38" s="4395">
        <v>43480</v>
      </c>
      <c r="BO38" s="4395">
        <v>43480</v>
      </c>
      <c r="BP38" s="4395">
        <v>43830</v>
      </c>
      <c r="BQ38" s="4395">
        <v>43830</v>
      </c>
      <c r="BR38" s="5441" t="s">
        <v>880</v>
      </c>
    </row>
    <row r="39" spans="1:70" s="612" customFormat="1" ht="36" customHeight="1" x14ac:dyDescent="0.2">
      <c r="A39" s="1004"/>
      <c r="B39" s="1005"/>
      <c r="C39" s="1006"/>
      <c r="D39" s="1073"/>
      <c r="E39" s="1074"/>
      <c r="F39" s="1074"/>
      <c r="G39" s="1073"/>
      <c r="H39" s="1074"/>
      <c r="I39" s="1074"/>
      <c r="J39" s="3504"/>
      <c r="K39" s="3584"/>
      <c r="L39" s="3584"/>
      <c r="M39" s="3511"/>
      <c r="N39" s="3559"/>
      <c r="O39" s="1070" t="s">
        <v>950</v>
      </c>
      <c r="P39" s="3561"/>
      <c r="Q39" s="3565"/>
      <c r="R39" s="1079">
        <f>+W39/$S$38</f>
        <v>0.13861960585553462</v>
      </c>
      <c r="S39" s="3514"/>
      <c r="T39" s="3565"/>
      <c r="U39" s="3565"/>
      <c r="V39" s="3565"/>
      <c r="W39" s="1395">
        <v>40800000</v>
      </c>
      <c r="X39" s="681">
        <v>37000000</v>
      </c>
      <c r="Y39" s="681">
        <v>16200000</v>
      </c>
      <c r="Z39" s="1354">
        <v>7</v>
      </c>
      <c r="AA39" s="1071" t="s">
        <v>914</v>
      </c>
      <c r="AB39" s="3563"/>
      <c r="AC39" s="3563"/>
      <c r="AD39" s="3563"/>
      <c r="AE39" s="3563"/>
      <c r="AF39" s="3563"/>
      <c r="AG39" s="3563"/>
      <c r="AH39" s="3563"/>
      <c r="AI39" s="3563"/>
      <c r="AJ39" s="3563"/>
      <c r="AK39" s="3563"/>
      <c r="AL39" s="3563"/>
      <c r="AM39" s="3563"/>
      <c r="AN39" s="3563"/>
      <c r="AO39" s="3563"/>
      <c r="AP39" s="3563"/>
      <c r="AQ39" s="3563"/>
      <c r="AR39" s="3563"/>
      <c r="AS39" s="3563"/>
      <c r="AT39" s="3563"/>
      <c r="AU39" s="3563"/>
      <c r="AV39" s="3563"/>
      <c r="AW39" s="3563"/>
      <c r="AX39" s="3563"/>
      <c r="AY39" s="3563"/>
      <c r="AZ39" s="3563"/>
      <c r="BA39" s="3563"/>
      <c r="BB39" s="3563"/>
      <c r="BC39" s="3563"/>
      <c r="BD39" s="4119"/>
      <c r="BE39" s="4119"/>
      <c r="BF39" s="3563"/>
      <c r="BG39" s="3563"/>
      <c r="BH39" s="3563"/>
      <c r="BI39" s="5432"/>
      <c r="BJ39" s="5432"/>
      <c r="BK39" s="3573"/>
      <c r="BL39" s="1071" t="s">
        <v>914</v>
      </c>
      <c r="BM39" s="3563"/>
      <c r="BN39" s="4396"/>
      <c r="BO39" s="4396"/>
      <c r="BP39" s="4396"/>
      <c r="BQ39" s="4396"/>
      <c r="BR39" s="5442"/>
    </row>
    <row r="40" spans="1:70" s="612" customFormat="1" ht="36" customHeight="1" x14ac:dyDescent="0.2">
      <c r="A40" s="1004"/>
      <c r="B40" s="1005"/>
      <c r="C40" s="1006"/>
      <c r="D40" s="1073"/>
      <c r="E40" s="1074"/>
      <c r="F40" s="1074"/>
      <c r="G40" s="1073"/>
      <c r="H40" s="1074"/>
      <c r="I40" s="1074"/>
      <c r="J40" s="3504"/>
      <c r="K40" s="3584"/>
      <c r="L40" s="3584"/>
      <c r="M40" s="3511"/>
      <c r="N40" s="3559"/>
      <c r="O40" s="1368" t="s">
        <v>951</v>
      </c>
      <c r="P40" s="3561"/>
      <c r="Q40" s="3565"/>
      <c r="R40" s="1079">
        <f t="shared" ref="R40:R48" si="3">+W40/$S$38</f>
        <v>6.7950787184085593E-2</v>
      </c>
      <c r="S40" s="3514"/>
      <c r="T40" s="3565"/>
      <c r="U40" s="3565"/>
      <c r="V40" s="3565"/>
      <c r="W40" s="1402">
        <v>20000000</v>
      </c>
      <c r="X40" s="681">
        <v>19083333</v>
      </c>
      <c r="Y40" s="681">
        <v>16950000</v>
      </c>
      <c r="Z40" s="1354">
        <v>3</v>
      </c>
      <c r="AA40" s="1068" t="s">
        <v>884</v>
      </c>
      <c r="AB40" s="3563"/>
      <c r="AC40" s="3563"/>
      <c r="AD40" s="3563"/>
      <c r="AE40" s="3563"/>
      <c r="AF40" s="3563"/>
      <c r="AG40" s="3563"/>
      <c r="AH40" s="3563"/>
      <c r="AI40" s="3563"/>
      <c r="AJ40" s="3563"/>
      <c r="AK40" s="3563"/>
      <c r="AL40" s="3563"/>
      <c r="AM40" s="3563"/>
      <c r="AN40" s="3563"/>
      <c r="AO40" s="3563"/>
      <c r="AP40" s="3563"/>
      <c r="AQ40" s="3563"/>
      <c r="AR40" s="3563"/>
      <c r="AS40" s="3563"/>
      <c r="AT40" s="3563"/>
      <c r="AU40" s="3563"/>
      <c r="AV40" s="3563"/>
      <c r="AW40" s="3563"/>
      <c r="AX40" s="3563"/>
      <c r="AY40" s="3563"/>
      <c r="AZ40" s="3563"/>
      <c r="BA40" s="3563"/>
      <c r="BB40" s="3563"/>
      <c r="BC40" s="3563"/>
      <c r="BD40" s="4119"/>
      <c r="BE40" s="4119"/>
      <c r="BF40" s="3563"/>
      <c r="BG40" s="3563"/>
      <c r="BH40" s="3563"/>
      <c r="BI40" s="5432"/>
      <c r="BJ40" s="5432"/>
      <c r="BK40" s="3573"/>
      <c r="BL40" s="1068" t="s">
        <v>952</v>
      </c>
      <c r="BM40" s="3563"/>
      <c r="BN40" s="4396"/>
      <c r="BO40" s="4396"/>
      <c r="BP40" s="4396"/>
      <c r="BQ40" s="4396"/>
      <c r="BR40" s="5442"/>
    </row>
    <row r="41" spans="1:70" s="612" customFormat="1" ht="39" customHeight="1" x14ac:dyDescent="0.2">
      <c r="A41" s="1004"/>
      <c r="B41" s="1005"/>
      <c r="C41" s="1006"/>
      <c r="D41" s="1073"/>
      <c r="E41" s="1074"/>
      <c r="F41" s="1074"/>
      <c r="G41" s="1073"/>
      <c r="H41" s="1074"/>
      <c r="I41" s="1074"/>
      <c r="J41" s="3510">
        <v>210</v>
      </c>
      <c r="K41" s="2873" t="s">
        <v>953</v>
      </c>
      <c r="L41" s="2873" t="s">
        <v>954</v>
      </c>
      <c r="M41" s="3510">
        <v>1</v>
      </c>
      <c r="N41" s="3556">
        <v>1</v>
      </c>
      <c r="O41" s="1069" t="s">
        <v>955</v>
      </c>
      <c r="P41" s="3561"/>
      <c r="Q41" s="3565"/>
      <c r="R41" s="1079">
        <f t="shared" si="3"/>
        <v>3.0577854232838517E-2</v>
      </c>
      <c r="S41" s="3514"/>
      <c r="T41" s="3565"/>
      <c r="U41" s="3565"/>
      <c r="V41" s="3564" t="s">
        <v>956</v>
      </c>
      <c r="W41" s="1395">
        <v>9000000</v>
      </c>
      <c r="X41" s="681">
        <v>8009100</v>
      </c>
      <c r="Y41" s="681">
        <v>5604000</v>
      </c>
      <c r="Z41" s="1354">
        <v>4</v>
      </c>
      <c r="AA41" s="1071" t="s">
        <v>890</v>
      </c>
      <c r="AB41" s="3563"/>
      <c r="AC41" s="3563"/>
      <c r="AD41" s="3563"/>
      <c r="AE41" s="3563"/>
      <c r="AF41" s="3563"/>
      <c r="AG41" s="3563"/>
      <c r="AH41" s="3563"/>
      <c r="AI41" s="3563"/>
      <c r="AJ41" s="3563"/>
      <c r="AK41" s="3563"/>
      <c r="AL41" s="3563"/>
      <c r="AM41" s="3563"/>
      <c r="AN41" s="3563"/>
      <c r="AO41" s="3563"/>
      <c r="AP41" s="3563"/>
      <c r="AQ41" s="3563"/>
      <c r="AR41" s="3563"/>
      <c r="AS41" s="3563"/>
      <c r="AT41" s="3563"/>
      <c r="AU41" s="3563"/>
      <c r="AV41" s="3563"/>
      <c r="AW41" s="3563"/>
      <c r="AX41" s="3563"/>
      <c r="AY41" s="3563"/>
      <c r="AZ41" s="3563"/>
      <c r="BA41" s="3563"/>
      <c r="BB41" s="3563"/>
      <c r="BC41" s="3563"/>
      <c r="BD41" s="4119"/>
      <c r="BE41" s="4119"/>
      <c r="BF41" s="3563"/>
      <c r="BG41" s="3563"/>
      <c r="BH41" s="3563"/>
      <c r="BI41" s="5432"/>
      <c r="BJ41" s="5432"/>
      <c r="BK41" s="3573"/>
      <c r="BL41" s="1071" t="s">
        <v>890</v>
      </c>
      <c r="BM41" s="3563"/>
      <c r="BN41" s="4396"/>
      <c r="BO41" s="4396"/>
      <c r="BP41" s="4396"/>
      <c r="BQ41" s="4396"/>
      <c r="BR41" s="5442"/>
    </row>
    <row r="42" spans="1:70" s="612" customFormat="1" ht="31.5" customHeight="1" x14ac:dyDescent="0.2">
      <c r="A42" s="1004"/>
      <c r="B42" s="1005"/>
      <c r="C42" s="1006"/>
      <c r="D42" s="1073"/>
      <c r="E42" s="1074"/>
      <c r="F42" s="1074"/>
      <c r="G42" s="1073"/>
      <c r="H42" s="1074"/>
      <c r="I42" s="1074"/>
      <c r="J42" s="3511"/>
      <c r="K42" s="3584"/>
      <c r="L42" s="3584"/>
      <c r="M42" s="3511"/>
      <c r="N42" s="3559"/>
      <c r="O42" s="1070" t="s">
        <v>957</v>
      </c>
      <c r="P42" s="3561"/>
      <c r="Q42" s="3565"/>
      <c r="R42" s="1079">
        <f t="shared" si="3"/>
        <v>8.4938483980106991E-2</v>
      </c>
      <c r="S42" s="3514"/>
      <c r="T42" s="3565"/>
      <c r="U42" s="3565"/>
      <c r="V42" s="3565"/>
      <c r="W42" s="1395">
        <v>25000000</v>
      </c>
      <c r="X42" s="681">
        <v>10406000</v>
      </c>
      <c r="Y42" s="681">
        <v>10406000</v>
      </c>
      <c r="Z42" s="1354">
        <v>3</v>
      </c>
      <c r="AA42" s="1071" t="s">
        <v>884</v>
      </c>
      <c r="AB42" s="3563"/>
      <c r="AC42" s="3563"/>
      <c r="AD42" s="3563"/>
      <c r="AE42" s="3563"/>
      <c r="AF42" s="3563"/>
      <c r="AG42" s="3563"/>
      <c r="AH42" s="3563"/>
      <c r="AI42" s="3563"/>
      <c r="AJ42" s="3563"/>
      <c r="AK42" s="3563"/>
      <c r="AL42" s="3563"/>
      <c r="AM42" s="3563"/>
      <c r="AN42" s="3563"/>
      <c r="AO42" s="3563"/>
      <c r="AP42" s="3563"/>
      <c r="AQ42" s="3563"/>
      <c r="AR42" s="3563"/>
      <c r="AS42" s="3563"/>
      <c r="AT42" s="3563"/>
      <c r="AU42" s="3563"/>
      <c r="AV42" s="3563"/>
      <c r="AW42" s="3563"/>
      <c r="AX42" s="3563"/>
      <c r="AY42" s="3563"/>
      <c r="AZ42" s="3563"/>
      <c r="BA42" s="3563"/>
      <c r="BB42" s="3563"/>
      <c r="BC42" s="3563"/>
      <c r="BD42" s="4119"/>
      <c r="BE42" s="4119"/>
      <c r="BF42" s="3563"/>
      <c r="BG42" s="3563"/>
      <c r="BH42" s="3563"/>
      <c r="BI42" s="5432"/>
      <c r="BJ42" s="5432"/>
      <c r="BK42" s="3573"/>
      <c r="BL42" s="1071" t="s">
        <v>884</v>
      </c>
      <c r="BM42" s="3563"/>
      <c r="BN42" s="4396"/>
      <c r="BO42" s="4396"/>
      <c r="BP42" s="4396"/>
      <c r="BQ42" s="4396"/>
      <c r="BR42" s="5442"/>
    </row>
    <row r="43" spans="1:70" s="612" customFormat="1" ht="31.5" customHeight="1" x14ac:dyDescent="0.2">
      <c r="A43" s="1004"/>
      <c r="B43" s="1005"/>
      <c r="C43" s="1006"/>
      <c r="D43" s="1073"/>
      <c r="E43" s="1074"/>
      <c r="F43" s="1074"/>
      <c r="G43" s="1073"/>
      <c r="H43" s="1074"/>
      <c r="I43" s="1074"/>
      <c r="J43" s="3511"/>
      <c r="K43" s="3584"/>
      <c r="L43" s="3584"/>
      <c r="M43" s="3511"/>
      <c r="N43" s="3559"/>
      <c r="O43" s="1070" t="s">
        <v>958</v>
      </c>
      <c r="P43" s="3561"/>
      <c r="Q43" s="3565"/>
      <c r="R43" s="1079">
        <f t="shared" si="3"/>
        <v>0.11755486182846808</v>
      </c>
      <c r="S43" s="3514"/>
      <c r="T43" s="3565"/>
      <c r="U43" s="3565"/>
      <c r="V43" s="3565"/>
      <c r="W43" s="1395">
        <v>34600000</v>
      </c>
      <c r="X43" s="681">
        <v>34600000</v>
      </c>
      <c r="Y43" s="681">
        <v>15400000</v>
      </c>
      <c r="Z43" s="1354">
        <v>7</v>
      </c>
      <c r="AA43" s="1071" t="s">
        <v>914</v>
      </c>
      <c r="AB43" s="3563"/>
      <c r="AC43" s="3563"/>
      <c r="AD43" s="3563"/>
      <c r="AE43" s="3563"/>
      <c r="AF43" s="3563"/>
      <c r="AG43" s="3563"/>
      <c r="AH43" s="3563"/>
      <c r="AI43" s="3563"/>
      <c r="AJ43" s="3563"/>
      <c r="AK43" s="3563"/>
      <c r="AL43" s="3563"/>
      <c r="AM43" s="3563"/>
      <c r="AN43" s="3563"/>
      <c r="AO43" s="3563"/>
      <c r="AP43" s="3563"/>
      <c r="AQ43" s="3563"/>
      <c r="AR43" s="3563"/>
      <c r="AS43" s="3563"/>
      <c r="AT43" s="3563"/>
      <c r="AU43" s="3563"/>
      <c r="AV43" s="3563"/>
      <c r="AW43" s="3563"/>
      <c r="AX43" s="3563"/>
      <c r="AY43" s="3563"/>
      <c r="AZ43" s="3563"/>
      <c r="BA43" s="3563"/>
      <c r="BB43" s="3563"/>
      <c r="BC43" s="3563"/>
      <c r="BD43" s="4119"/>
      <c r="BE43" s="4119"/>
      <c r="BF43" s="3563"/>
      <c r="BG43" s="3563"/>
      <c r="BH43" s="3563"/>
      <c r="BI43" s="5432"/>
      <c r="BJ43" s="5432"/>
      <c r="BK43" s="3573"/>
      <c r="BL43" s="1071" t="s">
        <v>914</v>
      </c>
      <c r="BM43" s="3563"/>
      <c r="BN43" s="4396"/>
      <c r="BO43" s="4396"/>
      <c r="BP43" s="4396"/>
      <c r="BQ43" s="4396"/>
      <c r="BR43" s="5442"/>
    </row>
    <row r="44" spans="1:70" s="612" customFormat="1" ht="31.5" customHeight="1" x14ac:dyDescent="0.2">
      <c r="A44" s="1004"/>
      <c r="B44" s="1005"/>
      <c r="C44" s="1006"/>
      <c r="D44" s="1073"/>
      <c r="E44" s="1074"/>
      <c r="F44" s="1074"/>
      <c r="G44" s="1073"/>
      <c r="H44" s="1074"/>
      <c r="I44" s="1074"/>
      <c r="J44" s="3511"/>
      <c r="K44" s="3584"/>
      <c r="L44" s="3584"/>
      <c r="M44" s="3511"/>
      <c r="N44" s="3559"/>
      <c r="O44" s="1368" t="s">
        <v>959</v>
      </c>
      <c r="P44" s="3561"/>
      <c r="Q44" s="3565"/>
      <c r="R44" s="1079">
        <f t="shared" si="3"/>
        <v>4.1351553467056067E-2</v>
      </c>
      <c r="S44" s="3514"/>
      <c r="T44" s="3565"/>
      <c r="U44" s="3565"/>
      <c r="V44" s="3565"/>
      <c r="W44" s="1402">
        <v>12171030</v>
      </c>
      <c r="X44" s="1399">
        <v>12171030</v>
      </c>
      <c r="Y44" s="1399">
        <v>5200000</v>
      </c>
      <c r="Z44" s="1354">
        <v>3</v>
      </c>
      <c r="AA44" s="1068" t="s">
        <v>952</v>
      </c>
      <c r="AB44" s="3563"/>
      <c r="AC44" s="3563"/>
      <c r="AD44" s="3563"/>
      <c r="AE44" s="3563"/>
      <c r="AF44" s="3563"/>
      <c r="AG44" s="3563"/>
      <c r="AH44" s="3563"/>
      <c r="AI44" s="3563"/>
      <c r="AJ44" s="3563"/>
      <c r="AK44" s="3563"/>
      <c r="AL44" s="3563"/>
      <c r="AM44" s="3563"/>
      <c r="AN44" s="3563"/>
      <c r="AO44" s="3563"/>
      <c r="AP44" s="3563"/>
      <c r="AQ44" s="3563"/>
      <c r="AR44" s="3563"/>
      <c r="AS44" s="3563"/>
      <c r="AT44" s="3563"/>
      <c r="AU44" s="3563"/>
      <c r="AV44" s="3563"/>
      <c r="AW44" s="3563"/>
      <c r="AX44" s="3563"/>
      <c r="AY44" s="3563"/>
      <c r="AZ44" s="3563"/>
      <c r="BA44" s="3563"/>
      <c r="BB44" s="3563"/>
      <c r="BC44" s="3563"/>
      <c r="BD44" s="4119"/>
      <c r="BE44" s="4119"/>
      <c r="BF44" s="3563"/>
      <c r="BG44" s="3563"/>
      <c r="BH44" s="3563"/>
      <c r="BI44" s="5432"/>
      <c r="BJ44" s="5432"/>
      <c r="BK44" s="3573"/>
      <c r="BL44" s="1068" t="s">
        <v>952</v>
      </c>
      <c r="BM44" s="3563"/>
      <c r="BN44" s="4396"/>
      <c r="BO44" s="4396"/>
      <c r="BP44" s="4396"/>
      <c r="BQ44" s="4396"/>
      <c r="BR44" s="5442"/>
    </row>
    <row r="45" spans="1:70" s="612" customFormat="1" ht="33" customHeight="1" x14ac:dyDescent="0.2">
      <c r="A45" s="1004"/>
      <c r="B45" s="1005"/>
      <c r="C45" s="1006"/>
      <c r="D45" s="1073"/>
      <c r="E45" s="1074"/>
      <c r="F45" s="1074"/>
      <c r="G45" s="1073"/>
      <c r="H45" s="1074"/>
      <c r="I45" s="1074"/>
      <c r="J45" s="3510">
        <v>211</v>
      </c>
      <c r="K45" s="5443" t="s">
        <v>960</v>
      </c>
      <c r="L45" s="2873" t="s">
        <v>961</v>
      </c>
      <c r="M45" s="3510">
        <v>1</v>
      </c>
      <c r="N45" s="5447">
        <v>1</v>
      </c>
      <c r="O45" s="1069" t="s">
        <v>962</v>
      </c>
      <c r="P45" s="3561"/>
      <c r="Q45" s="3565"/>
      <c r="R45" s="1079">
        <f t="shared" si="3"/>
        <v>8.4938483980106991E-2</v>
      </c>
      <c r="S45" s="3514"/>
      <c r="T45" s="3565"/>
      <c r="U45" s="3565"/>
      <c r="V45" s="3564" t="s">
        <v>963</v>
      </c>
      <c r="W45" s="1395">
        <v>25000000</v>
      </c>
      <c r="X45" s="1399">
        <v>21459903</v>
      </c>
      <c r="Y45" s="1399">
        <v>11974650</v>
      </c>
      <c r="Z45" s="1354">
        <v>3</v>
      </c>
      <c r="AA45" s="1071" t="s">
        <v>884</v>
      </c>
      <c r="AB45" s="3563"/>
      <c r="AC45" s="3563"/>
      <c r="AD45" s="3563"/>
      <c r="AE45" s="3563"/>
      <c r="AF45" s="3563"/>
      <c r="AG45" s="3563"/>
      <c r="AH45" s="3563"/>
      <c r="AI45" s="3563"/>
      <c r="AJ45" s="3563"/>
      <c r="AK45" s="3563"/>
      <c r="AL45" s="3563"/>
      <c r="AM45" s="3563"/>
      <c r="AN45" s="3563"/>
      <c r="AO45" s="3563"/>
      <c r="AP45" s="3563"/>
      <c r="AQ45" s="3563"/>
      <c r="AR45" s="3563"/>
      <c r="AS45" s="3563"/>
      <c r="AT45" s="3563"/>
      <c r="AU45" s="3563"/>
      <c r="AV45" s="3563"/>
      <c r="AW45" s="3563"/>
      <c r="AX45" s="3563"/>
      <c r="AY45" s="3563"/>
      <c r="AZ45" s="3563"/>
      <c r="BA45" s="3563"/>
      <c r="BB45" s="3563"/>
      <c r="BC45" s="3563"/>
      <c r="BD45" s="4119"/>
      <c r="BE45" s="4119"/>
      <c r="BF45" s="3563"/>
      <c r="BG45" s="3563"/>
      <c r="BH45" s="3563"/>
      <c r="BI45" s="5432"/>
      <c r="BJ45" s="5432"/>
      <c r="BK45" s="3573"/>
      <c r="BL45" s="1071" t="s">
        <v>884</v>
      </c>
      <c r="BM45" s="3563"/>
      <c r="BN45" s="4396"/>
      <c r="BO45" s="4396"/>
      <c r="BP45" s="4396"/>
      <c r="BQ45" s="4396"/>
      <c r="BR45" s="5442"/>
    </row>
    <row r="46" spans="1:70" s="612" customFormat="1" ht="31.5" customHeight="1" x14ac:dyDescent="0.2">
      <c r="A46" s="1004"/>
      <c r="B46" s="1005"/>
      <c r="C46" s="1006"/>
      <c r="D46" s="1073"/>
      <c r="E46" s="1074"/>
      <c r="F46" s="1074"/>
      <c r="G46" s="1073"/>
      <c r="H46" s="1074"/>
      <c r="I46" s="1074"/>
      <c r="J46" s="3511"/>
      <c r="K46" s="5444"/>
      <c r="L46" s="3584"/>
      <c r="M46" s="3511"/>
      <c r="N46" s="5448"/>
      <c r="O46" s="1070" t="s">
        <v>964</v>
      </c>
      <c r="P46" s="3561"/>
      <c r="Q46" s="3565"/>
      <c r="R46" s="1079">
        <f t="shared" si="3"/>
        <v>0.24666135747823073</v>
      </c>
      <c r="S46" s="3514"/>
      <c r="T46" s="3565"/>
      <c r="U46" s="3565"/>
      <c r="V46" s="3565"/>
      <c r="W46" s="1395">
        <v>72600000</v>
      </c>
      <c r="X46" s="1399">
        <v>62039955</v>
      </c>
      <c r="Y46" s="1399">
        <v>14711466</v>
      </c>
      <c r="Z46" s="1354">
        <v>7</v>
      </c>
      <c r="AA46" s="1071" t="s">
        <v>914</v>
      </c>
      <c r="AB46" s="3563"/>
      <c r="AC46" s="3563"/>
      <c r="AD46" s="3563"/>
      <c r="AE46" s="3563"/>
      <c r="AF46" s="3563"/>
      <c r="AG46" s="3563"/>
      <c r="AH46" s="3563"/>
      <c r="AI46" s="3563"/>
      <c r="AJ46" s="3563"/>
      <c r="AK46" s="3563"/>
      <c r="AL46" s="3563"/>
      <c r="AM46" s="3563"/>
      <c r="AN46" s="3563"/>
      <c r="AO46" s="3563"/>
      <c r="AP46" s="3563"/>
      <c r="AQ46" s="3563"/>
      <c r="AR46" s="3563"/>
      <c r="AS46" s="3563"/>
      <c r="AT46" s="3563"/>
      <c r="AU46" s="3563"/>
      <c r="AV46" s="3563"/>
      <c r="AW46" s="3563"/>
      <c r="AX46" s="3563"/>
      <c r="AY46" s="3563"/>
      <c r="AZ46" s="3563"/>
      <c r="BA46" s="3563"/>
      <c r="BB46" s="3563"/>
      <c r="BC46" s="3563"/>
      <c r="BD46" s="4119"/>
      <c r="BE46" s="4119"/>
      <c r="BF46" s="3563"/>
      <c r="BG46" s="3563"/>
      <c r="BH46" s="3563"/>
      <c r="BI46" s="5432"/>
      <c r="BJ46" s="5432"/>
      <c r="BK46" s="3573"/>
      <c r="BL46" s="1071" t="s">
        <v>914</v>
      </c>
      <c r="BM46" s="3563"/>
      <c r="BN46" s="4396"/>
      <c r="BO46" s="4396"/>
      <c r="BP46" s="4396"/>
      <c r="BQ46" s="4396"/>
      <c r="BR46" s="5442"/>
    </row>
    <row r="47" spans="1:70" s="612" customFormat="1" ht="25.5" customHeight="1" x14ac:dyDescent="0.2">
      <c r="A47" s="1004"/>
      <c r="B47" s="1005"/>
      <c r="C47" s="1006"/>
      <c r="D47" s="1073"/>
      <c r="E47" s="1074"/>
      <c r="F47" s="1074"/>
      <c r="G47" s="1073"/>
      <c r="H47" s="1074"/>
      <c r="I47" s="1074"/>
      <c r="J47" s="3511"/>
      <c r="K47" s="5444"/>
      <c r="L47" s="3584"/>
      <c r="M47" s="3511"/>
      <c r="N47" s="5448"/>
      <c r="O47" s="1070" t="s">
        <v>965</v>
      </c>
      <c r="P47" s="3561"/>
      <c r="Q47" s="3565"/>
      <c r="R47" s="1079">
        <f t="shared" si="3"/>
        <v>3.9082126281603256E-2</v>
      </c>
      <c r="S47" s="3514"/>
      <c r="T47" s="3565"/>
      <c r="U47" s="3565"/>
      <c r="V47" s="3565"/>
      <c r="W47" s="947">
        <v>11503068</v>
      </c>
      <c r="X47" s="1399">
        <v>11503067</v>
      </c>
      <c r="Y47" s="1399">
        <v>1000000</v>
      </c>
      <c r="Z47" s="1354">
        <v>6</v>
      </c>
      <c r="AA47" s="1071" t="s">
        <v>887</v>
      </c>
      <c r="AB47" s="3563"/>
      <c r="AC47" s="3563"/>
      <c r="AD47" s="3563"/>
      <c r="AE47" s="3563"/>
      <c r="AF47" s="3563"/>
      <c r="AG47" s="3563"/>
      <c r="AH47" s="3563"/>
      <c r="AI47" s="3563"/>
      <c r="AJ47" s="3563"/>
      <c r="AK47" s="3563"/>
      <c r="AL47" s="3563"/>
      <c r="AM47" s="3563"/>
      <c r="AN47" s="3563"/>
      <c r="AO47" s="3563"/>
      <c r="AP47" s="3563"/>
      <c r="AQ47" s="3563"/>
      <c r="AR47" s="3563"/>
      <c r="AS47" s="3563"/>
      <c r="AT47" s="3563"/>
      <c r="AU47" s="3563"/>
      <c r="AV47" s="3563"/>
      <c r="AW47" s="3563"/>
      <c r="AX47" s="3563"/>
      <c r="AY47" s="3563"/>
      <c r="AZ47" s="3563"/>
      <c r="BA47" s="3563"/>
      <c r="BB47" s="3563"/>
      <c r="BC47" s="3563"/>
      <c r="BD47" s="4119"/>
      <c r="BE47" s="4119"/>
      <c r="BF47" s="3563"/>
      <c r="BG47" s="3563"/>
      <c r="BH47" s="3563"/>
      <c r="BI47" s="5432"/>
      <c r="BJ47" s="5432"/>
      <c r="BK47" s="3573"/>
      <c r="BL47" s="1071" t="s">
        <v>887</v>
      </c>
      <c r="BM47" s="3563"/>
      <c r="BN47" s="4396"/>
      <c r="BO47" s="4396"/>
      <c r="BP47" s="4396"/>
      <c r="BQ47" s="4396"/>
      <c r="BR47" s="5442"/>
    </row>
    <row r="48" spans="1:70" s="612" customFormat="1" ht="30" customHeight="1" x14ac:dyDescent="0.2">
      <c r="A48" s="1004"/>
      <c r="B48" s="1005"/>
      <c r="C48" s="1006"/>
      <c r="D48" s="1073"/>
      <c r="E48" s="1074"/>
      <c r="F48" s="1074"/>
      <c r="G48" s="1073"/>
      <c r="H48" s="1074"/>
      <c r="I48" s="1074"/>
      <c r="J48" s="3511"/>
      <c r="K48" s="5444"/>
      <c r="L48" s="3584"/>
      <c r="M48" s="3511"/>
      <c r="N48" s="5448"/>
      <c r="O48" s="1071" t="s">
        <v>966</v>
      </c>
      <c r="P48" s="3561"/>
      <c r="Q48" s="3565"/>
      <c r="R48" s="1079">
        <f t="shared" si="3"/>
        <v>4.6398704935840689E-2</v>
      </c>
      <c r="S48" s="3514"/>
      <c r="T48" s="3565"/>
      <c r="U48" s="3565"/>
      <c r="V48" s="3565"/>
      <c r="W48" s="947">
        <v>13656561.42</v>
      </c>
      <c r="X48" s="1399">
        <v>13656561</v>
      </c>
      <c r="Y48" s="1399">
        <v>3624880</v>
      </c>
      <c r="Z48" s="1358">
        <v>13</v>
      </c>
      <c r="AA48" s="763" t="s">
        <v>928</v>
      </c>
      <c r="AB48" s="3563"/>
      <c r="AC48" s="3563"/>
      <c r="AD48" s="3563"/>
      <c r="AE48" s="3563"/>
      <c r="AF48" s="3563"/>
      <c r="AG48" s="3563"/>
      <c r="AH48" s="3563"/>
      <c r="AI48" s="3563"/>
      <c r="AJ48" s="3563"/>
      <c r="AK48" s="3563"/>
      <c r="AL48" s="3563"/>
      <c r="AM48" s="3563"/>
      <c r="AN48" s="3563"/>
      <c r="AO48" s="3563"/>
      <c r="AP48" s="3563"/>
      <c r="AQ48" s="3563"/>
      <c r="AR48" s="3563"/>
      <c r="AS48" s="3563"/>
      <c r="AT48" s="3563"/>
      <c r="AU48" s="3563"/>
      <c r="AV48" s="3563"/>
      <c r="AW48" s="3563"/>
      <c r="AX48" s="3563"/>
      <c r="AY48" s="3563"/>
      <c r="AZ48" s="3563"/>
      <c r="BA48" s="3563"/>
      <c r="BB48" s="3563"/>
      <c r="BC48" s="3563"/>
      <c r="BD48" s="5440"/>
      <c r="BE48" s="5440"/>
      <c r="BF48" s="3563"/>
      <c r="BG48" s="3563"/>
      <c r="BH48" s="3563"/>
      <c r="BI48" s="5432"/>
      <c r="BJ48" s="5432"/>
      <c r="BK48" s="3573"/>
      <c r="BL48" s="612" t="s">
        <v>928</v>
      </c>
      <c r="BM48" s="3563"/>
      <c r="BN48" s="4396"/>
      <c r="BO48" s="4396"/>
      <c r="BP48" s="4396"/>
      <c r="BQ48" s="4396"/>
      <c r="BR48" s="5442"/>
    </row>
    <row r="49" spans="1:70" s="612" customFormat="1" ht="23.25" customHeight="1" thickBot="1" x14ac:dyDescent="0.25">
      <c r="A49" s="1004"/>
      <c r="B49" s="1005"/>
      <c r="C49" s="1006"/>
      <c r="D49" s="1073"/>
      <c r="E49" s="1074"/>
      <c r="F49" s="1074"/>
      <c r="G49" s="1339">
        <v>73</v>
      </c>
      <c r="H49" s="1340" t="s">
        <v>967</v>
      </c>
      <c r="I49" s="1340"/>
      <c r="J49" s="1340"/>
      <c r="K49" s="1341"/>
      <c r="L49" s="1341"/>
      <c r="M49" s="1340"/>
      <c r="N49" s="1340"/>
      <c r="O49" s="1364"/>
      <c r="P49" s="1343"/>
      <c r="Q49" s="1341"/>
      <c r="R49" s="1344"/>
      <c r="S49" s="1392"/>
      <c r="T49" s="1341" t="s">
        <v>896</v>
      </c>
      <c r="U49" s="1341" t="s">
        <v>896</v>
      </c>
      <c r="V49" s="1341"/>
      <c r="W49" s="1392"/>
      <c r="X49" s="1392"/>
      <c r="Y49" s="1392"/>
      <c r="Z49" s="1347"/>
      <c r="AA49" s="1343"/>
      <c r="AB49" s="1362"/>
      <c r="AC49" s="1362"/>
      <c r="AD49" s="1362"/>
      <c r="AE49" s="1362"/>
      <c r="AF49" s="1362"/>
      <c r="AG49" s="1362"/>
      <c r="AH49" s="1362"/>
      <c r="AI49" s="1362"/>
      <c r="AJ49" s="1362"/>
      <c r="AK49" s="1362"/>
      <c r="AL49" s="1362"/>
      <c r="AM49" s="1362"/>
      <c r="AN49" s="1362"/>
      <c r="AO49" s="1362"/>
      <c r="AP49" s="1362"/>
      <c r="AQ49" s="1362"/>
      <c r="AR49" s="1362"/>
      <c r="AS49" s="1362"/>
      <c r="AT49" s="1362"/>
      <c r="AU49" s="1362"/>
      <c r="AV49" s="1362"/>
      <c r="AW49" s="1362"/>
      <c r="AX49" s="1362"/>
      <c r="AY49" s="1362"/>
      <c r="AZ49" s="1362"/>
      <c r="BA49" s="1362"/>
      <c r="BB49" s="1362"/>
      <c r="BC49" s="1362"/>
      <c r="BD49" s="1362"/>
      <c r="BE49" s="1362"/>
      <c r="BF49" s="1362"/>
      <c r="BG49" s="1362"/>
      <c r="BH49" s="1362"/>
      <c r="BI49" s="1414"/>
      <c r="BJ49" s="1414"/>
      <c r="BK49" s="1361"/>
      <c r="BL49" s="1343"/>
      <c r="BM49" s="1362"/>
      <c r="BN49" s="1352"/>
      <c r="BO49" s="1352"/>
      <c r="BP49" s="1352"/>
      <c r="BQ49" s="1352"/>
      <c r="BR49" s="1363"/>
    </row>
    <row r="50" spans="1:70" s="612" customFormat="1" ht="60.75" customHeight="1" x14ac:dyDescent="0.2">
      <c r="A50" s="1004"/>
      <c r="B50" s="1005"/>
      <c r="C50" s="1006"/>
      <c r="D50" s="1073"/>
      <c r="E50" s="1074"/>
      <c r="F50" s="1074"/>
      <c r="G50" s="1073"/>
      <c r="H50" s="1074"/>
      <c r="I50" s="1074"/>
      <c r="J50" s="3504">
        <v>212</v>
      </c>
      <c r="K50" s="3505" t="s">
        <v>968</v>
      </c>
      <c r="L50" s="3525" t="s">
        <v>969</v>
      </c>
      <c r="M50" s="3504">
        <v>1</v>
      </c>
      <c r="N50" s="3583">
        <v>1</v>
      </c>
      <c r="O50" s="1069" t="s">
        <v>970</v>
      </c>
      <c r="P50" s="5437" t="s">
        <v>971</v>
      </c>
      <c r="Q50" s="3505" t="s">
        <v>972</v>
      </c>
      <c r="R50" s="1079">
        <f>+W50/$S$50</f>
        <v>0.23668734057312116</v>
      </c>
      <c r="S50" s="3521">
        <f>SUM(W50:W52)</f>
        <v>168999321.65000001</v>
      </c>
      <c r="T50" s="3564" t="s">
        <v>973</v>
      </c>
      <c r="U50" s="3564" t="s">
        <v>974</v>
      </c>
      <c r="V50" s="3505" t="s">
        <v>975</v>
      </c>
      <c r="W50" s="1395">
        <v>40000000</v>
      </c>
      <c r="X50" s="947">
        <v>36500000</v>
      </c>
      <c r="Y50" s="947">
        <v>15050000</v>
      </c>
      <c r="Z50" s="1078">
        <v>3</v>
      </c>
      <c r="AA50" s="1071" t="s">
        <v>884</v>
      </c>
      <c r="AB50" s="3562">
        <v>3380</v>
      </c>
      <c r="AC50" s="5445">
        <v>2342</v>
      </c>
      <c r="AD50" s="3562">
        <v>460</v>
      </c>
      <c r="AE50" s="5445">
        <v>322</v>
      </c>
      <c r="AF50" s="5445"/>
      <c r="AG50" s="5445">
        <v>352</v>
      </c>
      <c r="AH50" s="5445"/>
      <c r="AI50" s="5445">
        <v>626</v>
      </c>
      <c r="AJ50" s="3562">
        <v>3840</v>
      </c>
      <c r="AK50" s="3562">
        <v>1210</v>
      </c>
      <c r="AL50" s="3562"/>
      <c r="AM50" s="3562">
        <v>476</v>
      </c>
      <c r="AN50" s="3562"/>
      <c r="AO50" s="3562"/>
      <c r="AP50" s="3562"/>
      <c r="AQ50" s="3562"/>
      <c r="AR50" s="3562"/>
      <c r="AS50" s="3562"/>
      <c r="AT50" s="3562"/>
      <c r="AU50" s="3562"/>
      <c r="AV50" s="3562"/>
      <c r="AW50" s="3562"/>
      <c r="AX50" s="3562"/>
      <c r="AY50" s="3562"/>
      <c r="AZ50" s="3562"/>
      <c r="BA50" s="3562"/>
      <c r="BB50" s="3562"/>
      <c r="BC50" s="3562"/>
      <c r="BD50" s="1369"/>
      <c r="BE50" s="3562"/>
      <c r="BF50" s="3562">
        <f>+AD50+AB50</f>
        <v>3840</v>
      </c>
      <c r="BG50" s="3562">
        <f>+AC50+AE50</f>
        <v>2664</v>
      </c>
      <c r="BH50" s="3562">
        <v>14</v>
      </c>
      <c r="BI50" s="5431">
        <f>+SUM(X50:X52)</f>
        <v>141099321</v>
      </c>
      <c r="BJ50" s="5431">
        <f>+SUM(Y50:Y52)</f>
        <v>71859831</v>
      </c>
      <c r="BK50" s="3550">
        <f>+BI50/S50</f>
        <v>0.83491057610407871</v>
      </c>
      <c r="BL50" s="1367" t="s">
        <v>884</v>
      </c>
      <c r="BM50" s="3562" t="s">
        <v>949</v>
      </c>
      <c r="BN50" s="4395">
        <v>43480</v>
      </c>
      <c r="BO50" s="4395">
        <v>43480</v>
      </c>
      <c r="BP50" s="4395">
        <v>43830</v>
      </c>
      <c r="BQ50" s="4395">
        <v>43830</v>
      </c>
      <c r="BR50" s="5415" t="s">
        <v>880</v>
      </c>
    </row>
    <row r="51" spans="1:70" s="612" customFormat="1" ht="24.75" customHeight="1" x14ac:dyDescent="0.2">
      <c r="A51" s="1004"/>
      <c r="B51" s="1005"/>
      <c r="C51" s="1006"/>
      <c r="D51" s="1073"/>
      <c r="E51" s="1074"/>
      <c r="F51" s="1074"/>
      <c r="G51" s="1073"/>
      <c r="H51" s="1074"/>
      <c r="I51" s="1074"/>
      <c r="J51" s="3504"/>
      <c r="K51" s="3505"/>
      <c r="L51" s="3525"/>
      <c r="M51" s="3504"/>
      <c r="N51" s="3583"/>
      <c r="O51" s="1070" t="s">
        <v>976</v>
      </c>
      <c r="P51" s="5437"/>
      <c r="Q51" s="3505"/>
      <c r="R51" s="1079">
        <f t="shared" ref="R51:R52" si="4">+W51/$S$50</f>
        <v>0.61775395889584628</v>
      </c>
      <c r="S51" s="3521"/>
      <c r="T51" s="3565"/>
      <c r="U51" s="3565"/>
      <c r="V51" s="3505"/>
      <c r="W51" s="947">
        <v>104400000</v>
      </c>
      <c r="X51" s="947">
        <v>80000000</v>
      </c>
      <c r="Y51" s="947">
        <v>42700000</v>
      </c>
      <c r="Z51" s="1078">
        <v>7</v>
      </c>
      <c r="AA51" s="1075" t="s">
        <v>914</v>
      </c>
      <c r="AB51" s="3563"/>
      <c r="AC51" s="5446"/>
      <c r="AD51" s="3563"/>
      <c r="AE51" s="5446"/>
      <c r="AF51" s="5446"/>
      <c r="AG51" s="5446"/>
      <c r="AH51" s="5446"/>
      <c r="AI51" s="5446"/>
      <c r="AJ51" s="3563"/>
      <c r="AK51" s="3563"/>
      <c r="AL51" s="3563"/>
      <c r="AM51" s="3563"/>
      <c r="AN51" s="3563"/>
      <c r="AO51" s="3563"/>
      <c r="AP51" s="3563"/>
      <c r="AQ51" s="3563"/>
      <c r="AR51" s="3563"/>
      <c r="AS51" s="3563"/>
      <c r="AT51" s="3563"/>
      <c r="AU51" s="3563"/>
      <c r="AV51" s="3563"/>
      <c r="AW51" s="3563"/>
      <c r="AX51" s="3563"/>
      <c r="AY51" s="3563"/>
      <c r="AZ51" s="3563"/>
      <c r="BA51" s="3563"/>
      <c r="BB51" s="3563"/>
      <c r="BC51" s="3563"/>
      <c r="BD51" s="1369"/>
      <c r="BE51" s="3563"/>
      <c r="BF51" s="3563"/>
      <c r="BG51" s="3563"/>
      <c r="BH51" s="3563"/>
      <c r="BI51" s="5432"/>
      <c r="BJ51" s="5432"/>
      <c r="BK51" s="3573"/>
      <c r="BL51" s="1075" t="s">
        <v>914</v>
      </c>
      <c r="BM51" s="3563"/>
      <c r="BN51" s="4396"/>
      <c r="BO51" s="4396"/>
      <c r="BP51" s="4396"/>
      <c r="BQ51" s="4396"/>
      <c r="BR51" s="5416"/>
    </row>
    <row r="52" spans="1:70" s="612" customFormat="1" ht="24" customHeight="1" x14ac:dyDescent="0.2">
      <c r="A52" s="1004"/>
      <c r="B52" s="1005"/>
      <c r="C52" s="1006"/>
      <c r="D52" s="1073"/>
      <c r="E52" s="1074"/>
      <c r="F52" s="1074"/>
      <c r="G52" s="1073"/>
      <c r="H52" s="1074"/>
      <c r="I52" s="1074"/>
      <c r="J52" s="3504"/>
      <c r="K52" s="3505"/>
      <c r="L52" s="3525"/>
      <c r="M52" s="3504"/>
      <c r="N52" s="3583"/>
      <c r="O52" s="1071" t="s">
        <v>977</v>
      </c>
      <c r="P52" s="5437"/>
      <c r="Q52" s="3505"/>
      <c r="R52" s="1079">
        <f t="shared" si="4"/>
        <v>0.14555870053103256</v>
      </c>
      <c r="S52" s="3521"/>
      <c r="T52" s="3565"/>
      <c r="U52" s="3565"/>
      <c r="V52" s="3505"/>
      <c r="W52" s="947">
        <v>24599321.649999999</v>
      </c>
      <c r="X52" s="947">
        <v>24599321</v>
      </c>
      <c r="Y52" s="947">
        <v>14109831</v>
      </c>
      <c r="Z52" s="1078">
        <v>4</v>
      </c>
      <c r="AA52" s="1075" t="s">
        <v>890</v>
      </c>
      <c r="AB52" s="3563"/>
      <c r="AC52" s="5446"/>
      <c r="AD52" s="3563"/>
      <c r="AE52" s="5446"/>
      <c r="AF52" s="5446"/>
      <c r="AG52" s="5446"/>
      <c r="AH52" s="5446"/>
      <c r="AI52" s="5446"/>
      <c r="AJ52" s="3563"/>
      <c r="AK52" s="3563"/>
      <c r="AL52" s="3563"/>
      <c r="AM52" s="3563"/>
      <c r="AN52" s="3563"/>
      <c r="AO52" s="3563"/>
      <c r="AP52" s="3563"/>
      <c r="AQ52" s="3563"/>
      <c r="AR52" s="3563"/>
      <c r="AS52" s="3563"/>
      <c r="AT52" s="3563"/>
      <c r="AU52" s="3563"/>
      <c r="AV52" s="3563"/>
      <c r="AW52" s="3563"/>
      <c r="AX52" s="3563"/>
      <c r="AY52" s="3563"/>
      <c r="AZ52" s="3563"/>
      <c r="BA52" s="3563"/>
      <c r="BB52" s="3563"/>
      <c r="BC52" s="3563"/>
      <c r="BD52" s="1369"/>
      <c r="BE52" s="3563"/>
      <c r="BF52" s="3563"/>
      <c r="BG52" s="3563"/>
      <c r="BH52" s="3563"/>
      <c r="BI52" s="5432"/>
      <c r="BJ52" s="5432"/>
      <c r="BK52" s="3573"/>
      <c r="BL52" s="1069" t="s">
        <v>890</v>
      </c>
      <c r="BM52" s="3563"/>
      <c r="BN52" s="4396"/>
      <c r="BO52" s="4396"/>
      <c r="BP52" s="4396"/>
      <c r="BQ52" s="4396"/>
      <c r="BR52" s="5416"/>
    </row>
    <row r="53" spans="1:70" s="612" customFormat="1" ht="20.25" customHeight="1" x14ac:dyDescent="0.2">
      <c r="A53" s="1322"/>
      <c r="B53" s="1323"/>
      <c r="C53" s="1324"/>
      <c r="D53" s="1325">
        <v>22</v>
      </c>
      <c r="E53" s="1326" t="s">
        <v>978</v>
      </c>
      <c r="F53" s="1326"/>
      <c r="G53" s="1326"/>
      <c r="H53" s="1326"/>
      <c r="I53" s="1326"/>
      <c r="J53" s="1326"/>
      <c r="K53" s="1327"/>
      <c r="L53" s="1327"/>
      <c r="M53" s="1326"/>
      <c r="N53" s="1326"/>
      <c r="O53" s="1328"/>
      <c r="P53" s="1328"/>
      <c r="Q53" s="1327"/>
      <c r="R53" s="1329"/>
      <c r="S53" s="1393"/>
      <c r="T53" s="1327" t="s">
        <v>896</v>
      </c>
      <c r="U53" s="1327" t="s">
        <v>896</v>
      </c>
      <c r="V53" s="1327"/>
      <c r="W53" s="1393"/>
      <c r="X53" s="1393"/>
      <c r="Y53" s="1393"/>
      <c r="Z53" s="1332"/>
      <c r="AA53" s="1328"/>
      <c r="AB53" s="1326"/>
      <c r="AC53" s="1326"/>
      <c r="AD53" s="1326"/>
      <c r="AE53" s="1326"/>
      <c r="AF53" s="1326"/>
      <c r="AG53" s="1326"/>
      <c r="AH53" s="1326"/>
      <c r="AI53" s="1326"/>
      <c r="AJ53" s="1326"/>
      <c r="AK53" s="1326"/>
      <c r="AL53" s="1326"/>
      <c r="AM53" s="1326"/>
      <c r="AN53" s="1326"/>
      <c r="AO53" s="1326"/>
      <c r="AP53" s="1326"/>
      <c r="AQ53" s="1326"/>
      <c r="AR53" s="1326"/>
      <c r="AS53" s="1326"/>
      <c r="AT53" s="1326"/>
      <c r="AU53" s="1326"/>
      <c r="AV53" s="1326"/>
      <c r="AW53" s="1326"/>
      <c r="AX53" s="1326"/>
      <c r="AY53" s="1326"/>
      <c r="AZ53" s="1326"/>
      <c r="BA53" s="1326"/>
      <c r="BB53" s="1326"/>
      <c r="BC53" s="1326"/>
      <c r="BD53" s="1326"/>
      <c r="BE53" s="1326"/>
      <c r="BF53" s="1326"/>
      <c r="BG53" s="1326"/>
      <c r="BH53" s="1333"/>
      <c r="BI53" s="1415"/>
      <c r="BJ53" s="1415"/>
      <c r="BK53" s="1335"/>
      <c r="BL53" s="1336"/>
      <c r="BM53" s="1333"/>
      <c r="BN53" s="1337"/>
      <c r="BO53" s="1337"/>
      <c r="BP53" s="1337"/>
      <c r="BQ53" s="1337"/>
      <c r="BR53" s="1338"/>
    </row>
    <row r="54" spans="1:70" s="612" customFormat="1" ht="23.25" customHeight="1" x14ac:dyDescent="0.2">
      <c r="A54" s="1004"/>
      <c r="B54" s="1005"/>
      <c r="C54" s="1006"/>
      <c r="D54" s="1073"/>
      <c r="E54" s="1074"/>
      <c r="F54" s="1074"/>
      <c r="G54" s="1339">
        <v>74</v>
      </c>
      <c r="H54" s="1340" t="s">
        <v>967</v>
      </c>
      <c r="I54" s="1340"/>
      <c r="J54" s="1340"/>
      <c r="K54" s="1341"/>
      <c r="L54" s="1341"/>
      <c r="M54" s="1340"/>
      <c r="N54" s="1340"/>
      <c r="O54" s="1342"/>
      <c r="P54" s="1343"/>
      <c r="Q54" s="1341"/>
      <c r="R54" s="1344"/>
      <c r="S54" s="1392"/>
      <c r="T54" s="1341" t="s">
        <v>896</v>
      </c>
      <c r="U54" s="1341" t="s">
        <v>896</v>
      </c>
      <c r="V54" s="1341"/>
      <c r="W54" s="1392"/>
      <c r="X54" s="1392"/>
      <c r="Y54" s="1392"/>
      <c r="Z54" s="1347"/>
      <c r="AA54" s="1343"/>
      <c r="AB54" s="1362"/>
      <c r="AC54" s="1362"/>
      <c r="AD54" s="1362"/>
      <c r="AE54" s="1362"/>
      <c r="AF54" s="1362"/>
      <c r="AG54" s="1362"/>
      <c r="AH54" s="1362"/>
      <c r="AI54" s="1362"/>
      <c r="AJ54" s="1362"/>
      <c r="AK54" s="1362"/>
      <c r="AL54" s="1362"/>
      <c r="AM54" s="1362"/>
      <c r="AN54" s="1362"/>
      <c r="AO54" s="1362"/>
      <c r="AP54" s="1362"/>
      <c r="AQ54" s="1362"/>
      <c r="AR54" s="1362"/>
      <c r="AS54" s="1362"/>
      <c r="AT54" s="1362"/>
      <c r="AU54" s="1362"/>
      <c r="AV54" s="1362"/>
      <c r="AW54" s="1362"/>
      <c r="AX54" s="1362"/>
      <c r="AY54" s="1362"/>
      <c r="AZ54" s="1362"/>
      <c r="BA54" s="1362"/>
      <c r="BB54" s="1362"/>
      <c r="BC54" s="1362"/>
      <c r="BD54" s="1362"/>
      <c r="BE54" s="1362"/>
      <c r="BF54" s="1362"/>
      <c r="BG54" s="1362"/>
      <c r="BH54" s="1362"/>
      <c r="BI54" s="1414"/>
      <c r="BJ54" s="1414"/>
      <c r="BK54" s="1361"/>
      <c r="BL54" s="1362"/>
      <c r="BM54" s="1362"/>
      <c r="BN54" s="1352"/>
      <c r="BO54" s="1352"/>
      <c r="BP54" s="1352"/>
      <c r="BQ54" s="1352"/>
      <c r="BR54" s="1363"/>
    </row>
    <row r="55" spans="1:70" s="612" customFormat="1" ht="53.25" customHeight="1" x14ac:dyDescent="0.2">
      <c r="A55" s="1004"/>
      <c r="B55" s="1005"/>
      <c r="C55" s="1006"/>
      <c r="D55" s="1073"/>
      <c r="E55" s="1074"/>
      <c r="F55" s="1074"/>
      <c r="G55" s="1073"/>
      <c r="H55" s="1074"/>
      <c r="I55" s="1074"/>
      <c r="J55" s="3510">
        <v>213</v>
      </c>
      <c r="K55" s="3564" t="s">
        <v>979</v>
      </c>
      <c r="L55" s="2873" t="s">
        <v>980</v>
      </c>
      <c r="M55" s="3510">
        <v>12</v>
      </c>
      <c r="N55" s="3556">
        <v>12</v>
      </c>
      <c r="O55" s="1069" t="s">
        <v>981</v>
      </c>
      <c r="P55" s="3558" t="s">
        <v>982</v>
      </c>
      <c r="Q55" s="5449" t="s">
        <v>983</v>
      </c>
      <c r="R55" s="1079">
        <f>+W55/S55</f>
        <v>0.70092842991179882</v>
      </c>
      <c r="S55" s="3513">
        <f>+SUM(W55:W56)</f>
        <v>51682415</v>
      </c>
      <c r="T55" s="3564" t="s">
        <v>984</v>
      </c>
      <c r="U55" s="3564" t="s">
        <v>985</v>
      </c>
      <c r="V55" s="3564" t="s">
        <v>986</v>
      </c>
      <c r="W55" s="947">
        <v>36225674</v>
      </c>
      <c r="X55" s="947">
        <v>34423674</v>
      </c>
      <c r="Y55" s="947">
        <v>13669259</v>
      </c>
      <c r="Z55" s="1078">
        <v>3</v>
      </c>
      <c r="AA55" s="1075" t="s">
        <v>884</v>
      </c>
      <c r="AB55" s="3562"/>
      <c r="AC55" s="3562">
        <v>309</v>
      </c>
      <c r="AD55" s="3562"/>
      <c r="AE55" s="3562">
        <v>229</v>
      </c>
      <c r="AF55" s="3562"/>
      <c r="AG55" s="3562">
        <v>254</v>
      </c>
      <c r="AH55" s="3562"/>
      <c r="AI55" s="3562">
        <v>121</v>
      </c>
      <c r="AJ55" s="3562"/>
      <c r="AK55" s="3562">
        <v>163</v>
      </c>
      <c r="AL55" s="3562"/>
      <c r="AM55" s="3562"/>
      <c r="AN55" s="3562"/>
      <c r="AO55" s="3562"/>
      <c r="AP55" s="3562"/>
      <c r="AQ55" s="3562"/>
      <c r="AR55" s="3562"/>
      <c r="AS55" s="3562"/>
      <c r="AT55" s="3562"/>
      <c r="AU55" s="3562"/>
      <c r="AV55" s="3562"/>
      <c r="AW55" s="3562"/>
      <c r="AX55" s="3562"/>
      <c r="AY55" s="3562"/>
      <c r="AZ55" s="3562"/>
      <c r="BA55" s="3562"/>
      <c r="BB55" s="3562"/>
      <c r="BC55" s="3562"/>
      <c r="BD55" s="3562"/>
      <c r="BE55" s="3562"/>
      <c r="BF55" s="3562"/>
      <c r="BG55" s="3562">
        <f>+AC55+AE55</f>
        <v>538</v>
      </c>
      <c r="BH55" s="3562">
        <v>10</v>
      </c>
      <c r="BI55" s="5431">
        <f>+SUM(X55:X56)</f>
        <v>49880415</v>
      </c>
      <c r="BJ55" s="5431">
        <f>+SUM(Y55:Y56)</f>
        <v>29126000</v>
      </c>
      <c r="BK55" s="3550">
        <f>+BI55/S55</f>
        <v>0.96513320826822813</v>
      </c>
      <c r="BL55" s="1075" t="s">
        <v>884</v>
      </c>
      <c r="BM55" s="3562"/>
      <c r="BN55" s="4395">
        <v>43101</v>
      </c>
      <c r="BO55" s="4395">
        <v>43480</v>
      </c>
      <c r="BP55" s="4395">
        <v>43465</v>
      </c>
      <c r="BQ55" s="4395">
        <v>43465</v>
      </c>
      <c r="BR55" s="5415" t="s">
        <v>987</v>
      </c>
    </row>
    <row r="56" spans="1:70" s="612" customFormat="1" ht="47.25" customHeight="1" x14ac:dyDescent="0.2">
      <c r="A56" s="1004"/>
      <c r="B56" s="1005"/>
      <c r="C56" s="1006"/>
      <c r="D56" s="1073"/>
      <c r="E56" s="1074"/>
      <c r="F56" s="1074"/>
      <c r="G56" s="1073"/>
      <c r="H56" s="1074"/>
      <c r="I56" s="1074"/>
      <c r="J56" s="3511"/>
      <c r="K56" s="3565"/>
      <c r="L56" s="3584"/>
      <c r="M56" s="3511"/>
      <c r="N56" s="3559"/>
      <c r="O56" s="1071" t="s">
        <v>988</v>
      </c>
      <c r="P56" s="3561"/>
      <c r="Q56" s="5450"/>
      <c r="R56" s="1079">
        <f>+W56/S55</f>
        <v>0.29907157008820118</v>
      </c>
      <c r="S56" s="3514"/>
      <c r="T56" s="3565"/>
      <c r="U56" s="3565"/>
      <c r="V56" s="3565"/>
      <c r="W56" s="947">
        <v>15456741</v>
      </c>
      <c r="X56" s="1399">
        <v>15456741</v>
      </c>
      <c r="Y56" s="1397">
        <v>15456741</v>
      </c>
      <c r="Z56" s="1078">
        <v>13</v>
      </c>
      <c r="AA56" s="1075" t="s">
        <v>928</v>
      </c>
      <c r="AB56" s="3563"/>
      <c r="AC56" s="3563"/>
      <c r="AD56" s="3563"/>
      <c r="AE56" s="3563"/>
      <c r="AF56" s="3563"/>
      <c r="AG56" s="3563"/>
      <c r="AH56" s="3563"/>
      <c r="AI56" s="3563"/>
      <c r="AJ56" s="3563"/>
      <c r="AK56" s="3563"/>
      <c r="AL56" s="3563"/>
      <c r="AM56" s="3563"/>
      <c r="AN56" s="3563"/>
      <c r="AO56" s="3563"/>
      <c r="AP56" s="3563"/>
      <c r="AQ56" s="3563"/>
      <c r="AR56" s="3563"/>
      <c r="AS56" s="3563"/>
      <c r="AT56" s="3563"/>
      <c r="AU56" s="3563"/>
      <c r="AV56" s="3563"/>
      <c r="AW56" s="3563"/>
      <c r="AX56" s="3563"/>
      <c r="AY56" s="3563"/>
      <c r="AZ56" s="3563"/>
      <c r="BA56" s="3563"/>
      <c r="BB56" s="3563"/>
      <c r="BC56" s="3563"/>
      <c r="BD56" s="3563"/>
      <c r="BE56" s="3563"/>
      <c r="BF56" s="3563"/>
      <c r="BG56" s="3563"/>
      <c r="BH56" s="3563"/>
      <c r="BI56" s="5432"/>
      <c r="BJ56" s="5432"/>
      <c r="BK56" s="3573"/>
      <c r="BL56" s="1075" t="s">
        <v>928</v>
      </c>
      <c r="BM56" s="3563"/>
      <c r="BN56" s="4396"/>
      <c r="BO56" s="4396"/>
      <c r="BP56" s="4396"/>
      <c r="BQ56" s="4396"/>
      <c r="BR56" s="5416"/>
    </row>
    <row r="57" spans="1:70" ht="15.75" x14ac:dyDescent="0.2">
      <c r="A57" s="1370"/>
      <c r="B57" s="1371"/>
      <c r="C57" s="1371"/>
      <c r="D57" s="1371"/>
      <c r="E57" s="1371"/>
      <c r="F57" s="1371"/>
      <c r="G57" s="1371"/>
      <c r="H57" s="1371"/>
      <c r="I57" s="1371"/>
      <c r="J57" s="1371"/>
      <c r="K57" s="1372"/>
      <c r="L57" s="1373"/>
      <c r="M57" s="1374"/>
      <c r="N57" s="1374"/>
      <c r="O57" s="1375"/>
      <c r="P57" s="1376"/>
      <c r="Q57" s="1372"/>
      <c r="R57" s="1377"/>
      <c r="S57" s="1394">
        <f>+S55+S50+S38+S30+S24+S21+S13</f>
        <v>3603297525.21</v>
      </c>
      <c r="T57" s="1372"/>
      <c r="U57" s="1372"/>
      <c r="V57" s="1378"/>
      <c r="W57" s="1403">
        <f>SUM(W13:W56)</f>
        <v>3603297525.2100005</v>
      </c>
      <c r="X57" s="1403">
        <f t="shared" ref="X57:Y57" si="5">SUM(X13:X56)</f>
        <v>2734184058.8000002</v>
      </c>
      <c r="Y57" s="1403">
        <f t="shared" si="5"/>
        <v>1350680307.5999999</v>
      </c>
      <c r="Z57" s="1379"/>
      <c r="AA57" s="1380"/>
      <c r="AB57" s="1371"/>
      <c r="AC57" s="1371"/>
      <c r="AD57" s="1371"/>
      <c r="AE57" s="1371"/>
      <c r="AF57" s="1371"/>
      <c r="AG57" s="1371"/>
      <c r="AH57" s="1371"/>
      <c r="AI57" s="1371"/>
      <c r="AJ57" s="1371"/>
      <c r="AK57" s="1371"/>
      <c r="AL57" s="1371"/>
      <c r="AM57" s="1371"/>
      <c r="AN57" s="1371"/>
      <c r="AO57" s="1371"/>
      <c r="AP57" s="1371"/>
      <c r="AQ57" s="1371"/>
      <c r="AR57" s="1371"/>
      <c r="AS57" s="1371"/>
      <c r="AT57" s="1371"/>
      <c r="AU57" s="1371"/>
      <c r="AV57" s="1371"/>
      <c r="AW57" s="1371"/>
      <c r="AX57" s="1371"/>
      <c r="AY57" s="1371"/>
      <c r="AZ57" s="1371"/>
      <c r="BA57" s="1371"/>
      <c r="BB57" s="1371"/>
      <c r="BC57" s="1371"/>
      <c r="BD57" s="1371"/>
      <c r="BE57" s="1371"/>
      <c r="BF57" s="1371"/>
      <c r="BG57" s="1371"/>
      <c r="BH57" s="1381"/>
      <c r="BI57" s="1416">
        <f>SUM(BI13:BI56)</f>
        <v>2734184058.8000002</v>
      </c>
      <c r="BJ57" s="1416">
        <f>SUM(BJ13:BJ56)</f>
        <v>1350680307.5999999</v>
      </c>
      <c r="BK57" s="1382"/>
      <c r="BL57" s="1371"/>
      <c r="BM57" s="1383"/>
      <c r="BN57" s="1383"/>
      <c r="BO57" s="1384"/>
      <c r="BP57" s="1384"/>
      <c r="BQ57" s="1385"/>
      <c r="BR57" s="1381"/>
    </row>
    <row r="60" spans="1:70" ht="42.75" customHeight="1" x14ac:dyDescent="0.2">
      <c r="F60" s="5451" t="s">
        <v>989</v>
      </c>
      <c r="G60" s="5451"/>
      <c r="H60" s="5451"/>
      <c r="I60" s="5451"/>
      <c r="J60" s="5451"/>
    </row>
    <row r="61" spans="1:70" ht="14.25" customHeight="1" x14ac:dyDescent="0.2">
      <c r="F61" s="5452" t="s">
        <v>990</v>
      </c>
      <c r="G61" s="5452"/>
      <c r="H61" s="5452"/>
      <c r="I61" s="5452"/>
    </row>
    <row r="62" spans="1:70" ht="29.25" customHeight="1" x14ac:dyDescent="0.2">
      <c r="F62" s="5452"/>
      <c r="G62" s="5452"/>
      <c r="H62" s="5452"/>
      <c r="I62" s="5452"/>
    </row>
    <row r="63" spans="1:70" x14ac:dyDescent="0.2">
      <c r="T63" s="1391"/>
      <c r="U63" s="1391"/>
      <c r="V63" s="1391"/>
    </row>
  </sheetData>
  <sheetProtection password="A60F" sheet="1" objects="1" scenarios="1"/>
  <mergeCells count="420">
    <mergeCell ref="BP55:BP56"/>
    <mergeCell ref="BQ55:BQ56"/>
    <mergeCell ref="BR55:BR56"/>
    <mergeCell ref="F60:J60"/>
    <mergeCell ref="F61:I62"/>
    <mergeCell ref="BI55:BI56"/>
    <mergeCell ref="BJ55:BJ56"/>
    <mergeCell ref="BK55:BK56"/>
    <mergeCell ref="BM55:BM56"/>
    <mergeCell ref="BN55:BN56"/>
    <mergeCell ref="BO55:BO56"/>
    <mergeCell ref="BC55:BC56"/>
    <mergeCell ref="BD55:BD56"/>
    <mergeCell ref="BE55:BE56"/>
    <mergeCell ref="BF55:BF56"/>
    <mergeCell ref="BG55:BG56"/>
    <mergeCell ref="BH55:BH56"/>
    <mergeCell ref="AW55:AW56"/>
    <mergeCell ref="AX55:AX56"/>
    <mergeCell ref="AY55:AY56"/>
    <mergeCell ref="AZ55:AZ56"/>
    <mergeCell ref="BA55:BA56"/>
    <mergeCell ref="BB55:BB56"/>
    <mergeCell ref="AQ55:AQ56"/>
    <mergeCell ref="AR55:AR56"/>
    <mergeCell ref="AS55:AS56"/>
    <mergeCell ref="AT55:AT56"/>
    <mergeCell ref="AU55:AU56"/>
    <mergeCell ref="AV55:AV56"/>
    <mergeCell ref="AK55:AK56"/>
    <mergeCell ref="AL55:AL56"/>
    <mergeCell ref="AM55:AM56"/>
    <mergeCell ref="AN55:AN56"/>
    <mergeCell ref="AO55:AO56"/>
    <mergeCell ref="AP55:AP56"/>
    <mergeCell ref="AE55:AE56"/>
    <mergeCell ref="AF55:AF56"/>
    <mergeCell ref="AG55:AG56"/>
    <mergeCell ref="AH55:AH56"/>
    <mergeCell ref="AI55:AI56"/>
    <mergeCell ref="AJ55:AJ56"/>
    <mergeCell ref="T55:T56"/>
    <mergeCell ref="U55:U56"/>
    <mergeCell ref="V55:V56"/>
    <mergeCell ref="AB55:AB56"/>
    <mergeCell ref="AC55:AC56"/>
    <mergeCell ref="AD55:AD56"/>
    <mergeCell ref="BQ50:BQ52"/>
    <mergeCell ref="BR50:BR52"/>
    <mergeCell ref="J55:J56"/>
    <mergeCell ref="K55:K56"/>
    <mergeCell ref="L55:L56"/>
    <mergeCell ref="M55:M56"/>
    <mergeCell ref="N55:N56"/>
    <mergeCell ref="P55:P56"/>
    <mergeCell ref="Q55:Q56"/>
    <mergeCell ref="S55:S56"/>
    <mergeCell ref="BJ50:BJ52"/>
    <mergeCell ref="BK50:BK52"/>
    <mergeCell ref="BM50:BM52"/>
    <mergeCell ref="BN50:BN52"/>
    <mergeCell ref="BO50:BO52"/>
    <mergeCell ref="BP50:BP52"/>
    <mergeCell ref="BC50:BC52"/>
    <mergeCell ref="BE50:BE52"/>
    <mergeCell ref="BF50:BF52"/>
    <mergeCell ref="BG50:BG52"/>
    <mergeCell ref="BH50:BH52"/>
    <mergeCell ref="BI50:BI52"/>
    <mergeCell ref="AW50:AW52"/>
    <mergeCell ref="AX50:AX52"/>
    <mergeCell ref="AY50:AY52"/>
    <mergeCell ref="AZ50:AZ52"/>
    <mergeCell ref="BA50:BA52"/>
    <mergeCell ref="BB50:BB52"/>
    <mergeCell ref="AQ50:AQ52"/>
    <mergeCell ref="AR50:AR52"/>
    <mergeCell ref="AS50:AS52"/>
    <mergeCell ref="AT50:AT52"/>
    <mergeCell ref="AU50:AU52"/>
    <mergeCell ref="AV50:AV52"/>
    <mergeCell ref="AK50:AK52"/>
    <mergeCell ref="AL50:AL52"/>
    <mergeCell ref="AM50:AM52"/>
    <mergeCell ref="AN50:AN52"/>
    <mergeCell ref="AO50:AO52"/>
    <mergeCell ref="AP50:AP52"/>
    <mergeCell ref="AE50:AE52"/>
    <mergeCell ref="AF50:AF52"/>
    <mergeCell ref="AG50:AG52"/>
    <mergeCell ref="AH50:AH52"/>
    <mergeCell ref="AI50:AI52"/>
    <mergeCell ref="AJ50:AJ52"/>
    <mergeCell ref="T50:T52"/>
    <mergeCell ref="U50:U52"/>
    <mergeCell ref="V50:V52"/>
    <mergeCell ref="AB50:AB52"/>
    <mergeCell ref="AC50:AC52"/>
    <mergeCell ref="AD50:AD52"/>
    <mergeCell ref="N45:N48"/>
    <mergeCell ref="V45:V48"/>
    <mergeCell ref="J50:J52"/>
    <mergeCell ref="K50:K52"/>
    <mergeCell ref="L50:L52"/>
    <mergeCell ref="M50:M52"/>
    <mergeCell ref="N50:N52"/>
    <mergeCell ref="P50:P52"/>
    <mergeCell ref="Q50:Q52"/>
    <mergeCell ref="S50:S52"/>
    <mergeCell ref="Q38:Q48"/>
    <mergeCell ref="S38:S48"/>
    <mergeCell ref="T38:T48"/>
    <mergeCell ref="U38:U48"/>
    <mergeCell ref="V38:V40"/>
    <mergeCell ref="AB38:AB48"/>
    <mergeCell ref="V41:V44"/>
    <mergeCell ref="J38:J40"/>
    <mergeCell ref="BN38:BN48"/>
    <mergeCell ref="BO38:BO48"/>
    <mergeCell ref="BP38:BP48"/>
    <mergeCell ref="BQ38:BQ48"/>
    <mergeCell ref="BR38:BR48"/>
    <mergeCell ref="J41:J44"/>
    <mergeCell ref="K41:K44"/>
    <mergeCell ref="L41:L44"/>
    <mergeCell ref="M41:M44"/>
    <mergeCell ref="N41:N44"/>
    <mergeCell ref="BG38:BG48"/>
    <mergeCell ref="BH38:BH48"/>
    <mergeCell ref="BI38:BI48"/>
    <mergeCell ref="BJ38:BJ48"/>
    <mergeCell ref="BK38:BK48"/>
    <mergeCell ref="BM38:BM48"/>
    <mergeCell ref="BA38:BA48"/>
    <mergeCell ref="BB38:BB48"/>
    <mergeCell ref="BC38:BC48"/>
    <mergeCell ref="BD38:BD48"/>
    <mergeCell ref="BE38:BE48"/>
    <mergeCell ref="BF38:BF48"/>
    <mergeCell ref="AU38:AU48"/>
    <mergeCell ref="AV38:AV48"/>
    <mergeCell ref="AW38:AW48"/>
    <mergeCell ref="AX38:AX48"/>
    <mergeCell ref="AY38:AY48"/>
    <mergeCell ref="AZ38:AZ48"/>
    <mergeCell ref="AO38:AO48"/>
    <mergeCell ref="AP38:AP48"/>
    <mergeCell ref="AQ38:AQ48"/>
    <mergeCell ref="AR38:AR48"/>
    <mergeCell ref="AS38:AS48"/>
    <mergeCell ref="AT38:AT48"/>
    <mergeCell ref="AI38:AI48"/>
    <mergeCell ref="AJ38:AJ48"/>
    <mergeCell ref="AK38:AK48"/>
    <mergeCell ref="AL38:AL48"/>
    <mergeCell ref="AM38:AM48"/>
    <mergeCell ref="AN38:AN48"/>
    <mergeCell ref="AC38:AC48"/>
    <mergeCell ref="AD38:AD48"/>
    <mergeCell ref="AE38:AE48"/>
    <mergeCell ref="AF38:AF48"/>
    <mergeCell ref="AG38:AG48"/>
    <mergeCell ref="AH38:AH48"/>
    <mergeCell ref="K38:K40"/>
    <mergeCell ref="L38:L40"/>
    <mergeCell ref="M38:M40"/>
    <mergeCell ref="N38:N40"/>
    <mergeCell ref="P38:P48"/>
    <mergeCell ref="J45:J48"/>
    <mergeCell ref="K45:K48"/>
    <mergeCell ref="L45:L48"/>
    <mergeCell ref="M45:M48"/>
    <mergeCell ref="J34:J35"/>
    <mergeCell ref="K34:K35"/>
    <mergeCell ref="L34:L35"/>
    <mergeCell ref="M34:M35"/>
    <mergeCell ref="N34:N35"/>
    <mergeCell ref="V34:V35"/>
    <mergeCell ref="BO30:BO35"/>
    <mergeCell ref="BP30:BP35"/>
    <mergeCell ref="BQ30:BQ35"/>
    <mergeCell ref="BA30:BA35"/>
    <mergeCell ref="AP30:AP35"/>
    <mergeCell ref="AQ30:AQ35"/>
    <mergeCell ref="AR30:AR35"/>
    <mergeCell ref="AS30:AS35"/>
    <mergeCell ref="AT30:AT35"/>
    <mergeCell ref="AU30:AU35"/>
    <mergeCell ref="AJ30:AJ35"/>
    <mergeCell ref="AK30:AK35"/>
    <mergeCell ref="AL30:AL35"/>
    <mergeCell ref="AM30:AM35"/>
    <mergeCell ref="AN30:AN35"/>
    <mergeCell ref="AO30:AO35"/>
    <mergeCell ref="AD30:AD35"/>
    <mergeCell ref="AE30:AE35"/>
    <mergeCell ref="BR30:BR35"/>
    <mergeCell ref="J32:J33"/>
    <mergeCell ref="K32:K33"/>
    <mergeCell ref="L32:L33"/>
    <mergeCell ref="M32:M33"/>
    <mergeCell ref="N32:N33"/>
    <mergeCell ref="V32:V33"/>
    <mergeCell ref="BH30:BH35"/>
    <mergeCell ref="BI30:BI35"/>
    <mergeCell ref="BJ30:BJ35"/>
    <mergeCell ref="BK30:BK35"/>
    <mergeCell ref="BM30:BM35"/>
    <mergeCell ref="BN30:BN35"/>
    <mergeCell ref="BB30:BB35"/>
    <mergeCell ref="BC30:BC35"/>
    <mergeCell ref="BD30:BD35"/>
    <mergeCell ref="BE30:BE35"/>
    <mergeCell ref="BF30:BF35"/>
    <mergeCell ref="BG30:BG35"/>
    <mergeCell ref="AV30:AV35"/>
    <mergeCell ref="AW30:AW35"/>
    <mergeCell ref="AX30:AX35"/>
    <mergeCell ref="AY30:AY35"/>
    <mergeCell ref="AZ30:AZ35"/>
    <mergeCell ref="AF30:AF35"/>
    <mergeCell ref="AG30:AG35"/>
    <mergeCell ref="AH30:AH35"/>
    <mergeCell ref="AI30:AI35"/>
    <mergeCell ref="S30:S35"/>
    <mergeCell ref="T30:T35"/>
    <mergeCell ref="U30:U35"/>
    <mergeCell ref="V30:V31"/>
    <mergeCell ref="AB30:AB35"/>
    <mergeCell ref="AC30:AC35"/>
    <mergeCell ref="BP24:BP28"/>
    <mergeCell ref="BQ24:BQ28"/>
    <mergeCell ref="BR24:BR28"/>
    <mergeCell ref="J30:J31"/>
    <mergeCell ref="K30:K31"/>
    <mergeCell ref="L30:L31"/>
    <mergeCell ref="M30:M31"/>
    <mergeCell ref="N30:N31"/>
    <mergeCell ref="P30:P35"/>
    <mergeCell ref="Q30:Q35"/>
    <mergeCell ref="BI24:BI28"/>
    <mergeCell ref="BJ24:BJ28"/>
    <mergeCell ref="BK24:BK28"/>
    <mergeCell ref="BM24:BM28"/>
    <mergeCell ref="BN24:BN28"/>
    <mergeCell ref="BO24:BO28"/>
    <mergeCell ref="BC24:BC28"/>
    <mergeCell ref="BD24:BD28"/>
    <mergeCell ref="BE24:BE28"/>
    <mergeCell ref="BF24:BF28"/>
    <mergeCell ref="BG24:BG28"/>
    <mergeCell ref="BH24:BH28"/>
    <mergeCell ref="AW24:AW28"/>
    <mergeCell ref="AX24:AX28"/>
    <mergeCell ref="AY24:AY28"/>
    <mergeCell ref="AZ24:AZ28"/>
    <mergeCell ref="BA24:BA28"/>
    <mergeCell ref="BB24:BB28"/>
    <mergeCell ref="AQ24:AQ28"/>
    <mergeCell ref="AR24:AR28"/>
    <mergeCell ref="AS24:AS28"/>
    <mergeCell ref="AT24:AT28"/>
    <mergeCell ref="AU24:AU28"/>
    <mergeCell ref="AV24:AV28"/>
    <mergeCell ref="AK24:AK28"/>
    <mergeCell ref="AL24:AL28"/>
    <mergeCell ref="AM24:AM28"/>
    <mergeCell ref="AN24:AN28"/>
    <mergeCell ref="AO24:AO28"/>
    <mergeCell ref="AP24:AP28"/>
    <mergeCell ref="AE24:AE28"/>
    <mergeCell ref="AF24:AF28"/>
    <mergeCell ref="AG24:AG28"/>
    <mergeCell ref="AH24:AH28"/>
    <mergeCell ref="AI24:AI28"/>
    <mergeCell ref="AJ24:AJ28"/>
    <mergeCell ref="T24:T28"/>
    <mergeCell ref="U24:U28"/>
    <mergeCell ref="V24:V28"/>
    <mergeCell ref="AB24:AB28"/>
    <mergeCell ref="AC24:AC28"/>
    <mergeCell ref="AD24:AD28"/>
    <mergeCell ref="BQ21:BQ22"/>
    <mergeCell ref="BR21:BR22"/>
    <mergeCell ref="J24:J28"/>
    <mergeCell ref="K24:K28"/>
    <mergeCell ref="L24:L28"/>
    <mergeCell ref="M24:M28"/>
    <mergeCell ref="N24:N28"/>
    <mergeCell ref="P24:P28"/>
    <mergeCell ref="Q24:Q28"/>
    <mergeCell ref="S24:S28"/>
    <mergeCell ref="BJ21:BJ22"/>
    <mergeCell ref="BK21:BK22"/>
    <mergeCell ref="BM21:BM22"/>
    <mergeCell ref="BN21:BN22"/>
    <mergeCell ref="BO21:BO22"/>
    <mergeCell ref="BP21:BP22"/>
    <mergeCell ref="Q21:Q22"/>
    <mergeCell ref="S21:S22"/>
    <mergeCell ref="T21:T22"/>
    <mergeCell ref="U21:U22"/>
    <mergeCell ref="V21:V22"/>
    <mergeCell ref="BI21:BI22"/>
    <mergeCell ref="BP13:BP19"/>
    <mergeCell ref="BQ13:BQ19"/>
    <mergeCell ref="BR13:BR19"/>
    <mergeCell ref="E18:F18"/>
    <mergeCell ref="J21:J22"/>
    <mergeCell ref="K21:K22"/>
    <mergeCell ref="L21:L22"/>
    <mergeCell ref="M21:M22"/>
    <mergeCell ref="N21:N22"/>
    <mergeCell ref="P21:P22"/>
    <mergeCell ref="BI13:BI19"/>
    <mergeCell ref="BJ13:BJ19"/>
    <mergeCell ref="BK13:BK19"/>
    <mergeCell ref="BM13:BM19"/>
    <mergeCell ref="BN13:BN19"/>
    <mergeCell ref="BO13:BO19"/>
    <mergeCell ref="BC13:BC22"/>
    <mergeCell ref="BD13:BD22"/>
    <mergeCell ref="BE13:BE22"/>
    <mergeCell ref="BF13:BF22"/>
    <mergeCell ref="BG13:BG22"/>
    <mergeCell ref="BH13:BH22"/>
    <mergeCell ref="AW13:AW22"/>
    <mergeCell ref="AX13:AX22"/>
    <mergeCell ref="AY13:AY22"/>
    <mergeCell ref="AZ13:AZ22"/>
    <mergeCell ref="BA13:BA22"/>
    <mergeCell ref="BB13:BB22"/>
    <mergeCell ref="AQ13:AQ22"/>
    <mergeCell ref="AR13:AR22"/>
    <mergeCell ref="AS13:AS22"/>
    <mergeCell ref="AT13:AT22"/>
    <mergeCell ref="AU13:AU22"/>
    <mergeCell ref="AV13:AV22"/>
    <mergeCell ref="AK13:AK22"/>
    <mergeCell ref="AL13:AL22"/>
    <mergeCell ref="AM13:AM22"/>
    <mergeCell ref="AN13:AN22"/>
    <mergeCell ref="AO13:AO22"/>
    <mergeCell ref="AP13:AP22"/>
    <mergeCell ref="AE13:AE22"/>
    <mergeCell ref="AF13:AF22"/>
    <mergeCell ref="AG13:AG22"/>
    <mergeCell ref="AH13:AH22"/>
    <mergeCell ref="AI13:AI22"/>
    <mergeCell ref="AJ13:AJ22"/>
    <mergeCell ref="T13:T19"/>
    <mergeCell ref="U13:U19"/>
    <mergeCell ref="V13:V17"/>
    <mergeCell ref="AB13:AB22"/>
    <mergeCell ref="AC13:AC22"/>
    <mergeCell ref="AD13:AD22"/>
    <mergeCell ref="BL8:BL9"/>
    <mergeCell ref="BM8:BM9"/>
    <mergeCell ref="J13:J18"/>
    <mergeCell ref="K13:K18"/>
    <mergeCell ref="L13:L18"/>
    <mergeCell ref="M13:M18"/>
    <mergeCell ref="N13:N18"/>
    <mergeCell ref="P13:P19"/>
    <mergeCell ref="Q13:Q19"/>
    <mergeCell ref="S13:S19"/>
    <mergeCell ref="BB8:BC8"/>
    <mergeCell ref="BD8:BE8"/>
    <mergeCell ref="BH8:BH9"/>
    <mergeCell ref="BI8:BI9"/>
    <mergeCell ref="BJ8:BJ9"/>
    <mergeCell ref="BK8:BK9"/>
    <mergeCell ref="V7:V9"/>
    <mergeCell ref="W7:Y8"/>
    <mergeCell ref="T7:T9"/>
    <mergeCell ref="U7:U9"/>
    <mergeCell ref="BR7:BR9"/>
    <mergeCell ref="AB8:AC8"/>
    <mergeCell ref="AD8:AE8"/>
    <mergeCell ref="AF8:AG8"/>
    <mergeCell ref="AH8:AI8"/>
    <mergeCell ref="AJ8:AK8"/>
    <mergeCell ref="AL8:AM8"/>
    <mergeCell ref="AN8:AO8"/>
    <mergeCell ref="AP8:AQ8"/>
    <mergeCell ref="AR8:AS8"/>
    <mergeCell ref="AN7:AY7"/>
    <mergeCell ref="AZ7:BE7"/>
    <mergeCell ref="BF7:BG8"/>
    <mergeCell ref="BH7:BM7"/>
    <mergeCell ref="BN7:BO8"/>
    <mergeCell ref="BP7:BQ8"/>
    <mergeCell ref="AT8:AU8"/>
    <mergeCell ref="AV8:AW8"/>
    <mergeCell ref="AX8:AY8"/>
    <mergeCell ref="AZ8:BA8"/>
    <mergeCell ref="H7:I9"/>
    <mergeCell ref="J7:J9"/>
    <mergeCell ref="K7:K9"/>
    <mergeCell ref="L7:L9"/>
    <mergeCell ref="M7:N8"/>
    <mergeCell ref="O7:O9"/>
    <mergeCell ref="A1:BP4"/>
    <mergeCell ref="A5:N6"/>
    <mergeCell ref="O5:BR5"/>
    <mergeCell ref="O6:AA6"/>
    <mergeCell ref="BN6:BR6"/>
    <mergeCell ref="A7:A9"/>
    <mergeCell ref="B7:C9"/>
    <mergeCell ref="D7:D9"/>
    <mergeCell ref="E7:F9"/>
    <mergeCell ref="G7:G9"/>
    <mergeCell ref="Z7:Z9"/>
    <mergeCell ref="AA7:AA9"/>
    <mergeCell ref="AB7:AE7"/>
    <mergeCell ref="AF7:AM7"/>
    <mergeCell ref="P7:P9"/>
    <mergeCell ref="Q7:Q9"/>
    <mergeCell ref="R7:R9"/>
    <mergeCell ref="S7:S9"/>
  </mergeCells>
  <pageMargins left="0.70866141732283472" right="0.70866141732283472" top="0.74803149606299213" bottom="0.74803149606299213" header="0.31496062992125984" footer="0.31496062992125984"/>
  <pageSetup paperSize="5" scale="4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5"/>
  <sheetViews>
    <sheetView showGridLines="0" zoomScale="70" zoomScaleNormal="70" workbookViewId="0">
      <selection sqref="A1:BM4"/>
    </sheetView>
  </sheetViews>
  <sheetFormatPr baseColWidth="10" defaultColWidth="11.42578125" defaultRowHeight="15.75" x14ac:dyDescent="0.25"/>
  <cols>
    <col min="1" max="1" width="18" style="2517" customWidth="1"/>
    <col min="2" max="2" width="21.140625" style="2517" customWidth="1"/>
    <col min="3" max="3" width="15.140625" style="2517" customWidth="1"/>
    <col min="4" max="4" width="20.85546875" style="2517" customWidth="1"/>
    <col min="5" max="5" width="18.7109375" style="2517" customWidth="1"/>
    <col min="6" max="6" width="27.28515625" style="2517" customWidth="1"/>
    <col min="7" max="7" width="20" style="2517" customWidth="1"/>
    <col min="8" max="8" width="35.42578125" style="2517" customWidth="1"/>
    <col min="9" max="9" width="36.5703125" style="2587" customWidth="1"/>
    <col min="10" max="11" width="18.5703125" style="2517" customWidth="1"/>
    <col min="12" max="12" width="28.85546875" style="2517" customWidth="1"/>
    <col min="13" max="13" width="29.140625" style="2517" customWidth="1"/>
    <col min="14" max="14" width="24" style="2517" customWidth="1"/>
    <col min="15" max="15" width="17.5703125" style="2517" customWidth="1"/>
    <col min="16" max="16" width="30.7109375" style="2517" customWidth="1"/>
    <col min="17" max="17" width="23.7109375" style="2517" customWidth="1"/>
    <col min="18" max="18" width="30.85546875" style="2517" customWidth="1"/>
    <col min="19" max="19" width="23.85546875" style="2517" customWidth="1"/>
    <col min="20" max="20" width="33.5703125" style="2517" bestFit="1" customWidth="1"/>
    <col min="21" max="22" width="32.140625" style="2517" customWidth="1"/>
    <col min="23" max="23" width="11.5703125" style="2586" bestFit="1" customWidth="1"/>
    <col min="24" max="24" width="22.7109375" style="2586" customWidth="1"/>
    <col min="25" max="32" width="11.5703125" style="2517" bestFit="1" customWidth="1"/>
    <col min="33" max="34" width="13" style="2517" customWidth="1"/>
    <col min="35" max="35" width="11.5703125" style="2588" bestFit="1" customWidth="1"/>
    <col min="36" max="36" width="11.5703125" style="2517" bestFit="1" customWidth="1"/>
    <col min="37" max="38" width="4.85546875" style="2517" customWidth="1"/>
    <col min="39" max="40" width="5.28515625" style="2517" customWidth="1"/>
    <col min="41" max="42" width="4.28515625" style="2517" customWidth="1"/>
    <col min="43" max="44" width="3.7109375" style="2517" customWidth="1"/>
    <col min="45" max="46" width="4.140625" style="2517" customWidth="1"/>
    <col min="47" max="48" width="5.42578125" style="2517" customWidth="1"/>
    <col min="49" max="50" width="6.5703125" style="2517" customWidth="1"/>
    <col min="51" max="52" width="5.140625" style="2517" customWidth="1"/>
    <col min="53" max="54" width="4.85546875" style="2517" customWidth="1"/>
    <col min="55" max="56" width="8.42578125" style="2517" customWidth="1"/>
    <col min="57" max="57" width="19.5703125" style="2517" customWidth="1"/>
    <col min="58" max="58" width="38.42578125" style="2517" customWidth="1"/>
    <col min="59" max="59" width="33.7109375" style="2517" customWidth="1"/>
    <col min="60" max="60" width="17.85546875" style="2517" customWidth="1"/>
    <col min="61" max="61" width="22.28515625" style="2517" customWidth="1"/>
    <col min="62" max="62" width="20.42578125" style="2517" customWidth="1"/>
    <col min="63" max="63" width="12.7109375" style="2517" bestFit="1" customWidth="1"/>
    <col min="64" max="64" width="12.5703125" style="2517" customWidth="1"/>
    <col min="65" max="66" width="13.7109375" style="2517" customWidth="1"/>
    <col min="67" max="67" width="22.42578125" style="2517" customWidth="1"/>
    <col min="68" max="16384" width="11.42578125" style="2517"/>
  </cols>
  <sheetData>
    <row r="1" spans="1:67" ht="18" customHeight="1" x14ac:dyDescent="0.25">
      <c r="A1" s="5404" t="s">
        <v>2354</v>
      </c>
      <c r="B1" s="5404"/>
      <c r="C1" s="5404"/>
      <c r="D1" s="5404"/>
      <c r="E1" s="5404"/>
      <c r="F1" s="5404"/>
      <c r="G1" s="5404"/>
      <c r="H1" s="5404"/>
      <c r="I1" s="5404"/>
      <c r="J1" s="5404"/>
      <c r="K1" s="5404"/>
      <c r="L1" s="5404"/>
      <c r="M1" s="5404"/>
      <c r="N1" s="5404"/>
      <c r="O1" s="5404"/>
      <c r="P1" s="5404"/>
      <c r="Q1" s="5404"/>
      <c r="R1" s="5404"/>
      <c r="S1" s="5404"/>
      <c r="T1" s="5404"/>
      <c r="U1" s="5404"/>
      <c r="V1" s="5404"/>
      <c r="W1" s="5404"/>
      <c r="X1" s="5404"/>
      <c r="Y1" s="5404"/>
      <c r="Z1" s="5404"/>
      <c r="AA1" s="5404"/>
      <c r="AB1" s="5404"/>
      <c r="AC1" s="5404"/>
      <c r="AD1" s="5404"/>
      <c r="AE1" s="5404"/>
      <c r="AF1" s="5404"/>
      <c r="AG1" s="5404"/>
      <c r="AH1" s="5404"/>
      <c r="AI1" s="5404"/>
      <c r="AJ1" s="5404"/>
      <c r="AK1" s="5404"/>
      <c r="AL1" s="5404"/>
      <c r="AM1" s="5404"/>
      <c r="AN1" s="5404"/>
      <c r="AO1" s="5404"/>
      <c r="AP1" s="5404"/>
      <c r="AQ1" s="5404"/>
      <c r="AR1" s="5404"/>
      <c r="AS1" s="5404"/>
      <c r="AT1" s="5404"/>
      <c r="AU1" s="5404"/>
      <c r="AV1" s="5404"/>
      <c r="AW1" s="5404"/>
      <c r="AX1" s="5404"/>
      <c r="AY1" s="5404"/>
      <c r="AZ1" s="5404"/>
      <c r="BA1" s="5404"/>
      <c r="BB1" s="5404"/>
      <c r="BC1" s="5404"/>
      <c r="BD1" s="5404"/>
      <c r="BE1" s="5404"/>
      <c r="BF1" s="5404"/>
      <c r="BG1" s="5404"/>
      <c r="BH1" s="5404"/>
      <c r="BI1" s="5404"/>
      <c r="BJ1" s="5404"/>
      <c r="BK1" s="5404"/>
      <c r="BL1" s="5404"/>
      <c r="BM1" s="5405"/>
      <c r="BN1" s="2516" t="s">
        <v>199</v>
      </c>
      <c r="BO1" s="1301" t="s">
        <v>1</v>
      </c>
    </row>
    <row r="2" spans="1:67" x14ac:dyDescent="0.25">
      <c r="A2" s="5404"/>
      <c r="B2" s="5404"/>
      <c r="C2" s="5404"/>
      <c r="D2" s="5404"/>
      <c r="E2" s="5404"/>
      <c r="F2" s="5404"/>
      <c r="G2" s="5404"/>
      <c r="H2" s="5404"/>
      <c r="I2" s="5404"/>
      <c r="J2" s="5404"/>
      <c r="K2" s="5404"/>
      <c r="L2" s="5404"/>
      <c r="M2" s="5404"/>
      <c r="N2" s="5404"/>
      <c r="O2" s="5404"/>
      <c r="P2" s="5404"/>
      <c r="Q2" s="5404"/>
      <c r="R2" s="5404"/>
      <c r="S2" s="5404"/>
      <c r="T2" s="5404"/>
      <c r="U2" s="5404"/>
      <c r="V2" s="5404"/>
      <c r="W2" s="5404"/>
      <c r="X2" s="5404"/>
      <c r="Y2" s="5404"/>
      <c r="Z2" s="5404"/>
      <c r="AA2" s="5404"/>
      <c r="AB2" s="5404"/>
      <c r="AC2" s="5404"/>
      <c r="AD2" s="5404"/>
      <c r="AE2" s="5404"/>
      <c r="AF2" s="5404"/>
      <c r="AG2" s="5404"/>
      <c r="AH2" s="5404"/>
      <c r="AI2" s="5404"/>
      <c r="AJ2" s="5404"/>
      <c r="AK2" s="5404"/>
      <c r="AL2" s="5404"/>
      <c r="AM2" s="5404"/>
      <c r="AN2" s="5404"/>
      <c r="AO2" s="5404"/>
      <c r="AP2" s="5404"/>
      <c r="AQ2" s="5404"/>
      <c r="AR2" s="5404"/>
      <c r="AS2" s="5404"/>
      <c r="AT2" s="5404"/>
      <c r="AU2" s="5404"/>
      <c r="AV2" s="5404"/>
      <c r="AW2" s="5404"/>
      <c r="AX2" s="5404"/>
      <c r="AY2" s="5404"/>
      <c r="AZ2" s="5404"/>
      <c r="BA2" s="5404"/>
      <c r="BB2" s="5404"/>
      <c r="BC2" s="5404"/>
      <c r="BD2" s="5404"/>
      <c r="BE2" s="5404"/>
      <c r="BF2" s="5404"/>
      <c r="BG2" s="5404"/>
      <c r="BH2" s="5404"/>
      <c r="BI2" s="5404"/>
      <c r="BJ2" s="5404"/>
      <c r="BK2" s="5404"/>
      <c r="BL2" s="5404"/>
      <c r="BM2" s="5405"/>
      <c r="BN2" s="2516" t="s">
        <v>2</v>
      </c>
      <c r="BO2" s="2518">
        <v>6</v>
      </c>
    </row>
    <row r="3" spans="1:67" x14ac:dyDescent="0.25">
      <c r="A3" s="5404"/>
      <c r="B3" s="5404"/>
      <c r="C3" s="5404"/>
      <c r="D3" s="5404"/>
      <c r="E3" s="5404"/>
      <c r="F3" s="5404"/>
      <c r="G3" s="5404"/>
      <c r="H3" s="5404"/>
      <c r="I3" s="5404"/>
      <c r="J3" s="5404"/>
      <c r="K3" s="5404"/>
      <c r="L3" s="5404"/>
      <c r="M3" s="5404"/>
      <c r="N3" s="5404"/>
      <c r="O3" s="5404"/>
      <c r="P3" s="5404"/>
      <c r="Q3" s="5404"/>
      <c r="R3" s="5404"/>
      <c r="S3" s="5404"/>
      <c r="T3" s="5404"/>
      <c r="U3" s="5404"/>
      <c r="V3" s="5404"/>
      <c r="W3" s="5404"/>
      <c r="X3" s="5404"/>
      <c r="Y3" s="5404"/>
      <c r="Z3" s="5404"/>
      <c r="AA3" s="5404"/>
      <c r="AB3" s="5404"/>
      <c r="AC3" s="5404"/>
      <c r="AD3" s="5404"/>
      <c r="AE3" s="5404"/>
      <c r="AF3" s="5404"/>
      <c r="AG3" s="5404"/>
      <c r="AH3" s="5404"/>
      <c r="AI3" s="5404"/>
      <c r="AJ3" s="5404"/>
      <c r="AK3" s="5404"/>
      <c r="AL3" s="5404"/>
      <c r="AM3" s="5404"/>
      <c r="AN3" s="5404"/>
      <c r="AO3" s="5404"/>
      <c r="AP3" s="5404"/>
      <c r="AQ3" s="5404"/>
      <c r="AR3" s="5404"/>
      <c r="AS3" s="5404"/>
      <c r="AT3" s="5404"/>
      <c r="AU3" s="5404"/>
      <c r="AV3" s="5404"/>
      <c r="AW3" s="5404"/>
      <c r="AX3" s="5404"/>
      <c r="AY3" s="5404"/>
      <c r="AZ3" s="5404"/>
      <c r="BA3" s="5404"/>
      <c r="BB3" s="5404"/>
      <c r="BC3" s="5404"/>
      <c r="BD3" s="5404"/>
      <c r="BE3" s="5404"/>
      <c r="BF3" s="5404"/>
      <c r="BG3" s="5404"/>
      <c r="BH3" s="5404"/>
      <c r="BI3" s="5404"/>
      <c r="BJ3" s="5404"/>
      <c r="BK3" s="5404"/>
      <c r="BL3" s="5404"/>
      <c r="BM3" s="5405"/>
      <c r="BN3" s="2516" t="s">
        <v>3</v>
      </c>
      <c r="BO3" s="2519" t="s">
        <v>4</v>
      </c>
    </row>
    <row r="4" spans="1:67" x14ac:dyDescent="0.25">
      <c r="A4" s="5407"/>
      <c r="B4" s="5407"/>
      <c r="C4" s="5407"/>
      <c r="D4" s="5407"/>
      <c r="E4" s="5407"/>
      <c r="F4" s="5407"/>
      <c r="G4" s="5407"/>
      <c r="H4" s="5407"/>
      <c r="I4" s="5407"/>
      <c r="J4" s="5407"/>
      <c r="K4" s="5407"/>
      <c r="L4" s="5407"/>
      <c r="M4" s="5407"/>
      <c r="N4" s="5407"/>
      <c r="O4" s="5407"/>
      <c r="P4" s="5407"/>
      <c r="Q4" s="5407"/>
      <c r="R4" s="5407"/>
      <c r="S4" s="5407"/>
      <c r="T4" s="5407"/>
      <c r="U4" s="5407"/>
      <c r="V4" s="5407"/>
      <c r="W4" s="5407"/>
      <c r="X4" s="5407"/>
      <c r="Y4" s="5407"/>
      <c r="Z4" s="5407"/>
      <c r="AA4" s="5407"/>
      <c r="AB4" s="5407"/>
      <c r="AC4" s="5407"/>
      <c r="AD4" s="5407"/>
      <c r="AE4" s="5407"/>
      <c r="AF4" s="5407"/>
      <c r="AG4" s="5407"/>
      <c r="AH4" s="5407"/>
      <c r="AI4" s="5407"/>
      <c r="AJ4" s="5407"/>
      <c r="AK4" s="5407"/>
      <c r="AL4" s="5407"/>
      <c r="AM4" s="5407"/>
      <c r="AN4" s="5407"/>
      <c r="AO4" s="5407"/>
      <c r="AP4" s="5407"/>
      <c r="AQ4" s="5407"/>
      <c r="AR4" s="5407"/>
      <c r="AS4" s="5407"/>
      <c r="AT4" s="5407"/>
      <c r="AU4" s="5407"/>
      <c r="AV4" s="5407"/>
      <c r="AW4" s="5407"/>
      <c r="AX4" s="5407"/>
      <c r="AY4" s="5407"/>
      <c r="AZ4" s="5407"/>
      <c r="BA4" s="5407"/>
      <c r="BB4" s="5407"/>
      <c r="BC4" s="5407"/>
      <c r="BD4" s="5407"/>
      <c r="BE4" s="5407"/>
      <c r="BF4" s="5407"/>
      <c r="BG4" s="5407"/>
      <c r="BH4" s="5407"/>
      <c r="BI4" s="5407"/>
      <c r="BJ4" s="5407"/>
      <c r="BK4" s="5407"/>
      <c r="BL4" s="5407"/>
      <c r="BM4" s="5408"/>
      <c r="BN4" s="1303" t="s">
        <v>5</v>
      </c>
      <c r="BO4" s="2520" t="s">
        <v>6</v>
      </c>
    </row>
    <row r="5" spans="1:67" x14ac:dyDescent="0.25">
      <c r="A5" s="5459" t="s">
        <v>7</v>
      </c>
      <c r="B5" s="3874"/>
      <c r="C5" s="3874"/>
      <c r="D5" s="3874"/>
      <c r="E5" s="3874"/>
      <c r="F5" s="3874"/>
      <c r="G5" s="3874"/>
      <c r="H5" s="3874"/>
      <c r="I5" s="3874"/>
      <c r="J5" s="5062"/>
      <c r="K5" s="2492"/>
      <c r="L5" s="3878" t="s">
        <v>8</v>
      </c>
      <c r="M5" s="3880"/>
      <c r="N5" s="3880"/>
      <c r="O5" s="3880"/>
      <c r="P5" s="3880"/>
      <c r="Q5" s="3880"/>
      <c r="R5" s="3880"/>
      <c r="S5" s="3880"/>
      <c r="T5" s="3880"/>
      <c r="U5" s="3880"/>
      <c r="V5" s="3880"/>
      <c r="W5" s="3880"/>
      <c r="X5" s="3880"/>
      <c r="Y5" s="3880"/>
      <c r="Z5" s="3880"/>
      <c r="AA5" s="3880"/>
      <c r="AB5" s="3880"/>
      <c r="AC5" s="3880"/>
      <c r="AD5" s="3880"/>
      <c r="AE5" s="3880"/>
      <c r="AF5" s="3880"/>
      <c r="AG5" s="3880"/>
      <c r="AH5" s="3880"/>
      <c r="AI5" s="3880"/>
      <c r="AJ5" s="3880"/>
      <c r="AK5" s="3880"/>
      <c r="AL5" s="3880"/>
      <c r="AM5" s="3880"/>
      <c r="AN5" s="3880"/>
      <c r="AO5" s="3880"/>
      <c r="AP5" s="3880"/>
      <c r="AQ5" s="3880"/>
      <c r="AR5" s="3880"/>
      <c r="AS5" s="3880"/>
      <c r="AT5" s="3880"/>
      <c r="AU5" s="3880"/>
      <c r="AV5" s="3880"/>
      <c r="AW5" s="3880"/>
      <c r="AX5" s="3880"/>
      <c r="AY5" s="3880"/>
      <c r="AZ5" s="3880"/>
      <c r="BA5" s="3880"/>
      <c r="BB5" s="3880"/>
      <c r="BC5" s="3881"/>
      <c r="BD5" s="2492"/>
      <c r="BE5" s="2492"/>
      <c r="BF5" s="2492"/>
      <c r="BG5" s="2492"/>
      <c r="BH5" s="2492"/>
      <c r="BI5" s="2492"/>
      <c r="BJ5" s="2492"/>
      <c r="BK5" s="5460"/>
      <c r="BL5" s="5461"/>
      <c r="BM5" s="5461"/>
      <c r="BN5" s="5461"/>
      <c r="BO5" s="5462"/>
    </row>
    <row r="6" spans="1:67" ht="15.75" customHeight="1" x14ac:dyDescent="0.25">
      <c r="A6" s="4170"/>
      <c r="B6" s="3876"/>
      <c r="C6" s="3876"/>
      <c r="D6" s="3876"/>
      <c r="E6" s="3876"/>
      <c r="F6" s="3876"/>
      <c r="G6" s="3876"/>
      <c r="H6" s="3876"/>
      <c r="I6" s="3876"/>
      <c r="J6" s="5063"/>
      <c r="K6" s="2492"/>
      <c r="L6" s="3878"/>
      <c r="M6" s="3880"/>
      <c r="N6" s="3880"/>
      <c r="O6" s="3880"/>
      <c r="P6" s="3880"/>
      <c r="Q6" s="3880"/>
      <c r="R6" s="3880"/>
      <c r="S6" s="3880"/>
      <c r="T6" s="3880"/>
      <c r="U6" s="3880"/>
      <c r="V6" s="3880"/>
      <c r="W6" s="3880"/>
      <c r="X6" s="3881"/>
      <c r="Y6" s="3878" t="s">
        <v>2355</v>
      </c>
      <c r="Z6" s="3880"/>
      <c r="AA6" s="3880"/>
      <c r="AB6" s="3880"/>
      <c r="AC6" s="3880"/>
      <c r="AD6" s="3880"/>
      <c r="AE6" s="3880"/>
      <c r="AF6" s="3880"/>
      <c r="AG6" s="3880"/>
      <c r="AH6" s="3880"/>
      <c r="AI6" s="3880"/>
      <c r="AJ6" s="3880"/>
      <c r="AK6" s="3880"/>
      <c r="AL6" s="3880"/>
      <c r="AM6" s="3880"/>
      <c r="AN6" s="3880"/>
      <c r="AO6" s="3880"/>
      <c r="AP6" s="3880"/>
      <c r="AQ6" s="3880"/>
      <c r="AR6" s="3880"/>
      <c r="AS6" s="3880"/>
      <c r="AT6" s="3880"/>
      <c r="AU6" s="3880"/>
      <c r="AV6" s="3880"/>
      <c r="AW6" s="3880"/>
      <c r="AX6" s="3880"/>
      <c r="AY6" s="3880"/>
      <c r="AZ6" s="3880"/>
      <c r="BA6" s="3880"/>
      <c r="BB6" s="3880"/>
      <c r="BC6" s="3881"/>
      <c r="BD6" s="2492"/>
      <c r="BE6" s="2492"/>
      <c r="BF6" s="2492"/>
      <c r="BG6" s="2492"/>
      <c r="BH6" s="2492"/>
      <c r="BI6" s="2492"/>
      <c r="BJ6" s="2492"/>
      <c r="BK6" s="5463" t="s">
        <v>29</v>
      </c>
      <c r="BL6" s="5464"/>
      <c r="BM6" s="5463" t="s">
        <v>30</v>
      </c>
      <c r="BN6" s="5464"/>
      <c r="BO6" s="5469" t="s">
        <v>31</v>
      </c>
    </row>
    <row r="7" spans="1:67" ht="25.5" customHeight="1" x14ac:dyDescent="0.25">
      <c r="A7" s="5456" t="s">
        <v>0</v>
      </c>
      <c r="B7" s="5456" t="s">
        <v>2356</v>
      </c>
      <c r="C7" s="5456" t="s">
        <v>0</v>
      </c>
      <c r="D7" s="5456" t="s">
        <v>2357</v>
      </c>
      <c r="E7" s="5456" t="s">
        <v>0</v>
      </c>
      <c r="F7" s="5456" t="s">
        <v>2358</v>
      </c>
      <c r="G7" s="5456" t="s">
        <v>0</v>
      </c>
      <c r="H7" s="5453" t="s">
        <v>2359</v>
      </c>
      <c r="I7" s="5493" t="s">
        <v>13</v>
      </c>
      <c r="J7" s="5496" t="s">
        <v>14</v>
      </c>
      <c r="K7" s="5497"/>
      <c r="L7" s="5453" t="s">
        <v>15</v>
      </c>
      <c r="M7" s="5453" t="s">
        <v>2360</v>
      </c>
      <c r="N7" s="5453" t="s">
        <v>8</v>
      </c>
      <c r="O7" s="5453" t="s">
        <v>17</v>
      </c>
      <c r="P7" s="5453" t="s">
        <v>2361</v>
      </c>
      <c r="Q7" s="5453" t="s">
        <v>19</v>
      </c>
      <c r="R7" s="5453" t="s">
        <v>20</v>
      </c>
      <c r="S7" s="5453" t="s">
        <v>21</v>
      </c>
      <c r="T7" s="5487" t="s">
        <v>18</v>
      </c>
      <c r="U7" s="5488"/>
      <c r="V7" s="5489"/>
      <c r="W7" s="5453" t="s">
        <v>0</v>
      </c>
      <c r="X7" s="5453" t="s">
        <v>22</v>
      </c>
      <c r="Y7" s="3882" t="s">
        <v>23</v>
      </c>
      <c r="Z7" s="3883"/>
      <c r="AA7" s="3883"/>
      <c r="AB7" s="3884"/>
      <c r="AC7" s="3885" t="s">
        <v>24</v>
      </c>
      <c r="AD7" s="3886"/>
      <c r="AE7" s="3886"/>
      <c r="AF7" s="3886"/>
      <c r="AG7" s="3886"/>
      <c r="AH7" s="3886"/>
      <c r="AI7" s="3886"/>
      <c r="AJ7" s="3887"/>
      <c r="AK7" s="3888" t="s">
        <v>25</v>
      </c>
      <c r="AL7" s="3889"/>
      <c r="AM7" s="3889"/>
      <c r="AN7" s="3889"/>
      <c r="AO7" s="3889"/>
      <c r="AP7" s="3889"/>
      <c r="AQ7" s="3889"/>
      <c r="AR7" s="3889"/>
      <c r="AS7" s="3889"/>
      <c r="AT7" s="3889"/>
      <c r="AU7" s="3889"/>
      <c r="AV7" s="3890"/>
      <c r="AW7" s="3885" t="s">
        <v>26</v>
      </c>
      <c r="AX7" s="3886"/>
      <c r="AY7" s="3886"/>
      <c r="AZ7" s="3886"/>
      <c r="BA7" s="3886"/>
      <c r="BB7" s="3887"/>
      <c r="BC7" s="3891" t="s">
        <v>27</v>
      </c>
      <c r="BD7" s="5472"/>
      <c r="BE7" s="5474" t="s">
        <v>28</v>
      </c>
      <c r="BF7" s="5475"/>
      <c r="BG7" s="5475"/>
      <c r="BH7" s="5475"/>
      <c r="BI7" s="5475"/>
      <c r="BJ7" s="5476"/>
      <c r="BK7" s="5465"/>
      <c r="BL7" s="5466"/>
      <c r="BM7" s="5465"/>
      <c r="BN7" s="5466"/>
      <c r="BO7" s="5470"/>
    </row>
    <row r="8" spans="1:67" ht="144" customHeight="1" x14ac:dyDescent="0.25">
      <c r="A8" s="5457"/>
      <c r="B8" s="5457"/>
      <c r="C8" s="5457"/>
      <c r="D8" s="5457"/>
      <c r="E8" s="5457"/>
      <c r="F8" s="5457"/>
      <c r="G8" s="5457"/>
      <c r="H8" s="5454"/>
      <c r="I8" s="5494"/>
      <c r="J8" s="5498"/>
      <c r="K8" s="5499"/>
      <c r="L8" s="5454"/>
      <c r="M8" s="5454"/>
      <c r="N8" s="5454"/>
      <c r="O8" s="5454"/>
      <c r="P8" s="5454"/>
      <c r="Q8" s="5454"/>
      <c r="R8" s="5454"/>
      <c r="S8" s="5454"/>
      <c r="T8" s="5490"/>
      <c r="U8" s="5491"/>
      <c r="V8" s="5492"/>
      <c r="W8" s="5454"/>
      <c r="X8" s="5454"/>
      <c r="Y8" s="4150" t="s">
        <v>37</v>
      </c>
      <c r="Z8" s="4151"/>
      <c r="AA8" s="5477" t="s">
        <v>38</v>
      </c>
      <c r="AB8" s="5478"/>
      <c r="AC8" s="4150" t="s">
        <v>39</v>
      </c>
      <c r="AD8" s="4151"/>
      <c r="AE8" s="4150" t="s">
        <v>40</v>
      </c>
      <c r="AF8" s="4151"/>
      <c r="AG8" s="4150" t="s">
        <v>2352</v>
      </c>
      <c r="AH8" s="4151"/>
      <c r="AI8" s="4150" t="s">
        <v>42</v>
      </c>
      <c r="AJ8" s="4151"/>
      <c r="AK8" s="4150" t="s">
        <v>43</v>
      </c>
      <c r="AL8" s="4151"/>
      <c r="AM8" s="4150" t="s">
        <v>44</v>
      </c>
      <c r="AN8" s="4151"/>
      <c r="AO8" s="4150" t="s">
        <v>45</v>
      </c>
      <c r="AP8" s="4151"/>
      <c r="AQ8" s="4150" t="s">
        <v>46</v>
      </c>
      <c r="AR8" s="4151"/>
      <c r="AS8" s="4150" t="s">
        <v>47</v>
      </c>
      <c r="AT8" s="4151"/>
      <c r="AU8" s="4150" t="s">
        <v>48</v>
      </c>
      <c r="AV8" s="4151"/>
      <c r="AW8" s="4150" t="s">
        <v>49</v>
      </c>
      <c r="AX8" s="4151"/>
      <c r="AY8" s="4150" t="s">
        <v>50</v>
      </c>
      <c r="AZ8" s="4151"/>
      <c r="BA8" s="4150" t="s">
        <v>51</v>
      </c>
      <c r="BB8" s="4151"/>
      <c r="BC8" s="3893"/>
      <c r="BD8" s="5473"/>
      <c r="BE8" s="3495" t="s">
        <v>112</v>
      </c>
      <c r="BF8" s="4002" t="s">
        <v>53</v>
      </c>
      <c r="BG8" s="3495" t="s">
        <v>54</v>
      </c>
      <c r="BH8" s="5479" t="s">
        <v>55</v>
      </c>
      <c r="BI8" s="3495" t="s">
        <v>56</v>
      </c>
      <c r="BJ8" s="3495" t="s">
        <v>57</v>
      </c>
      <c r="BK8" s="5467"/>
      <c r="BL8" s="5468"/>
      <c r="BM8" s="5467"/>
      <c r="BN8" s="5468"/>
      <c r="BO8" s="5470"/>
    </row>
    <row r="9" spans="1:67" ht="33" customHeight="1" x14ac:dyDescent="0.25">
      <c r="A9" s="5458"/>
      <c r="B9" s="5458"/>
      <c r="C9" s="5458"/>
      <c r="D9" s="5458"/>
      <c r="E9" s="5458"/>
      <c r="F9" s="5458"/>
      <c r="G9" s="5458"/>
      <c r="H9" s="5455"/>
      <c r="I9" s="5495"/>
      <c r="J9" s="2521" t="s">
        <v>32</v>
      </c>
      <c r="K9" s="2521" t="s">
        <v>33</v>
      </c>
      <c r="L9" s="5455"/>
      <c r="M9" s="5455"/>
      <c r="N9" s="5455"/>
      <c r="O9" s="5455"/>
      <c r="P9" s="5455"/>
      <c r="Q9" s="5455"/>
      <c r="R9" s="5455"/>
      <c r="S9" s="5455"/>
      <c r="T9" s="2522" t="s">
        <v>34</v>
      </c>
      <c r="U9" s="2522" t="s">
        <v>35</v>
      </c>
      <c r="V9" s="2522" t="s">
        <v>36</v>
      </c>
      <c r="W9" s="5455"/>
      <c r="X9" s="5455"/>
      <c r="Y9" s="2521" t="s">
        <v>32</v>
      </c>
      <c r="Z9" s="2521" t="s">
        <v>33</v>
      </c>
      <c r="AA9" s="2521" t="s">
        <v>32</v>
      </c>
      <c r="AB9" s="2521" t="s">
        <v>33</v>
      </c>
      <c r="AC9" s="2521" t="s">
        <v>32</v>
      </c>
      <c r="AD9" s="2521" t="s">
        <v>33</v>
      </c>
      <c r="AE9" s="2521" t="s">
        <v>32</v>
      </c>
      <c r="AF9" s="2521" t="s">
        <v>33</v>
      </c>
      <c r="AG9" s="2521" t="s">
        <v>32</v>
      </c>
      <c r="AH9" s="2521" t="s">
        <v>33</v>
      </c>
      <c r="AI9" s="2523" t="s">
        <v>32</v>
      </c>
      <c r="AJ9" s="2521" t="s">
        <v>33</v>
      </c>
      <c r="AK9" s="2521" t="s">
        <v>32</v>
      </c>
      <c r="AL9" s="2521" t="s">
        <v>33</v>
      </c>
      <c r="AM9" s="2521" t="s">
        <v>32</v>
      </c>
      <c r="AN9" s="2521" t="s">
        <v>33</v>
      </c>
      <c r="AO9" s="2521" t="s">
        <v>32</v>
      </c>
      <c r="AP9" s="2521" t="s">
        <v>33</v>
      </c>
      <c r="AQ9" s="2521" t="s">
        <v>32</v>
      </c>
      <c r="AR9" s="2521" t="s">
        <v>33</v>
      </c>
      <c r="AS9" s="2521" t="s">
        <v>32</v>
      </c>
      <c r="AT9" s="2521" t="s">
        <v>33</v>
      </c>
      <c r="AU9" s="2521" t="s">
        <v>32</v>
      </c>
      <c r="AV9" s="2521" t="s">
        <v>33</v>
      </c>
      <c r="AW9" s="2521" t="s">
        <v>32</v>
      </c>
      <c r="AX9" s="2521" t="s">
        <v>33</v>
      </c>
      <c r="AY9" s="2521" t="s">
        <v>32</v>
      </c>
      <c r="AZ9" s="2521" t="s">
        <v>33</v>
      </c>
      <c r="BA9" s="2521" t="s">
        <v>32</v>
      </c>
      <c r="BB9" s="2521" t="s">
        <v>33</v>
      </c>
      <c r="BC9" s="2521" t="s">
        <v>32</v>
      </c>
      <c r="BD9" s="2521" t="s">
        <v>33</v>
      </c>
      <c r="BE9" s="3496"/>
      <c r="BF9" s="5486"/>
      <c r="BG9" s="3496"/>
      <c r="BH9" s="5480"/>
      <c r="BI9" s="3496"/>
      <c r="BJ9" s="3496"/>
      <c r="BK9" s="2521" t="s">
        <v>32</v>
      </c>
      <c r="BL9" s="2521" t="s">
        <v>33</v>
      </c>
      <c r="BM9" s="2521" t="s">
        <v>32</v>
      </c>
      <c r="BN9" s="2521" t="s">
        <v>33</v>
      </c>
      <c r="BO9" s="5471"/>
    </row>
    <row r="10" spans="1:67" ht="28.5" customHeight="1" x14ac:dyDescent="0.25">
      <c r="A10" s="2524">
        <v>2</v>
      </c>
      <c r="B10" s="5481" t="s">
        <v>334</v>
      </c>
      <c r="C10" s="5482"/>
      <c r="D10" s="5482"/>
      <c r="E10" s="2525"/>
      <c r="F10" s="2525"/>
      <c r="G10" s="2525"/>
      <c r="H10" s="2525"/>
      <c r="I10" s="2526"/>
      <c r="J10" s="2525"/>
      <c r="K10" s="2525"/>
      <c r="L10" s="2525"/>
      <c r="M10" s="2525"/>
      <c r="N10" s="2525"/>
      <c r="O10" s="2525"/>
      <c r="P10" s="2525"/>
      <c r="Q10" s="2525"/>
      <c r="R10" s="2525"/>
      <c r="S10" s="2525"/>
      <c r="T10" s="2525"/>
      <c r="U10" s="2525"/>
      <c r="V10" s="2525"/>
      <c r="W10" s="2527"/>
      <c r="X10" s="2527"/>
      <c r="Y10" s="2525"/>
      <c r="Z10" s="2525"/>
      <c r="AA10" s="2525"/>
      <c r="AB10" s="2525"/>
      <c r="AC10" s="2525"/>
      <c r="AD10" s="2525"/>
      <c r="AE10" s="2525"/>
      <c r="AF10" s="2525"/>
      <c r="AG10" s="2525"/>
      <c r="AH10" s="2525"/>
      <c r="AI10" s="2525"/>
      <c r="AJ10" s="2525"/>
      <c r="AK10" s="2525"/>
      <c r="AL10" s="2525"/>
      <c r="AM10" s="2525"/>
      <c r="AN10" s="2525"/>
      <c r="AO10" s="2525"/>
      <c r="AP10" s="2525"/>
      <c r="AQ10" s="2525"/>
      <c r="AR10" s="2525"/>
      <c r="AS10" s="2525"/>
      <c r="AT10" s="2525"/>
      <c r="AU10" s="2525"/>
      <c r="AV10" s="2525"/>
      <c r="AW10" s="2525"/>
      <c r="AX10" s="2525"/>
      <c r="AY10" s="2525"/>
      <c r="AZ10" s="2525"/>
      <c r="BA10" s="2525"/>
      <c r="BB10" s="2525"/>
      <c r="BC10" s="2525"/>
      <c r="BD10" s="2525"/>
      <c r="BE10" s="2525"/>
      <c r="BF10" s="2525"/>
      <c r="BG10" s="2525"/>
      <c r="BH10" s="2525"/>
      <c r="BI10" s="2525"/>
      <c r="BJ10" s="2525"/>
      <c r="BK10" s="2528"/>
      <c r="BL10" s="2528"/>
      <c r="BM10" s="2528"/>
      <c r="BN10" s="2528"/>
      <c r="BO10" s="2529"/>
    </row>
    <row r="11" spans="1:67" ht="24.75" customHeight="1" x14ac:dyDescent="0.25">
      <c r="A11" s="2530"/>
      <c r="B11" s="2531"/>
      <c r="C11" s="2532">
        <v>4</v>
      </c>
      <c r="D11" s="5483" t="s">
        <v>2362</v>
      </c>
      <c r="E11" s="5484"/>
      <c r="F11" s="5484"/>
      <c r="G11" s="5484"/>
      <c r="H11" s="5484"/>
      <c r="I11" s="5484"/>
      <c r="J11" s="5484"/>
      <c r="K11" s="5484"/>
      <c r="L11" s="5484"/>
      <c r="M11" s="5484"/>
      <c r="N11" s="5484"/>
      <c r="O11" s="5484"/>
      <c r="P11" s="5484"/>
      <c r="Q11" s="5484"/>
      <c r="R11" s="5484"/>
      <c r="S11" s="5484"/>
      <c r="T11" s="5484"/>
      <c r="U11" s="5484"/>
      <c r="V11" s="5484"/>
      <c r="W11" s="5484"/>
      <c r="X11" s="5484"/>
      <c r="Y11" s="5484"/>
      <c r="Z11" s="5484"/>
      <c r="AA11" s="5484"/>
      <c r="AB11" s="5484"/>
      <c r="AC11" s="5484"/>
      <c r="AD11" s="5484"/>
      <c r="AE11" s="5484"/>
      <c r="AF11" s="5484"/>
      <c r="AG11" s="5484"/>
      <c r="AH11" s="5484"/>
      <c r="AI11" s="5484"/>
      <c r="AJ11" s="5484"/>
      <c r="AK11" s="5484"/>
      <c r="AL11" s="5484"/>
      <c r="AM11" s="5484"/>
      <c r="AN11" s="5484"/>
      <c r="AO11" s="5484"/>
      <c r="AP11" s="5484"/>
      <c r="AQ11" s="5484"/>
      <c r="AR11" s="5484"/>
      <c r="AS11" s="5484"/>
      <c r="AT11" s="5484"/>
      <c r="AU11" s="5484"/>
      <c r="AV11" s="5484"/>
      <c r="AW11" s="5484"/>
      <c r="AX11" s="5484"/>
      <c r="AY11" s="5484"/>
      <c r="AZ11" s="5484"/>
      <c r="BA11" s="5484"/>
      <c r="BB11" s="5484"/>
      <c r="BC11" s="5484"/>
      <c r="BD11" s="5484"/>
      <c r="BE11" s="5484"/>
      <c r="BF11" s="5484"/>
      <c r="BG11" s="5484"/>
      <c r="BH11" s="5484"/>
      <c r="BI11" s="5484"/>
      <c r="BJ11" s="5484"/>
      <c r="BK11" s="5484"/>
      <c r="BL11" s="5484"/>
      <c r="BM11" s="5484"/>
      <c r="BN11" s="5484"/>
      <c r="BO11" s="5485"/>
    </row>
    <row r="12" spans="1:67" ht="25.5" customHeight="1" x14ac:dyDescent="0.25">
      <c r="A12" s="2533"/>
      <c r="B12" s="2534"/>
      <c r="C12" s="2531"/>
      <c r="D12" s="2530"/>
      <c r="E12" s="2535">
        <v>14</v>
      </c>
      <c r="F12" s="5500" t="s">
        <v>2363</v>
      </c>
      <c r="G12" s="5501"/>
      <c r="H12" s="5501"/>
      <c r="I12" s="5501"/>
      <c r="J12" s="5501"/>
      <c r="K12" s="5501"/>
      <c r="L12" s="5501"/>
      <c r="M12" s="5501"/>
      <c r="N12" s="5501"/>
      <c r="O12" s="5501"/>
      <c r="P12" s="5501"/>
      <c r="Q12" s="5501"/>
      <c r="R12" s="5501"/>
      <c r="S12" s="5501"/>
      <c r="T12" s="5501"/>
      <c r="U12" s="5501"/>
      <c r="V12" s="5501"/>
      <c r="W12" s="5501"/>
      <c r="X12" s="5501"/>
      <c r="Y12" s="5501"/>
      <c r="Z12" s="5501"/>
      <c r="AA12" s="5501"/>
      <c r="AB12" s="5501"/>
      <c r="AC12" s="5501"/>
      <c r="AD12" s="5501"/>
      <c r="AE12" s="5501"/>
      <c r="AF12" s="5501"/>
      <c r="AG12" s="5501"/>
      <c r="AH12" s="5501"/>
      <c r="AI12" s="5501"/>
      <c r="AJ12" s="5501"/>
      <c r="AK12" s="5501"/>
      <c r="AL12" s="5501"/>
      <c r="AM12" s="5501"/>
      <c r="AN12" s="5501"/>
      <c r="AO12" s="5501"/>
      <c r="AP12" s="5501"/>
      <c r="AQ12" s="5501"/>
      <c r="AR12" s="5501"/>
      <c r="AS12" s="5501"/>
      <c r="AT12" s="5501"/>
      <c r="AU12" s="5501"/>
      <c r="AV12" s="5501"/>
      <c r="AW12" s="5501"/>
      <c r="AX12" s="5501"/>
      <c r="AY12" s="5501"/>
      <c r="AZ12" s="5501"/>
      <c r="BA12" s="5501"/>
      <c r="BB12" s="5501"/>
      <c r="BC12" s="5501"/>
      <c r="BD12" s="5501"/>
      <c r="BE12" s="5501"/>
      <c r="BF12" s="5501"/>
      <c r="BG12" s="5501"/>
      <c r="BH12" s="5501"/>
      <c r="BI12" s="5501"/>
      <c r="BJ12" s="5501"/>
      <c r="BK12" s="5501"/>
      <c r="BL12" s="5501"/>
      <c r="BM12" s="5501"/>
      <c r="BN12" s="5501"/>
      <c r="BO12" s="5502"/>
    </row>
    <row r="13" spans="1:67" ht="74.25" customHeight="1" x14ac:dyDescent="0.25">
      <c r="A13" s="2536"/>
      <c r="B13" s="2537"/>
      <c r="C13" s="2536"/>
      <c r="D13" s="2537"/>
      <c r="E13" s="5503"/>
      <c r="F13" s="3510"/>
      <c r="G13" s="5505">
        <v>54</v>
      </c>
      <c r="H13" s="2873" t="s">
        <v>570</v>
      </c>
      <c r="I13" s="2873" t="s">
        <v>571</v>
      </c>
      <c r="J13" s="3596">
        <v>130</v>
      </c>
      <c r="K13" s="3610">
        <f>+'[2]METAS PROMOTORA'!J16</f>
        <v>3</v>
      </c>
      <c r="L13" s="3596" t="s">
        <v>2364</v>
      </c>
      <c r="M13" s="3596" t="s">
        <v>2365</v>
      </c>
      <c r="N13" s="2873" t="s">
        <v>2366</v>
      </c>
      <c r="O13" s="3611">
        <f>+SUM(T13:T14)/P23</f>
        <v>0.11900775791364593</v>
      </c>
      <c r="P13" s="5509">
        <f>+SUM(T13:T14)</f>
        <v>313916292</v>
      </c>
      <c r="Q13" s="2873" t="s">
        <v>2367</v>
      </c>
      <c r="R13" s="5511" t="s">
        <v>2368</v>
      </c>
      <c r="S13" s="5513" t="s">
        <v>2369</v>
      </c>
      <c r="T13" s="1017">
        <v>290660276</v>
      </c>
      <c r="U13" s="1017">
        <v>244223166.95999998</v>
      </c>
      <c r="V13" s="1017">
        <v>161631870.94</v>
      </c>
      <c r="W13" s="2538">
        <v>53</v>
      </c>
      <c r="X13" s="2539" t="s">
        <v>2370</v>
      </c>
      <c r="Y13" s="5507">
        <v>1382.4</v>
      </c>
      <c r="Z13" s="5507">
        <v>1382</v>
      </c>
      <c r="AA13" s="5507">
        <v>1317.6</v>
      </c>
      <c r="AB13" s="5507">
        <v>1318</v>
      </c>
      <c r="AC13" s="5507">
        <v>459</v>
      </c>
      <c r="AD13" s="5507">
        <v>459</v>
      </c>
      <c r="AE13" s="5507">
        <v>248</v>
      </c>
      <c r="AF13" s="5507">
        <v>248</v>
      </c>
      <c r="AG13" s="5507">
        <v>1615</v>
      </c>
      <c r="AH13" s="5507">
        <v>1615</v>
      </c>
      <c r="AI13" s="5515">
        <v>378</v>
      </c>
      <c r="AJ13" s="5507"/>
      <c r="AK13" s="5507"/>
      <c r="AL13" s="5507"/>
      <c r="AM13" s="5507"/>
      <c r="AN13" s="5507"/>
      <c r="AO13" s="5507"/>
      <c r="AP13" s="5507"/>
      <c r="AQ13" s="5507"/>
      <c r="AR13" s="5507"/>
      <c r="AS13" s="5507"/>
      <c r="AT13" s="5507"/>
      <c r="AU13" s="5507"/>
      <c r="AV13" s="5507"/>
      <c r="AW13" s="5507"/>
      <c r="AX13" s="5507"/>
      <c r="AY13" s="5507"/>
      <c r="AZ13" s="5507"/>
      <c r="BA13" s="5507"/>
      <c r="BB13" s="5507"/>
      <c r="BC13" s="5507">
        <f>+AC13+AE13+AG13+AI13</f>
        <v>2700</v>
      </c>
      <c r="BD13" s="5507"/>
      <c r="BE13" s="5507">
        <v>1</v>
      </c>
      <c r="BF13" s="5507">
        <f>+U13+U14</f>
        <v>267479182.95999998</v>
      </c>
      <c r="BG13" s="5507">
        <f>+V13+V14</f>
        <v>184887886.94</v>
      </c>
      <c r="BH13" s="3611">
        <f>+BG13/BF13</f>
        <v>0.69122346230453735</v>
      </c>
      <c r="BI13" s="5507" t="s">
        <v>2371</v>
      </c>
      <c r="BJ13" s="5507" t="s">
        <v>2372</v>
      </c>
      <c r="BK13" s="5522">
        <v>43466</v>
      </c>
      <c r="BL13" s="5522">
        <v>43466</v>
      </c>
      <c r="BM13" s="5522">
        <v>43829</v>
      </c>
      <c r="BN13" s="5522">
        <v>43738</v>
      </c>
      <c r="BO13" s="3596" t="s">
        <v>2373</v>
      </c>
    </row>
    <row r="14" spans="1:67" ht="74.25" customHeight="1" x14ac:dyDescent="0.25">
      <c r="A14" s="2536"/>
      <c r="B14" s="2537"/>
      <c r="C14" s="2536"/>
      <c r="D14" s="2537"/>
      <c r="E14" s="5504"/>
      <c r="F14" s="3512"/>
      <c r="G14" s="5506"/>
      <c r="H14" s="2874"/>
      <c r="I14" s="2874"/>
      <c r="J14" s="3598"/>
      <c r="K14" s="3587"/>
      <c r="L14" s="3598"/>
      <c r="M14" s="3598"/>
      <c r="N14" s="2874"/>
      <c r="O14" s="3613"/>
      <c r="P14" s="5510"/>
      <c r="Q14" s="2874"/>
      <c r="R14" s="5512"/>
      <c r="S14" s="5514"/>
      <c r="T14" s="1017">
        <v>23256016</v>
      </c>
      <c r="U14" s="1017">
        <v>23256016</v>
      </c>
      <c r="V14" s="1017">
        <v>23256016</v>
      </c>
      <c r="W14" s="2538">
        <v>159</v>
      </c>
      <c r="X14" s="2539" t="s">
        <v>2374</v>
      </c>
      <c r="Y14" s="5508"/>
      <c r="Z14" s="5508"/>
      <c r="AA14" s="5508"/>
      <c r="AB14" s="5508"/>
      <c r="AC14" s="5508"/>
      <c r="AD14" s="5508"/>
      <c r="AE14" s="5508"/>
      <c r="AF14" s="5508"/>
      <c r="AG14" s="5508"/>
      <c r="AH14" s="5508"/>
      <c r="AI14" s="5516"/>
      <c r="AJ14" s="5508"/>
      <c r="AK14" s="5508"/>
      <c r="AL14" s="5508"/>
      <c r="AM14" s="5508"/>
      <c r="AN14" s="5508"/>
      <c r="AO14" s="5508"/>
      <c r="AP14" s="5508"/>
      <c r="AQ14" s="5508"/>
      <c r="AR14" s="5508"/>
      <c r="AS14" s="5508"/>
      <c r="AT14" s="5508"/>
      <c r="AU14" s="5508"/>
      <c r="AV14" s="5508"/>
      <c r="AW14" s="5508"/>
      <c r="AX14" s="5508"/>
      <c r="AY14" s="5508"/>
      <c r="AZ14" s="5508"/>
      <c r="BA14" s="5508"/>
      <c r="BB14" s="5508"/>
      <c r="BC14" s="5508"/>
      <c r="BD14" s="5508"/>
      <c r="BE14" s="5508"/>
      <c r="BF14" s="5508"/>
      <c r="BG14" s="5508"/>
      <c r="BH14" s="3613"/>
      <c r="BI14" s="5508"/>
      <c r="BJ14" s="5508"/>
      <c r="BK14" s="5523"/>
      <c r="BL14" s="5523"/>
      <c r="BM14" s="5523"/>
      <c r="BN14" s="5523"/>
      <c r="BO14" s="3598"/>
    </row>
    <row r="15" spans="1:67" ht="21" customHeight="1" x14ac:dyDescent="0.25">
      <c r="A15" s="2533"/>
      <c r="B15" s="2534"/>
      <c r="C15" s="2534"/>
      <c r="D15" s="2533"/>
      <c r="E15" s="2535">
        <v>15</v>
      </c>
      <c r="F15" s="5517" t="s">
        <v>2375</v>
      </c>
      <c r="G15" s="5518"/>
      <c r="H15" s="5518"/>
      <c r="I15" s="5518"/>
      <c r="J15" s="5519"/>
      <c r="K15" s="2540"/>
      <c r="L15" s="2540"/>
      <c r="M15" s="2540"/>
      <c r="N15" s="2541"/>
      <c r="O15" s="2540"/>
      <c r="P15" s="2542"/>
      <c r="Q15" s="2541"/>
      <c r="R15" s="2541"/>
      <c r="S15" s="2543"/>
      <c r="T15" s="2544"/>
      <c r="U15" s="2544"/>
      <c r="V15" s="2544"/>
      <c r="W15" s="2545"/>
      <c r="X15" s="2545"/>
      <c r="Y15" s="2540"/>
      <c r="Z15" s="2540"/>
      <c r="AA15" s="2540"/>
      <c r="AB15" s="2540"/>
      <c r="AC15" s="2540"/>
      <c r="AD15" s="2540"/>
      <c r="AE15" s="2540"/>
      <c r="AF15" s="2540"/>
      <c r="AG15" s="2540"/>
      <c r="AH15" s="2540"/>
      <c r="AI15" s="2546"/>
      <c r="AJ15" s="2540"/>
      <c r="AK15" s="2540"/>
      <c r="AL15" s="2540"/>
      <c r="AM15" s="2540"/>
      <c r="AN15" s="2540"/>
      <c r="AO15" s="2540"/>
      <c r="AP15" s="2540"/>
      <c r="AQ15" s="2540"/>
      <c r="AR15" s="2540"/>
      <c r="AS15" s="2540"/>
      <c r="AT15" s="2540"/>
      <c r="AU15" s="2540"/>
      <c r="AV15" s="2540"/>
      <c r="AW15" s="2540"/>
      <c r="AX15" s="2540"/>
      <c r="AY15" s="2540"/>
      <c r="AZ15" s="2540"/>
      <c r="BA15" s="2540"/>
      <c r="BB15" s="2540"/>
      <c r="BC15" s="2540"/>
      <c r="BD15" s="2540"/>
      <c r="BE15" s="2540"/>
      <c r="BF15" s="2540"/>
      <c r="BG15" s="2540"/>
      <c r="BH15" s="2540"/>
      <c r="BI15" s="2540"/>
      <c r="BJ15" s="2540"/>
      <c r="BK15" s="2547"/>
      <c r="BL15" s="2547"/>
      <c r="BM15" s="2547"/>
      <c r="BN15" s="2547"/>
      <c r="BO15" s="2540"/>
    </row>
    <row r="16" spans="1:67" ht="60" customHeight="1" x14ac:dyDescent="0.25">
      <c r="A16" s="2533"/>
      <c r="B16" s="2534"/>
      <c r="C16" s="2534"/>
      <c r="D16" s="2533"/>
      <c r="E16" s="5520"/>
      <c r="F16" s="5520"/>
      <c r="G16" s="3510">
        <v>59</v>
      </c>
      <c r="H16" s="3564" t="s">
        <v>613</v>
      </c>
      <c r="I16" s="3564" t="s">
        <v>614</v>
      </c>
      <c r="J16" s="3510">
        <v>12</v>
      </c>
      <c r="K16" s="3610">
        <f>+'[2]METAS PROMOTORA'!J19</f>
        <v>3</v>
      </c>
      <c r="L16" s="3510" t="s">
        <v>2364</v>
      </c>
      <c r="M16" s="3510" t="s">
        <v>2365</v>
      </c>
      <c r="N16" s="3564" t="s">
        <v>2366</v>
      </c>
      <c r="O16" s="5526">
        <f>+P16/$P$23</f>
        <v>0.21729676462374667</v>
      </c>
      <c r="P16" s="5509">
        <f>+T16</f>
        <v>573181075</v>
      </c>
      <c r="Q16" s="3564" t="s">
        <v>2367</v>
      </c>
      <c r="R16" s="3564" t="s">
        <v>2376</v>
      </c>
      <c r="S16" s="3564" t="s">
        <v>2377</v>
      </c>
      <c r="T16" s="5509">
        <v>573181075</v>
      </c>
      <c r="U16" s="5509">
        <v>224343900.245</v>
      </c>
      <c r="V16" s="3527">
        <v>222686810.246667</v>
      </c>
      <c r="W16" s="5503" t="s">
        <v>513</v>
      </c>
      <c r="X16" s="5524" t="s">
        <v>2378</v>
      </c>
      <c r="Y16" s="5531">
        <f>+[3]Hoja1!$E$12</f>
        <v>284400.12800000003</v>
      </c>
      <c r="Z16" s="5531">
        <f>+Y16</f>
        <v>284400.12800000003</v>
      </c>
      <c r="AA16" s="5531">
        <f>+[3]Hoja1!$D$12</f>
        <v>271068.87199999997</v>
      </c>
      <c r="AB16" s="5531">
        <f>+AA16</f>
        <v>271068.87199999997</v>
      </c>
      <c r="AC16" s="5531">
        <f>+AC13</f>
        <v>459</v>
      </c>
      <c r="AD16" s="5531">
        <f>+AC16</f>
        <v>459</v>
      </c>
      <c r="AE16" s="5531">
        <f>+AE13</f>
        <v>248</v>
      </c>
      <c r="AF16" s="5531">
        <f>+AE16</f>
        <v>248</v>
      </c>
      <c r="AG16" s="5531">
        <f>+AG13</f>
        <v>1615</v>
      </c>
      <c r="AH16" s="5531">
        <f>+AG16</f>
        <v>1615</v>
      </c>
      <c r="AI16" s="5532">
        <f>+AI13</f>
        <v>378</v>
      </c>
      <c r="AJ16" s="5531">
        <f>+AI16</f>
        <v>378</v>
      </c>
      <c r="AK16" s="5520"/>
      <c r="AL16" s="5520"/>
      <c r="AM16" s="5520"/>
      <c r="AN16" s="5520"/>
      <c r="AO16" s="5520"/>
      <c r="AP16" s="5520"/>
      <c r="AQ16" s="5520"/>
      <c r="AR16" s="5520"/>
      <c r="AS16" s="5520"/>
      <c r="AT16" s="5520"/>
      <c r="AU16" s="5520"/>
      <c r="AV16" s="5520"/>
      <c r="AW16" s="5520"/>
      <c r="AX16" s="5520"/>
      <c r="AY16" s="5520"/>
      <c r="AZ16" s="5520"/>
      <c r="BA16" s="5520"/>
      <c r="BB16" s="5520"/>
      <c r="BC16" s="5507">
        <f>+AC16+AE16+AG16+AI16</f>
        <v>2700</v>
      </c>
      <c r="BD16" s="5507"/>
      <c r="BE16" s="5507">
        <f>19+2+8+3</f>
        <v>32</v>
      </c>
      <c r="BF16" s="5507">
        <f>SUM(U16:U22)</f>
        <v>1518224500.98</v>
      </c>
      <c r="BG16" s="5507">
        <f>SUM(V16:V22)</f>
        <v>1236373896.680001</v>
      </c>
      <c r="BH16" s="3611">
        <f>+BG16/BF16</f>
        <v>0.81435512065701288</v>
      </c>
      <c r="BI16" s="5507" t="s">
        <v>2379</v>
      </c>
      <c r="BJ16" s="5507" t="s">
        <v>2380</v>
      </c>
      <c r="BK16" s="5522">
        <v>43466</v>
      </c>
      <c r="BL16" s="5522">
        <v>43466</v>
      </c>
      <c r="BM16" s="5522">
        <v>43829</v>
      </c>
      <c r="BN16" s="5522">
        <v>43738</v>
      </c>
      <c r="BO16" s="3596" t="s">
        <v>2373</v>
      </c>
    </row>
    <row r="17" spans="1:67" ht="60" customHeight="1" x14ac:dyDescent="0.25">
      <c r="A17" s="2548"/>
      <c r="B17" s="2537"/>
      <c r="C17" s="2536"/>
      <c r="D17" s="2537"/>
      <c r="E17" s="5521"/>
      <c r="F17" s="5521"/>
      <c r="G17" s="3512"/>
      <c r="H17" s="3585"/>
      <c r="I17" s="3585"/>
      <c r="J17" s="3512"/>
      <c r="K17" s="3587"/>
      <c r="L17" s="3512"/>
      <c r="M17" s="3511"/>
      <c r="N17" s="3565"/>
      <c r="O17" s="5527"/>
      <c r="P17" s="5510"/>
      <c r="Q17" s="3565"/>
      <c r="R17" s="3565"/>
      <c r="S17" s="3585"/>
      <c r="T17" s="5510"/>
      <c r="U17" s="5510"/>
      <c r="V17" s="3528"/>
      <c r="W17" s="5504"/>
      <c r="X17" s="5525"/>
      <c r="Y17" s="5037"/>
      <c r="Z17" s="5037"/>
      <c r="AA17" s="5037"/>
      <c r="AB17" s="5037"/>
      <c r="AC17" s="5037"/>
      <c r="AD17" s="5037"/>
      <c r="AE17" s="5037"/>
      <c r="AF17" s="5037"/>
      <c r="AG17" s="5037"/>
      <c r="AH17" s="5037"/>
      <c r="AI17" s="5533"/>
      <c r="AJ17" s="5037"/>
      <c r="AK17" s="5521"/>
      <c r="AL17" s="5521"/>
      <c r="AM17" s="5521"/>
      <c r="AN17" s="5521"/>
      <c r="AO17" s="5521"/>
      <c r="AP17" s="5521"/>
      <c r="AQ17" s="5521"/>
      <c r="AR17" s="5521"/>
      <c r="AS17" s="5521"/>
      <c r="AT17" s="5521"/>
      <c r="AU17" s="5521"/>
      <c r="AV17" s="5521"/>
      <c r="AW17" s="5521"/>
      <c r="AX17" s="5521"/>
      <c r="AY17" s="5521"/>
      <c r="AZ17" s="5521"/>
      <c r="BA17" s="5521"/>
      <c r="BB17" s="5521"/>
      <c r="BC17" s="5534"/>
      <c r="BD17" s="5534"/>
      <c r="BE17" s="5534"/>
      <c r="BF17" s="5534"/>
      <c r="BG17" s="5534"/>
      <c r="BH17" s="3612"/>
      <c r="BI17" s="5534"/>
      <c r="BJ17" s="5534"/>
      <c r="BK17" s="5536"/>
      <c r="BL17" s="5536"/>
      <c r="BM17" s="5536"/>
      <c r="BN17" s="5536"/>
      <c r="BO17" s="3597"/>
    </row>
    <row r="18" spans="1:67" ht="120" customHeight="1" x14ac:dyDescent="0.25">
      <c r="A18" s="2548"/>
      <c r="B18" s="2537"/>
      <c r="C18" s="2536"/>
      <c r="D18" s="2537"/>
      <c r="E18" s="5521"/>
      <c r="F18" s="5521"/>
      <c r="G18" s="2490">
        <v>57</v>
      </c>
      <c r="H18" s="2488" t="s">
        <v>596</v>
      </c>
      <c r="I18" s="2488" t="s">
        <v>597</v>
      </c>
      <c r="J18" s="2490">
        <v>12</v>
      </c>
      <c r="K18" s="2487">
        <f>+'[2]METAS PROMOTORA'!J18</f>
        <v>4</v>
      </c>
      <c r="L18" s="2490" t="s">
        <v>2364</v>
      </c>
      <c r="M18" s="3511"/>
      <c r="N18" s="3565"/>
      <c r="O18" s="2549">
        <f>+P18/P23</f>
        <v>0.21729676462374667</v>
      </c>
      <c r="P18" s="2550">
        <f>+T18</f>
        <v>573181075</v>
      </c>
      <c r="Q18" s="3565"/>
      <c r="R18" s="3565"/>
      <c r="S18" s="2488" t="s">
        <v>2381</v>
      </c>
      <c r="T18" s="2550">
        <v>573181075</v>
      </c>
      <c r="U18" s="2550">
        <v>553087398.97500002</v>
      </c>
      <c r="V18" s="2550">
        <v>478599335.836667</v>
      </c>
      <c r="W18" s="2551" t="s">
        <v>513</v>
      </c>
      <c r="X18" s="2552" t="s">
        <v>2378</v>
      </c>
      <c r="Y18" s="5037"/>
      <c r="Z18" s="5037"/>
      <c r="AA18" s="5037"/>
      <c r="AB18" s="5037"/>
      <c r="AC18" s="5037"/>
      <c r="AD18" s="5037"/>
      <c r="AE18" s="5037"/>
      <c r="AF18" s="5037"/>
      <c r="AG18" s="5037"/>
      <c r="AH18" s="5037"/>
      <c r="AI18" s="5533"/>
      <c r="AJ18" s="5037"/>
      <c r="AK18" s="5521"/>
      <c r="AL18" s="5521"/>
      <c r="AM18" s="5521"/>
      <c r="AN18" s="5521"/>
      <c r="AO18" s="5521"/>
      <c r="AP18" s="5521"/>
      <c r="AQ18" s="5521"/>
      <c r="AR18" s="5521"/>
      <c r="AS18" s="5521"/>
      <c r="AT18" s="5521"/>
      <c r="AU18" s="5521"/>
      <c r="AV18" s="5521"/>
      <c r="AW18" s="5521"/>
      <c r="AX18" s="5521"/>
      <c r="AY18" s="5521"/>
      <c r="AZ18" s="5521"/>
      <c r="BA18" s="5521"/>
      <c r="BB18" s="5521"/>
      <c r="BC18" s="5534"/>
      <c r="BD18" s="5534"/>
      <c r="BE18" s="5534"/>
      <c r="BF18" s="5534"/>
      <c r="BG18" s="5534"/>
      <c r="BH18" s="3612"/>
      <c r="BI18" s="5534"/>
      <c r="BJ18" s="5534"/>
      <c r="BK18" s="5536"/>
      <c r="BL18" s="5536"/>
      <c r="BM18" s="5536"/>
      <c r="BN18" s="5536"/>
      <c r="BO18" s="3597"/>
    </row>
    <row r="19" spans="1:67" ht="60" customHeight="1" x14ac:dyDescent="0.25">
      <c r="A19" s="2548"/>
      <c r="B19" s="2537"/>
      <c r="C19" s="2536"/>
      <c r="D19" s="2537"/>
      <c r="E19" s="5521"/>
      <c r="F19" s="5521"/>
      <c r="G19" s="3510">
        <v>60</v>
      </c>
      <c r="H19" s="3564" t="s">
        <v>2382</v>
      </c>
      <c r="I19" s="3564" t="s">
        <v>2383</v>
      </c>
      <c r="J19" s="3510">
        <v>12</v>
      </c>
      <c r="K19" s="3610">
        <f>+'[2]METAS PROMOTORA'!J20</f>
        <v>4</v>
      </c>
      <c r="L19" s="3510" t="s">
        <v>2364</v>
      </c>
      <c r="M19" s="3511"/>
      <c r="N19" s="3565"/>
      <c r="O19" s="5528">
        <f>+(T19+T20)/P23</f>
        <v>0.22568998824833794</v>
      </c>
      <c r="P19" s="5509">
        <f>+T19+T20</f>
        <v>595320553</v>
      </c>
      <c r="Q19" s="3565"/>
      <c r="R19" s="3565"/>
      <c r="S19" s="3564" t="s">
        <v>2384</v>
      </c>
      <c r="T19" s="1017">
        <v>572320553</v>
      </c>
      <c r="U19" s="1017">
        <v>414400517.42000002</v>
      </c>
      <c r="V19" s="1017">
        <v>327612863.23000002</v>
      </c>
      <c r="W19" s="1011" t="s">
        <v>2385</v>
      </c>
      <c r="X19" s="2553" t="s">
        <v>2370</v>
      </c>
      <c r="Y19" s="5037"/>
      <c r="Z19" s="5037"/>
      <c r="AA19" s="5037"/>
      <c r="AB19" s="5037"/>
      <c r="AC19" s="5037"/>
      <c r="AD19" s="5037"/>
      <c r="AE19" s="5037"/>
      <c r="AF19" s="5037"/>
      <c r="AG19" s="5037"/>
      <c r="AH19" s="5037"/>
      <c r="AI19" s="5533"/>
      <c r="AJ19" s="5037"/>
      <c r="AK19" s="5521"/>
      <c r="AL19" s="5521"/>
      <c r="AM19" s="5521"/>
      <c r="AN19" s="5521"/>
      <c r="AO19" s="5521"/>
      <c r="AP19" s="5521"/>
      <c r="AQ19" s="5521"/>
      <c r="AR19" s="5521"/>
      <c r="AS19" s="5521"/>
      <c r="AT19" s="5521"/>
      <c r="AU19" s="5521"/>
      <c r="AV19" s="5521"/>
      <c r="AW19" s="5521"/>
      <c r="AX19" s="5521"/>
      <c r="AY19" s="5521"/>
      <c r="AZ19" s="5521"/>
      <c r="BA19" s="5521"/>
      <c r="BB19" s="5521"/>
      <c r="BC19" s="5534"/>
      <c r="BD19" s="5534"/>
      <c r="BE19" s="5534"/>
      <c r="BF19" s="5534"/>
      <c r="BG19" s="5534"/>
      <c r="BH19" s="3612"/>
      <c r="BI19" s="5534"/>
      <c r="BJ19" s="5534"/>
      <c r="BK19" s="5536"/>
      <c r="BL19" s="5536"/>
      <c r="BM19" s="5536"/>
      <c r="BN19" s="5536"/>
      <c r="BO19" s="3597"/>
    </row>
    <row r="20" spans="1:67" ht="60" customHeight="1" x14ac:dyDescent="0.25">
      <c r="A20" s="2548"/>
      <c r="B20" s="2491"/>
      <c r="C20" s="2548"/>
      <c r="D20" s="2489"/>
      <c r="E20" s="5521"/>
      <c r="F20" s="5521"/>
      <c r="G20" s="3512"/>
      <c r="H20" s="3585"/>
      <c r="I20" s="3585"/>
      <c r="J20" s="3512"/>
      <c r="K20" s="3587"/>
      <c r="L20" s="3512"/>
      <c r="M20" s="3511"/>
      <c r="N20" s="3565"/>
      <c r="O20" s="5535"/>
      <c r="P20" s="5510"/>
      <c r="Q20" s="3565"/>
      <c r="R20" s="3565"/>
      <c r="S20" s="3585"/>
      <c r="T20" s="1017">
        <v>23000000</v>
      </c>
      <c r="U20" s="1017">
        <v>23000000</v>
      </c>
      <c r="V20" s="1017">
        <v>23000000</v>
      </c>
      <c r="W20" s="2538">
        <v>159</v>
      </c>
      <c r="X20" s="2539" t="s">
        <v>2374</v>
      </c>
      <c r="Y20" s="5037"/>
      <c r="Z20" s="5037"/>
      <c r="AA20" s="5037"/>
      <c r="AB20" s="5037"/>
      <c r="AC20" s="5037"/>
      <c r="AD20" s="5037"/>
      <c r="AE20" s="5037"/>
      <c r="AF20" s="5037"/>
      <c r="AG20" s="5037"/>
      <c r="AH20" s="5037"/>
      <c r="AI20" s="5533"/>
      <c r="AJ20" s="5037"/>
      <c r="AK20" s="5521"/>
      <c r="AL20" s="5521"/>
      <c r="AM20" s="5521"/>
      <c r="AN20" s="5521"/>
      <c r="AO20" s="5521"/>
      <c r="AP20" s="5521"/>
      <c r="AQ20" s="5521"/>
      <c r="AR20" s="5521"/>
      <c r="AS20" s="5521"/>
      <c r="AT20" s="5521"/>
      <c r="AU20" s="5521"/>
      <c r="AV20" s="5521"/>
      <c r="AW20" s="5521"/>
      <c r="AX20" s="5521"/>
      <c r="AY20" s="5521"/>
      <c r="AZ20" s="5521"/>
      <c r="BA20" s="5521"/>
      <c r="BB20" s="5521"/>
      <c r="BC20" s="5534"/>
      <c r="BD20" s="5534"/>
      <c r="BE20" s="5534"/>
      <c r="BF20" s="5534"/>
      <c r="BG20" s="5534"/>
      <c r="BH20" s="3612"/>
      <c r="BI20" s="5534"/>
      <c r="BJ20" s="5534"/>
      <c r="BK20" s="5536"/>
      <c r="BL20" s="5536"/>
      <c r="BM20" s="5536"/>
      <c r="BN20" s="5536"/>
      <c r="BO20" s="3597"/>
    </row>
    <row r="21" spans="1:67" ht="60" customHeight="1" x14ac:dyDescent="0.25">
      <c r="A21" s="2548"/>
      <c r="B21" s="2491"/>
      <c r="C21" s="2548"/>
      <c r="D21" s="2489"/>
      <c r="E21" s="5521"/>
      <c r="F21" s="5521"/>
      <c r="G21" s="3510">
        <v>63</v>
      </c>
      <c r="H21" s="3564" t="s">
        <v>628</v>
      </c>
      <c r="I21" s="3564" t="s">
        <v>629</v>
      </c>
      <c r="J21" s="3510">
        <v>250</v>
      </c>
      <c r="K21" s="3610">
        <v>198</v>
      </c>
      <c r="L21" s="3510" t="s">
        <v>2386</v>
      </c>
      <c r="M21" s="3511"/>
      <c r="N21" s="3565"/>
      <c r="O21" s="5528">
        <f>+SUM(T21:T22)/P23</f>
        <v>0.22070872459052282</v>
      </c>
      <c r="P21" s="5509">
        <f>+T21+T22</f>
        <v>582181075</v>
      </c>
      <c r="Q21" s="3565"/>
      <c r="R21" s="3565"/>
      <c r="S21" s="3564" t="s">
        <v>2387</v>
      </c>
      <c r="T21" s="2554">
        <v>573181075</v>
      </c>
      <c r="U21" s="2554">
        <v>294392684.34000003</v>
      </c>
      <c r="V21" s="2554">
        <v>181718887.366667</v>
      </c>
      <c r="W21" s="2555" t="s">
        <v>513</v>
      </c>
      <c r="X21" s="2556" t="s">
        <v>2378</v>
      </c>
      <c r="Y21" s="5037"/>
      <c r="Z21" s="5037"/>
      <c r="AA21" s="5037"/>
      <c r="AB21" s="5037"/>
      <c r="AC21" s="5037"/>
      <c r="AD21" s="5037"/>
      <c r="AE21" s="5037"/>
      <c r="AF21" s="5037"/>
      <c r="AG21" s="5037"/>
      <c r="AH21" s="5037"/>
      <c r="AI21" s="5533"/>
      <c r="AJ21" s="5037"/>
      <c r="AK21" s="5521"/>
      <c r="AL21" s="5521"/>
      <c r="AM21" s="5521"/>
      <c r="AN21" s="5521"/>
      <c r="AO21" s="5521"/>
      <c r="AP21" s="5521"/>
      <c r="AQ21" s="5521"/>
      <c r="AR21" s="5521"/>
      <c r="AS21" s="5521"/>
      <c r="AT21" s="5521"/>
      <c r="AU21" s="5521"/>
      <c r="AV21" s="5521"/>
      <c r="AW21" s="5521"/>
      <c r="AX21" s="5521"/>
      <c r="AY21" s="5521"/>
      <c r="AZ21" s="5521"/>
      <c r="BA21" s="5521"/>
      <c r="BB21" s="5521"/>
      <c r="BC21" s="5534"/>
      <c r="BD21" s="5534"/>
      <c r="BE21" s="5534"/>
      <c r="BF21" s="5534"/>
      <c r="BG21" s="5534"/>
      <c r="BH21" s="3612"/>
      <c r="BI21" s="5534"/>
      <c r="BJ21" s="5534"/>
      <c r="BK21" s="5536"/>
      <c r="BL21" s="5536"/>
      <c r="BM21" s="5536"/>
      <c r="BN21" s="5536"/>
      <c r="BO21" s="3597"/>
    </row>
    <row r="22" spans="1:67" ht="60" customHeight="1" x14ac:dyDescent="0.25">
      <c r="A22" s="2548"/>
      <c r="B22" s="2491"/>
      <c r="C22" s="2548"/>
      <c r="D22" s="2489"/>
      <c r="E22" s="5521"/>
      <c r="F22" s="5521"/>
      <c r="G22" s="3511"/>
      <c r="H22" s="3565"/>
      <c r="I22" s="3565"/>
      <c r="J22" s="3511"/>
      <c r="K22" s="3586"/>
      <c r="L22" s="3511"/>
      <c r="M22" s="3511"/>
      <c r="N22" s="3565"/>
      <c r="O22" s="5529"/>
      <c r="P22" s="5530"/>
      <c r="Q22" s="3565"/>
      <c r="R22" s="3565"/>
      <c r="S22" s="3565"/>
      <c r="T22" s="2494">
        <v>9000000</v>
      </c>
      <c r="U22" s="2494">
        <v>9000000</v>
      </c>
      <c r="V22" s="2494">
        <v>2756000</v>
      </c>
      <c r="W22" s="1011" t="s">
        <v>2385</v>
      </c>
      <c r="X22" s="2553" t="s">
        <v>2370</v>
      </c>
      <c r="Y22" s="5037"/>
      <c r="Z22" s="5037"/>
      <c r="AA22" s="5037"/>
      <c r="AB22" s="5037"/>
      <c r="AC22" s="5037"/>
      <c r="AD22" s="5037"/>
      <c r="AE22" s="5037"/>
      <c r="AF22" s="5037"/>
      <c r="AG22" s="5037"/>
      <c r="AH22" s="5037"/>
      <c r="AI22" s="5533"/>
      <c r="AJ22" s="5037"/>
      <c r="AK22" s="5521"/>
      <c r="AL22" s="5521"/>
      <c r="AM22" s="5521"/>
      <c r="AN22" s="5521"/>
      <c r="AO22" s="5521"/>
      <c r="AP22" s="5521"/>
      <c r="AQ22" s="5521"/>
      <c r="AR22" s="5521"/>
      <c r="AS22" s="5521"/>
      <c r="AT22" s="5521"/>
      <c r="AU22" s="5521"/>
      <c r="AV22" s="5521"/>
      <c r="AW22" s="5521"/>
      <c r="AX22" s="5521"/>
      <c r="AY22" s="5521"/>
      <c r="AZ22" s="5521"/>
      <c r="BA22" s="5521"/>
      <c r="BB22" s="5521"/>
      <c r="BC22" s="5534"/>
      <c r="BD22" s="5534"/>
      <c r="BE22" s="5534"/>
      <c r="BF22" s="5534"/>
      <c r="BG22" s="5534"/>
      <c r="BH22" s="3612"/>
      <c r="BI22" s="5534"/>
      <c r="BJ22" s="5534"/>
      <c r="BK22" s="5536"/>
      <c r="BL22" s="5536"/>
      <c r="BM22" s="5536"/>
      <c r="BN22" s="5536"/>
      <c r="BO22" s="3597"/>
    </row>
    <row r="23" spans="1:67" ht="28.5" customHeight="1" x14ac:dyDescent="0.25">
      <c r="A23" s="2557" t="s">
        <v>642</v>
      </c>
      <c r="B23" s="2558"/>
      <c r="C23" s="2558"/>
      <c r="D23" s="2558"/>
      <c r="E23" s="2558"/>
      <c r="F23" s="2558"/>
      <c r="G23" s="2558"/>
      <c r="H23" s="2558"/>
      <c r="I23" s="2558"/>
      <c r="J23" s="2558"/>
      <c r="K23" s="2558"/>
      <c r="L23" s="2558"/>
      <c r="M23" s="2558"/>
      <c r="N23" s="2558"/>
      <c r="O23" s="2559"/>
      <c r="P23" s="2560">
        <f>SUM(P13:P22)</f>
        <v>2637780070</v>
      </c>
      <c r="Q23" s="2561"/>
      <c r="R23" s="2562"/>
      <c r="S23" s="2562"/>
      <c r="T23" s="2560">
        <f>SUM(T13:T22)</f>
        <v>2637780070</v>
      </c>
      <c r="U23" s="2560">
        <f>SUM(U13:U22)</f>
        <v>1785703683.9400001</v>
      </c>
      <c r="V23" s="2560">
        <f>SUM(V13:V22)</f>
        <v>1421261783.6200011</v>
      </c>
      <c r="W23" s="2563"/>
      <c r="X23" s="2563"/>
      <c r="Y23" s="2564"/>
      <c r="Z23" s="2564"/>
      <c r="AA23" s="2564"/>
      <c r="AB23" s="2564"/>
      <c r="AC23" s="2564"/>
      <c r="AD23" s="2564"/>
      <c r="AE23" s="2564"/>
      <c r="AF23" s="2564"/>
      <c r="AG23" s="2564"/>
      <c r="AH23" s="2564"/>
      <c r="AI23" s="2564"/>
      <c r="AJ23" s="2564"/>
      <c r="AK23" s="2564"/>
      <c r="AL23" s="2564"/>
      <c r="AM23" s="2564"/>
      <c r="AN23" s="2564"/>
      <c r="AO23" s="2564"/>
      <c r="AP23" s="2564"/>
      <c r="AQ23" s="2564"/>
      <c r="AR23" s="2564"/>
      <c r="AS23" s="2564"/>
      <c r="AT23" s="2564"/>
      <c r="AU23" s="2564"/>
      <c r="AV23" s="2564"/>
      <c r="AW23" s="2564"/>
      <c r="AX23" s="2564"/>
      <c r="AY23" s="2564"/>
      <c r="AZ23" s="2564"/>
      <c r="BA23" s="2564"/>
      <c r="BB23" s="2564"/>
      <c r="BC23" s="2564"/>
      <c r="BD23" s="2564"/>
      <c r="BE23" s="2565">
        <f>+BE13+BE16</f>
        <v>33</v>
      </c>
      <c r="BF23" s="2565">
        <f>+BF13+BF16</f>
        <v>1785703683.9400001</v>
      </c>
      <c r="BG23" s="2565">
        <f>+BG13+BG16</f>
        <v>1421261783.6200011</v>
      </c>
      <c r="BH23" s="2566">
        <f>BG23/BF23</f>
        <v>0.79591132414763821</v>
      </c>
      <c r="BI23" s="2564"/>
      <c r="BJ23" s="2564"/>
      <c r="BK23" s="2567"/>
      <c r="BL23" s="2567"/>
      <c r="BM23" s="2568"/>
      <c r="BN23" s="2568"/>
      <c r="BO23" s="2569"/>
    </row>
    <row r="24" spans="1:67" x14ac:dyDescent="0.25">
      <c r="A24" s="610"/>
      <c r="B24" s="610"/>
      <c r="C24" s="610"/>
      <c r="D24" s="610"/>
      <c r="E24" s="2493"/>
      <c r="F24" s="610"/>
      <c r="G24" s="2493"/>
      <c r="H24" s="610"/>
      <c r="I24" s="2570"/>
      <c r="J24" s="610"/>
      <c r="K24" s="610"/>
      <c r="L24" s="610"/>
      <c r="M24" s="610"/>
      <c r="N24" s="610"/>
      <c r="O24" s="2571"/>
      <c r="P24" s="610"/>
      <c r="Q24" s="610"/>
      <c r="R24" s="610"/>
      <c r="S24" s="769"/>
      <c r="T24" s="2572"/>
      <c r="U24" s="2572"/>
      <c r="V24" s="769"/>
      <c r="W24" s="2571"/>
      <c r="X24" s="2571"/>
      <c r="Y24" s="610"/>
      <c r="Z24" s="610"/>
      <c r="AA24" s="610"/>
      <c r="AB24" s="610"/>
      <c r="AC24" s="610"/>
      <c r="AD24" s="610"/>
      <c r="AE24" s="610"/>
      <c r="AF24" s="610"/>
      <c r="AG24" s="610"/>
      <c r="AH24" s="610"/>
      <c r="AI24" s="2573"/>
      <c r="AJ24" s="610"/>
      <c r="AK24" s="610"/>
      <c r="AL24" s="610"/>
      <c r="AM24" s="610"/>
      <c r="AN24" s="610"/>
      <c r="AO24" s="610"/>
      <c r="AP24" s="610"/>
      <c r="AQ24" s="610"/>
      <c r="AR24" s="610"/>
      <c r="AS24" s="610"/>
      <c r="AT24" s="610"/>
      <c r="AU24" s="610"/>
      <c r="AV24" s="610"/>
      <c r="AW24" s="610"/>
      <c r="AX24" s="610"/>
      <c r="AY24" s="610"/>
      <c r="AZ24" s="610"/>
      <c r="BA24" s="610"/>
      <c r="BB24" s="610"/>
      <c r="BC24" s="610"/>
      <c r="BD24" s="610"/>
      <c r="BE24" s="610"/>
      <c r="BF24" s="610"/>
      <c r="BG24" s="610"/>
      <c r="BH24" s="610"/>
      <c r="BI24" s="610"/>
      <c r="BJ24" s="610"/>
      <c r="BK24" s="768"/>
      <c r="BL24" s="768"/>
      <c r="BM24" s="2574"/>
      <c r="BN24" s="2574"/>
      <c r="BO24" s="610"/>
    </row>
    <row r="25" spans="1:67" x14ac:dyDescent="0.25">
      <c r="A25" s="610"/>
      <c r="B25" s="610"/>
      <c r="C25" s="610"/>
      <c r="D25" s="610"/>
      <c r="E25" s="2493"/>
      <c r="F25" s="610"/>
      <c r="G25" s="2493"/>
      <c r="H25" s="610"/>
      <c r="I25" s="2570"/>
      <c r="J25" s="610"/>
      <c r="K25" s="610"/>
      <c r="L25" s="610"/>
      <c r="M25" s="610"/>
      <c r="N25" s="610"/>
      <c r="O25" s="2575"/>
      <c r="P25" s="610"/>
      <c r="Q25" s="610"/>
      <c r="R25" s="610"/>
      <c r="S25" s="769"/>
      <c r="T25" s="2572"/>
      <c r="U25" s="2572"/>
      <c r="V25" s="769"/>
      <c r="W25" s="2571"/>
      <c r="X25" s="2571"/>
      <c r="Y25" s="610"/>
      <c r="Z25" s="610"/>
      <c r="AA25" s="610"/>
      <c r="AB25" s="610"/>
      <c r="AC25" s="610"/>
      <c r="AD25" s="610"/>
      <c r="AE25" s="610"/>
      <c r="AF25" s="610"/>
      <c r="AG25" s="610"/>
      <c r="AH25" s="610"/>
      <c r="AI25" s="2573"/>
      <c r="AJ25" s="610"/>
      <c r="AK25" s="610"/>
      <c r="AL25" s="610"/>
      <c r="AM25" s="610"/>
      <c r="AN25" s="610"/>
      <c r="AO25" s="610"/>
      <c r="AP25" s="610"/>
      <c r="AQ25" s="610"/>
      <c r="AR25" s="610"/>
      <c r="AS25" s="610"/>
      <c r="AT25" s="610"/>
      <c r="AU25" s="610"/>
      <c r="AV25" s="610"/>
      <c r="AW25" s="610"/>
      <c r="AX25" s="610"/>
      <c r="AY25" s="610"/>
      <c r="AZ25" s="610"/>
      <c r="BA25" s="610"/>
      <c r="BB25" s="610"/>
      <c r="BC25" s="610"/>
      <c r="BD25" s="610"/>
      <c r="BE25" s="610"/>
      <c r="BF25" s="610"/>
      <c r="BG25" s="610"/>
      <c r="BH25" s="610"/>
      <c r="BI25" s="610"/>
      <c r="BJ25" s="610"/>
      <c r="BK25" s="768"/>
      <c r="BL25" s="768"/>
      <c r="BM25" s="2574"/>
      <c r="BN25" s="2574"/>
      <c r="BO25" s="610"/>
    </row>
    <row r="26" spans="1:67" x14ac:dyDescent="0.25">
      <c r="A26" s="610"/>
      <c r="B26" s="610"/>
      <c r="C26" s="610"/>
      <c r="D26" s="610"/>
      <c r="E26" s="2493"/>
      <c r="F26" s="610"/>
      <c r="G26" s="2493"/>
      <c r="H26" s="610"/>
      <c r="I26" s="2570"/>
      <c r="J26" s="610"/>
      <c r="K26" s="610"/>
      <c r="L26" s="610"/>
      <c r="M26" s="610"/>
      <c r="N26" s="610"/>
      <c r="O26" s="2575"/>
      <c r="P26" s="610"/>
      <c r="Q26" s="610"/>
      <c r="R26" s="610"/>
      <c r="S26" s="769"/>
      <c r="T26" s="2572"/>
      <c r="U26" s="2572"/>
      <c r="V26" s="769"/>
      <c r="W26" s="2571"/>
      <c r="X26" s="2571"/>
      <c r="Y26" s="610"/>
      <c r="Z26" s="610"/>
      <c r="AA26" s="610"/>
      <c r="AB26" s="610"/>
      <c r="AC26" s="610"/>
      <c r="AD26" s="610"/>
      <c r="AE26" s="610"/>
      <c r="AF26" s="610"/>
      <c r="AG26" s="610"/>
      <c r="AH26" s="610"/>
      <c r="AI26" s="2573"/>
      <c r="AJ26" s="610"/>
      <c r="AK26" s="610"/>
      <c r="AL26" s="610"/>
      <c r="AM26" s="610"/>
      <c r="AN26" s="610"/>
      <c r="AO26" s="610"/>
      <c r="AP26" s="610"/>
      <c r="AQ26" s="610"/>
      <c r="AR26" s="610"/>
      <c r="AS26" s="610"/>
      <c r="AT26" s="610"/>
      <c r="AU26" s="610"/>
      <c r="AV26" s="610"/>
      <c r="AW26" s="610"/>
      <c r="AX26" s="610"/>
      <c r="AY26" s="610"/>
      <c r="AZ26" s="610"/>
      <c r="BA26" s="610"/>
      <c r="BB26" s="610"/>
      <c r="BC26" s="610"/>
      <c r="BD26" s="610"/>
      <c r="BE26" s="610"/>
      <c r="BF26" s="610"/>
      <c r="BG26" s="610"/>
      <c r="BH26" s="610"/>
      <c r="BI26" s="610"/>
      <c r="BJ26" s="610"/>
      <c r="BK26" s="768"/>
      <c r="BL26" s="768"/>
      <c r="BM26" s="2574"/>
      <c r="BN26" s="2574"/>
      <c r="BO26" s="610"/>
    </row>
    <row r="27" spans="1:67" x14ac:dyDescent="0.25">
      <c r="A27" s="610"/>
      <c r="B27" s="610"/>
      <c r="C27" s="610"/>
      <c r="D27" s="610"/>
      <c r="E27" s="2493"/>
      <c r="F27" s="610"/>
      <c r="G27" s="2493"/>
      <c r="H27" s="610"/>
      <c r="I27" s="2570"/>
      <c r="J27" s="610"/>
      <c r="K27" s="610"/>
      <c r="L27" s="610"/>
      <c r="M27" s="610"/>
      <c r="N27" s="610"/>
      <c r="O27" s="2575"/>
      <c r="P27" s="610"/>
      <c r="Q27" s="610"/>
      <c r="R27" s="610"/>
      <c r="S27" s="769"/>
      <c r="T27" s="2572"/>
      <c r="U27" s="2572"/>
      <c r="V27" s="769"/>
      <c r="W27" s="2571"/>
      <c r="X27" s="2571"/>
      <c r="Y27" s="610"/>
      <c r="Z27" s="610"/>
      <c r="AA27" s="610"/>
      <c r="AB27" s="610"/>
      <c r="AC27" s="610"/>
      <c r="AD27" s="610"/>
      <c r="AE27" s="610"/>
      <c r="AF27" s="610"/>
      <c r="AG27" s="610"/>
      <c r="AH27" s="610"/>
      <c r="AI27" s="2573"/>
      <c r="AJ27" s="610"/>
      <c r="AK27" s="610"/>
      <c r="AL27" s="610"/>
      <c r="AM27" s="610"/>
      <c r="AN27" s="610"/>
      <c r="AO27" s="610"/>
      <c r="AP27" s="610"/>
      <c r="AQ27" s="610"/>
      <c r="AR27" s="610"/>
      <c r="AS27" s="610"/>
      <c r="AT27" s="610"/>
      <c r="AU27" s="610"/>
      <c r="AV27" s="610"/>
      <c r="AW27" s="610"/>
      <c r="AX27" s="610"/>
      <c r="AY27" s="610"/>
      <c r="AZ27" s="610"/>
      <c r="BA27" s="610"/>
      <c r="BB27" s="610"/>
      <c r="BC27" s="610"/>
      <c r="BD27" s="610"/>
      <c r="BE27" s="610"/>
      <c r="BF27" s="610"/>
      <c r="BG27" s="610"/>
      <c r="BH27" s="610"/>
      <c r="BI27" s="610"/>
      <c r="BJ27" s="610"/>
      <c r="BK27" s="768"/>
      <c r="BL27" s="768"/>
      <c r="BM27" s="2574"/>
      <c r="BN27" s="2574"/>
      <c r="BO27" s="610"/>
    </row>
    <row r="28" spans="1:67" x14ac:dyDescent="0.25">
      <c r="A28" s="610"/>
      <c r="B28" s="610"/>
      <c r="C28" s="610"/>
      <c r="D28" s="610"/>
      <c r="E28" s="2493"/>
      <c r="F28" s="610"/>
      <c r="G28" s="2493"/>
      <c r="H28" s="610"/>
      <c r="I28" s="2570"/>
      <c r="J28" s="610"/>
      <c r="K28" s="610"/>
      <c r="L28" s="610"/>
      <c r="M28" s="610"/>
      <c r="N28" s="610"/>
      <c r="O28" s="2575"/>
      <c r="P28" s="610"/>
      <c r="Q28" s="610"/>
      <c r="R28" s="610"/>
      <c r="S28" s="769"/>
      <c r="T28" s="769"/>
      <c r="U28" s="769"/>
      <c r="V28" s="769"/>
      <c r="W28" s="2571"/>
      <c r="X28" s="2571"/>
      <c r="Y28" s="610"/>
      <c r="Z28" s="610"/>
      <c r="AA28" s="610"/>
      <c r="AB28" s="610"/>
      <c r="AC28" s="610"/>
      <c r="AD28" s="610"/>
      <c r="AE28" s="610"/>
      <c r="AF28" s="610"/>
      <c r="AG28" s="610"/>
      <c r="AH28" s="610"/>
      <c r="AI28" s="2573"/>
      <c r="AJ28" s="610"/>
      <c r="AK28" s="610"/>
      <c r="AL28" s="610"/>
      <c r="AM28" s="610"/>
      <c r="AN28" s="610"/>
      <c r="AO28" s="610"/>
      <c r="AP28" s="610"/>
      <c r="AQ28" s="610"/>
      <c r="AR28" s="610"/>
      <c r="AS28" s="610"/>
      <c r="AT28" s="610"/>
      <c r="AU28" s="610"/>
      <c r="AV28" s="610"/>
      <c r="AW28" s="610"/>
      <c r="AX28" s="610"/>
      <c r="AY28" s="610"/>
      <c r="AZ28" s="610"/>
      <c r="BA28" s="610"/>
      <c r="BB28" s="610"/>
      <c r="BC28" s="610"/>
      <c r="BD28" s="610"/>
      <c r="BE28" s="610"/>
      <c r="BF28" s="610"/>
      <c r="BG28" s="610"/>
      <c r="BH28" s="610"/>
      <c r="BI28" s="610"/>
      <c r="BJ28" s="610"/>
      <c r="BK28" s="768"/>
      <c r="BL28" s="768"/>
      <c r="BM28" s="2574"/>
      <c r="BN28" s="2574"/>
      <c r="BO28" s="610"/>
    </row>
    <row r="29" spans="1:67" x14ac:dyDescent="0.25">
      <c r="A29" s="610"/>
      <c r="B29" s="610"/>
      <c r="C29" s="610"/>
      <c r="D29" s="610"/>
      <c r="E29" s="2493"/>
      <c r="F29" s="610"/>
      <c r="G29" s="2493"/>
      <c r="H29" s="610"/>
      <c r="I29" s="2570"/>
      <c r="J29" s="610"/>
      <c r="K29" s="610"/>
      <c r="L29" s="610"/>
      <c r="M29" s="610"/>
      <c r="N29" s="610"/>
      <c r="O29" s="2575"/>
      <c r="P29" s="610"/>
      <c r="Q29" s="610"/>
      <c r="R29" s="610"/>
      <c r="S29" s="769"/>
      <c r="T29" s="769"/>
      <c r="U29" s="769"/>
      <c r="V29" s="769"/>
      <c r="W29" s="2571"/>
      <c r="X29" s="2571"/>
      <c r="Y29" s="610"/>
      <c r="Z29" s="610"/>
      <c r="AA29" s="610"/>
      <c r="AB29" s="610"/>
      <c r="AC29" s="610"/>
      <c r="AD29" s="610"/>
      <c r="AE29" s="610"/>
      <c r="AF29" s="610"/>
      <c r="AG29" s="610"/>
      <c r="AH29" s="610"/>
      <c r="AI29" s="2573"/>
      <c r="AJ29" s="610"/>
      <c r="AK29" s="610"/>
      <c r="AL29" s="610"/>
      <c r="AM29" s="610"/>
      <c r="AN29" s="610"/>
      <c r="AO29" s="610"/>
      <c r="AP29" s="610"/>
      <c r="AQ29" s="610"/>
      <c r="AR29" s="610"/>
      <c r="AS29" s="610"/>
      <c r="AT29" s="610"/>
      <c r="AU29" s="610"/>
      <c r="AV29" s="610"/>
      <c r="AW29" s="610"/>
      <c r="AX29" s="610"/>
      <c r="AY29" s="610"/>
      <c r="AZ29" s="610"/>
      <c r="BA29" s="610"/>
      <c r="BB29" s="610"/>
      <c r="BC29" s="610"/>
      <c r="BD29" s="610"/>
      <c r="BE29" s="610"/>
      <c r="BF29" s="610"/>
      <c r="BG29" s="610"/>
      <c r="BH29" s="610"/>
      <c r="BI29" s="610"/>
      <c r="BJ29" s="610"/>
      <c r="BK29" s="768"/>
      <c r="BL29" s="768"/>
      <c r="BM29" s="2574"/>
      <c r="BN29" s="2574"/>
      <c r="BO29" s="610"/>
    </row>
    <row r="30" spans="1:67" x14ac:dyDescent="0.25">
      <c r="A30" s="610"/>
      <c r="B30" s="610"/>
      <c r="C30" s="610"/>
      <c r="D30" s="610"/>
      <c r="E30" s="2493"/>
      <c r="F30" s="610"/>
      <c r="G30" s="2493"/>
      <c r="H30" s="610"/>
      <c r="I30" s="2570"/>
      <c r="J30" s="610"/>
      <c r="K30" s="610"/>
      <c r="L30" s="610"/>
      <c r="M30" s="610"/>
      <c r="N30" s="610"/>
      <c r="O30" s="2575"/>
      <c r="P30" s="610"/>
      <c r="Q30" s="610"/>
      <c r="R30" s="610"/>
      <c r="S30" s="769"/>
      <c r="T30" s="769"/>
      <c r="U30" s="769"/>
      <c r="V30" s="769"/>
      <c r="W30" s="2571"/>
      <c r="X30" s="2571"/>
      <c r="Y30" s="610"/>
      <c r="Z30" s="610"/>
      <c r="AA30" s="610"/>
      <c r="AB30" s="610"/>
      <c r="AC30" s="610"/>
      <c r="AD30" s="610"/>
      <c r="AE30" s="610"/>
      <c r="AF30" s="610"/>
      <c r="AG30" s="610"/>
      <c r="AH30" s="610"/>
      <c r="AI30" s="2573"/>
      <c r="AJ30" s="610"/>
      <c r="AK30" s="610"/>
      <c r="AL30" s="610"/>
      <c r="AM30" s="610"/>
      <c r="AN30" s="610"/>
      <c r="AO30" s="610"/>
      <c r="AP30" s="610"/>
      <c r="AQ30" s="610"/>
      <c r="AR30" s="610"/>
      <c r="AS30" s="610"/>
      <c r="AT30" s="610"/>
      <c r="AU30" s="610"/>
      <c r="AV30" s="610"/>
      <c r="AW30" s="610"/>
      <c r="AX30" s="610"/>
      <c r="AY30" s="610"/>
      <c r="AZ30" s="610"/>
      <c r="BA30" s="610"/>
      <c r="BB30" s="610"/>
      <c r="BC30" s="610"/>
      <c r="BD30" s="610"/>
      <c r="BE30" s="610"/>
      <c r="BF30" s="610"/>
      <c r="BG30" s="610"/>
      <c r="BH30" s="610"/>
      <c r="BI30" s="610"/>
      <c r="BJ30" s="610"/>
      <c r="BK30" s="768"/>
      <c r="BL30" s="768"/>
      <c r="BM30" s="2574"/>
      <c r="BN30" s="2574"/>
      <c r="BO30" s="610"/>
    </row>
    <row r="31" spans="1:67" x14ac:dyDescent="0.25">
      <c r="A31" s="610"/>
      <c r="B31" s="610"/>
      <c r="C31" s="610"/>
      <c r="D31" s="610"/>
      <c r="E31" s="2493"/>
      <c r="F31" s="610"/>
      <c r="G31" s="2493"/>
      <c r="H31" s="610"/>
      <c r="I31" s="2570"/>
      <c r="J31" s="610"/>
      <c r="K31" s="610"/>
      <c r="L31" s="610"/>
      <c r="M31" s="610"/>
      <c r="N31" s="610"/>
      <c r="P31" s="610"/>
      <c r="Q31" s="610"/>
      <c r="R31" s="610"/>
      <c r="S31" s="769"/>
      <c r="T31" s="769"/>
      <c r="U31" s="769"/>
      <c r="V31" s="769"/>
      <c r="W31" s="2571"/>
      <c r="X31" s="2571"/>
      <c r="Y31" s="610"/>
      <c r="Z31" s="610"/>
      <c r="AA31" s="610"/>
      <c r="AB31" s="610"/>
      <c r="AC31" s="610"/>
      <c r="AD31" s="610"/>
      <c r="AE31" s="610"/>
      <c r="AF31" s="610"/>
      <c r="AG31" s="610"/>
      <c r="AH31" s="610"/>
      <c r="AI31" s="2573"/>
      <c r="AJ31" s="610"/>
      <c r="AK31" s="610"/>
      <c r="AL31" s="610"/>
      <c r="AM31" s="610"/>
      <c r="AN31" s="610"/>
      <c r="AO31" s="610"/>
      <c r="AP31" s="610"/>
      <c r="AQ31" s="610"/>
      <c r="AR31" s="610"/>
      <c r="AS31" s="610"/>
      <c r="AT31" s="610"/>
      <c r="AU31" s="610"/>
      <c r="AV31" s="610"/>
      <c r="AW31" s="610"/>
      <c r="AX31" s="610"/>
      <c r="AY31" s="610"/>
      <c r="AZ31" s="610"/>
      <c r="BA31" s="610"/>
      <c r="BB31" s="610"/>
      <c r="BC31" s="610"/>
      <c r="BD31" s="610"/>
      <c r="BE31" s="610"/>
      <c r="BF31" s="610"/>
      <c r="BG31" s="610"/>
      <c r="BH31" s="610"/>
      <c r="BI31" s="610"/>
      <c r="BJ31" s="610"/>
      <c r="BK31" s="768"/>
      <c r="BL31" s="768"/>
      <c r="BM31" s="2574"/>
      <c r="BN31" s="2574"/>
      <c r="BO31" s="610"/>
    </row>
    <row r="32" spans="1:67" x14ac:dyDescent="0.25">
      <c r="A32" s="610"/>
      <c r="B32" s="610"/>
      <c r="C32" s="610"/>
      <c r="D32" s="610"/>
      <c r="E32" s="2493"/>
      <c r="F32" s="610"/>
      <c r="G32" s="2493"/>
      <c r="H32" s="610"/>
      <c r="I32" s="2570"/>
      <c r="J32" s="610"/>
      <c r="K32" s="610"/>
      <c r="L32" s="610"/>
      <c r="M32" s="610"/>
      <c r="N32" s="610"/>
      <c r="P32" s="610"/>
      <c r="Q32" s="610"/>
      <c r="R32" s="610"/>
      <c r="S32" s="769"/>
      <c r="T32" s="769"/>
      <c r="U32" s="769"/>
      <c r="V32" s="769"/>
      <c r="W32" s="2571"/>
      <c r="X32" s="2571"/>
      <c r="Y32" s="610"/>
      <c r="Z32" s="610"/>
      <c r="AA32" s="610"/>
      <c r="AB32" s="610"/>
      <c r="AC32" s="610"/>
      <c r="AD32" s="610"/>
      <c r="AE32" s="610"/>
      <c r="AF32" s="610"/>
      <c r="AG32" s="610"/>
      <c r="AH32" s="610"/>
      <c r="AI32" s="2573"/>
      <c r="AJ32" s="610"/>
      <c r="AK32" s="610"/>
      <c r="AL32" s="610"/>
      <c r="AM32" s="610"/>
      <c r="AN32" s="610"/>
      <c r="AO32" s="610"/>
      <c r="AP32" s="610"/>
      <c r="AQ32" s="610"/>
      <c r="AR32" s="610"/>
      <c r="AS32" s="610"/>
      <c r="AT32" s="610"/>
      <c r="AU32" s="610"/>
      <c r="AV32" s="610"/>
      <c r="AW32" s="610"/>
      <c r="AX32" s="610"/>
      <c r="AY32" s="610"/>
      <c r="AZ32" s="610"/>
      <c r="BA32" s="610"/>
      <c r="BB32" s="610"/>
      <c r="BC32" s="610"/>
      <c r="BD32" s="610"/>
      <c r="BE32" s="610"/>
      <c r="BF32" s="610"/>
      <c r="BG32" s="610"/>
      <c r="BH32" s="610"/>
      <c r="BI32" s="610"/>
      <c r="BJ32" s="610"/>
      <c r="BK32" s="768"/>
      <c r="BL32" s="768"/>
      <c r="BM32" s="2574"/>
      <c r="BN32" s="2574"/>
      <c r="BO32" s="610"/>
    </row>
    <row r="33" spans="1:67" x14ac:dyDescent="0.25">
      <c r="A33" s="610"/>
      <c r="B33" s="610"/>
      <c r="C33" s="610"/>
      <c r="D33" s="610"/>
      <c r="E33" s="2493"/>
      <c r="F33" s="610"/>
      <c r="G33" s="2493"/>
      <c r="H33" s="610"/>
      <c r="I33" s="2570"/>
      <c r="J33" s="610"/>
      <c r="K33" s="610"/>
      <c r="L33" s="610"/>
      <c r="M33" s="610"/>
      <c r="N33" s="610"/>
      <c r="P33" s="610"/>
      <c r="Q33" s="610"/>
      <c r="R33" s="610"/>
      <c r="S33" s="769"/>
      <c r="T33" s="769"/>
      <c r="U33" s="769"/>
      <c r="V33" s="769"/>
      <c r="W33" s="2571"/>
      <c r="X33" s="2571"/>
      <c r="Y33" s="610"/>
      <c r="Z33" s="610"/>
      <c r="AA33" s="610"/>
      <c r="AB33" s="610"/>
      <c r="AC33" s="610"/>
      <c r="AD33" s="610"/>
      <c r="AE33" s="610"/>
      <c r="AF33" s="610"/>
      <c r="AG33" s="610"/>
      <c r="AH33" s="610"/>
      <c r="AI33" s="2573"/>
      <c r="AJ33" s="610"/>
      <c r="AK33" s="610"/>
      <c r="AL33" s="610"/>
      <c r="AM33" s="610"/>
      <c r="AN33" s="610"/>
      <c r="AO33" s="610"/>
      <c r="AP33" s="610"/>
      <c r="AQ33" s="610"/>
      <c r="AR33" s="610"/>
      <c r="AS33" s="610"/>
      <c r="AT33" s="610"/>
      <c r="AU33" s="610"/>
      <c r="AV33" s="610"/>
      <c r="AW33" s="610"/>
      <c r="AX33" s="610"/>
      <c r="AY33" s="610"/>
      <c r="AZ33" s="610"/>
      <c r="BA33" s="610"/>
      <c r="BB33" s="610"/>
      <c r="BC33" s="610"/>
      <c r="BD33" s="610"/>
      <c r="BE33" s="610"/>
      <c r="BF33" s="610"/>
      <c r="BG33" s="610"/>
      <c r="BH33" s="610"/>
      <c r="BI33" s="610"/>
      <c r="BJ33" s="610"/>
      <c r="BK33" s="768"/>
      <c r="BL33" s="768"/>
      <c r="BM33" s="2574"/>
      <c r="BN33" s="2574"/>
      <c r="BO33" s="610"/>
    </row>
    <row r="34" spans="1:67" x14ac:dyDescent="0.25">
      <c r="A34" s="610"/>
      <c r="B34" s="610"/>
      <c r="C34" s="610"/>
      <c r="D34" s="610"/>
      <c r="E34" s="2493"/>
      <c r="F34" s="610"/>
      <c r="G34" s="2493"/>
      <c r="H34" s="610"/>
      <c r="I34" s="2570"/>
      <c r="J34" s="610"/>
      <c r="K34" s="610"/>
      <c r="L34" s="610"/>
      <c r="M34" s="610"/>
      <c r="N34" s="610"/>
      <c r="P34" s="610"/>
      <c r="Q34" s="610"/>
      <c r="R34" s="610"/>
      <c r="S34" s="769"/>
      <c r="T34" s="769"/>
      <c r="U34" s="769"/>
      <c r="V34" s="769"/>
      <c r="W34" s="2571"/>
      <c r="X34" s="2571"/>
      <c r="Y34" s="610"/>
      <c r="Z34" s="610"/>
      <c r="AA34" s="610"/>
      <c r="AB34" s="610"/>
      <c r="AC34" s="610"/>
      <c r="AD34" s="610"/>
      <c r="AE34" s="610"/>
      <c r="AF34" s="610"/>
      <c r="AG34" s="610"/>
      <c r="AH34" s="610"/>
      <c r="AI34" s="2573"/>
      <c r="AJ34" s="610"/>
      <c r="AK34" s="610"/>
      <c r="AL34" s="610"/>
      <c r="AM34" s="610"/>
      <c r="AN34" s="610"/>
      <c r="AO34" s="610"/>
      <c r="AP34" s="610"/>
      <c r="AQ34" s="610"/>
      <c r="AR34" s="610"/>
      <c r="AS34" s="610"/>
      <c r="AT34" s="610"/>
      <c r="AU34" s="610"/>
      <c r="AV34" s="610"/>
      <c r="AW34" s="610"/>
      <c r="AX34" s="610"/>
      <c r="AY34" s="610"/>
      <c r="AZ34" s="610"/>
      <c r="BA34" s="610"/>
      <c r="BB34" s="610"/>
      <c r="BC34" s="610"/>
      <c r="BD34" s="610"/>
      <c r="BE34" s="610"/>
      <c r="BF34" s="610"/>
      <c r="BG34" s="610"/>
      <c r="BH34" s="610"/>
      <c r="BI34" s="610"/>
      <c r="BJ34" s="610"/>
      <c r="BK34" s="768"/>
      <c r="BL34" s="768"/>
      <c r="BM34" s="2574"/>
      <c r="BN34" s="2574"/>
      <c r="BO34" s="610"/>
    </row>
    <row r="35" spans="1:67" x14ac:dyDescent="0.25">
      <c r="A35" s="610"/>
      <c r="B35" s="610"/>
      <c r="C35" s="610"/>
      <c r="D35" s="610"/>
      <c r="E35" s="2493"/>
      <c r="F35" s="610"/>
      <c r="G35" s="2493"/>
      <c r="H35" s="610"/>
      <c r="I35" s="2570"/>
      <c r="J35" s="610"/>
      <c r="K35" s="610"/>
      <c r="L35" s="610"/>
      <c r="M35" s="610"/>
      <c r="N35" s="610"/>
      <c r="P35" s="610"/>
      <c r="Q35" s="610"/>
      <c r="R35" s="610"/>
      <c r="S35" s="769"/>
      <c r="T35" s="769"/>
      <c r="U35" s="769"/>
      <c r="V35" s="769"/>
      <c r="W35" s="2571"/>
      <c r="X35" s="2571"/>
      <c r="Y35" s="610"/>
      <c r="Z35" s="610"/>
      <c r="AA35" s="610"/>
      <c r="AB35" s="610"/>
      <c r="AC35" s="610"/>
      <c r="AD35" s="610"/>
      <c r="AE35" s="610"/>
      <c r="AF35" s="610"/>
      <c r="AG35" s="610"/>
      <c r="AH35" s="610"/>
      <c r="AI35" s="2573"/>
      <c r="AJ35" s="610"/>
      <c r="AK35" s="610"/>
      <c r="AL35" s="610"/>
      <c r="AM35" s="610"/>
      <c r="AN35" s="610"/>
      <c r="AO35" s="610"/>
      <c r="AP35" s="610"/>
      <c r="AQ35" s="610"/>
      <c r="AR35" s="610"/>
      <c r="AS35" s="610"/>
      <c r="AT35" s="610"/>
      <c r="AU35" s="610"/>
      <c r="AV35" s="610"/>
      <c r="AW35" s="610"/>
      <c r="AX35" s="610"/>
      <c r="AY35" s="610"/>
      <c r="AZ35" s="610"/>
      <c r="BA35" s="610"/>
      <c r="BB35" s="610"/>
      <c r="BC35" s="610"/>
      <c r="BD35" s="610"/>
      <c r="BE35" s="610"/>
      <c r="BF35" s="610"/>
      <c r="BG35" s="610"/>
      <c r="BH35" s="610"/>
      <c r="BI35" s="610"/>
      <c r="BJ35" s="610"/>
      <c r="BK35" s="768"/>
      <c r="BL35" s="768"/>
      <c r="BM35" s="2574"/>
      <c r="BN35" s="2574"/>
      <c r="BO35" s="610"/>
    </row>
    <row r="36" spans="1:67" x14ac:dyDescent="0.25">
      <c r="A36" s="610"/>
      <c r="B36" s="610"/>
      <c r="C36" s="610"/>
      <c r="D36" s="610"/>
      <c r="E36" s="2493"/>
      <c r="F36" s="610"/>
      <c r="G36" s="2493"/>
      <c r="H36" s="610"/>
      <c r="I36" s="2570"/>
      <c r="J36" s="610"/>
      <c r="K36" s="610"/>
      <c r="L36" s="610"/>
      <c r="M36" s="610"/>
      <c r="N36" s="610"/>
      <c r="P36" s="610"/>
      <c r="Q36" s="610"/>
      <c r="R36" s="610"/>
      <c r="S36" s="769"/>
      <c r="T36" s="769"/>
      <c r="U36" s="769"/>
      <c r="V36" s="769"/>
      <c r="W36" s="2571"/>
      <c r="X36" s="2571"/>
      <c r="Y36" s="610"/>
      <c r="Z36" s="610"/>
      <c r="AA36" s="610"/>
      <c r="AB36" s="610"/>
      <c r="AC36" s="610"/>
      <c r="AD36" s="610"/>
      <c r="AE36" s="610"/>
      <c r="AF36" s="610"/>
      <c r="AG36" s="610"/>
      <c r="AH36" s="610"/>
      <c r="AI36" s="2573"/>
      <c r="AJ36" s="610"/>
      <c r="AK36" s="610"/>
      <c r="AL36" s="610"/>
      <c r="AM36" s="610"/>
      <c r="AN36" s="610"/>
      <c r="AO36" s="610"/>
      <c r="AP36" s="610"/>
      <c r="AQ36" s="610"/>
      <c r="AR36" s="610"/>
      <c r="AS36" s="610"/>
      <c r="AT36" s="610"/>
      <c r="AU36" s="610"/>
      <c r="AV36" s="610"/>
      <c r="AW36" s="610"/>
      <c r="AX36" s="610"/>
      <c r="AY36" s="610"/>
      <c r="AZ36" s="610"/>
      <c r="BA36" s="610"/>
      <c r="BB36" s="610"/>
      <c r="BC36" s="610"/>
      <c r="BD36" s="610"/>
      <c r="BE36" s="610"/>
      <c r="BF36" s="610"/>
      <c r="BG36" s="610"/>
      <c r="BH36" s="610"/>
      <c r="BI36" s="610"/>
      <c r="BJ36" s="610"/>
      <c r="BK36" s="768"/>
      <c r="BL36" s="768"/>
      <c r="BM36" s="2574"/>
      <c r="BN36" s="2574"/>
      <c r="BO36" s="610"/>
    </row>
    <row r="37" spans="1:67" x14ac:dyDescent="0.25">
      <c r="A37" s="610"/>
      <c r="B37" s="610"/>
      <c r="C37" s="610"/>
      <c r="D37" s="610"/>
      <c r="E37" s="2493"/>
      <c r="F37" s="610"/>
      <c r="G37" s="2493"/>
      <c r="H37" s="610"/>
      <c r="I37" s="2570"/>
      <c r="J37" s="610"/>
      <c r="K37" s="610"/>
      <c r="L37" s="610"/>
      <c r="M37" s="610"/>
      <c r="N37" s="610"/>
      <c r="P37" s="610"/>
      <c r="Q37" s="610"/>
      <c r="R37" s="610"/>
      <c r="S37" s="769"/>
      <c r="T37" s="769"/>
      <c r="U37" s="769"/>
      <c r="V37" s="769"/>
      <c r="W37" s="2571"/>
      <c r="X37" s="2571"/>
      <c r="Y37" s="610"/>
      <c r="Z37" s="610"/>
      <c r="AA37" s="610"/>
      <c r="AB37" s="610"/>
      <c r="AC37" s="610"/>
      <c r="AD37" s="610"/>
      <c r="AE37" s="610"/>
      <c r="AF37" s="610"/>
      <c r="AG37" s="610"/>
      <c r="AH37" s="610"/>
      <c r="AI37" s="2573"/>
      <c r="AJ37" s="610"/>
      <c r="AK37" s="610"/>
      <c r="AL37" s="610"/>
      <c r="AM37" s="610"/>
      <c r="AN37" s="610"/>
      <c r="AO37" s="610"/>
      <c r="AP37" s="610"/>
      <c r="AQ37" s="610"/>
      <c r="AR37" s="610"/>
      <c r="AS37" s="610"/>
      <c r="AT37" s="610"/>
      <c r="AU37" s="610"/>
      <c r="AV37" s="610"/>
      <c r="AW37" s="610"/>
      <c r="AX37" s="610"/>
      <c r="AY37" s="610"/>
      <c r="AZ37" s="610"/>
      <c r="BA37" s="610"/>
      <c r="BB37" s="610"/>
      <c r="BC37" s="610"/>
      <c r="BD37" s="610"/>
      <c r="BE37" s="610"/>
      <c r="BF37" s="610"/>
      <c r="BG37" s="610"/>
      <c r="BH37" s="610"/>
      <c r="BI37" s="610"/>
      <c r="BJ37" s="610"/>
      <c r="BK37" s="768"/>
      <c r="BL37" s="768"/>
      <c r="BM37" s="2574"/>
      <c r="BN37" s="2574"/>
      <c r="BO37" s="610"/>
    </row>
    <row r="38" spans="1:67" x14ac:dyDescent="0.25">
      <c r="A38" s="2575"/>
      <c r="B38" s="2575"/>
      <c r="C38" s="2575"/>
      <c r="D38" s="2575"/>
      <c r="E38" s="2576"/>
      <c r="F38" s="2575"/>
      <c r="G38" s="2576"/>
      <c r="H38" s="2575"/>
      <c r="I38" s="2577"/>
      <c r="J38" s="2575"/>
      <c r="K38" s="2575"/>
      <c r="L38" s="2575"/>
      <c r="M38" s="2575"/>
      <c r="N38" s="2578"/>
      <c r="P38" s="2575"/>
      <c r="Q38" s="2575"/>
      <c r="R38" s="2579"/>
      <c r="S38" s="2579"/>
      <c r="T38" s="2579"/>
      <c r="U38" s="2579"/>
      <c r="V38" s="2579"/>
      <c r="W38" s="2576"/>
      <c r="X38" s="2576"/>
      <c r="Y38" s="2575"/>
      <c r="Z38" s="2575"/>
      <c r="AA38" s="2575"/>
      <c r="AB38" s="2575"/>
      <c r="AC38" s="2575"/>
      <c r="AD38" s="2575"/>
      <c r="AE38" s="2575"/>
      <c r="AF38" s="2575"/>
      <c r="AG38" s="2575"/>
      <c r="AH38" s="2575"/>
      <c r="AI38" s="2580"/>
      <c r="AJ38" s="2575"/>
      <c r="AK38" s="2575"/>
      <c r="AL38" s="2575"/>
      <c r="AM38" s="2575"/>
      <c r="AN38" s="2575"/>
      <c r="AO38" s="2575"/>
      <c r="AP38" s="2575"/>
      <c r="AQ38" s="2575"/>
      <c r="AR38" s="2575"/>
      <c r="AS38" s="2581"/>
      <c r="AT38" s="2581"/>
      <c r="AU38" s="2582"/>
      <c r="AV38" s="2582"/>
      <c r="AW38" s="2583"/>
      <c r="AX38" s="2583"/>
      <c r="AY38" s="2575"/>
      <c r="AZ38" s="2575"/>
      <c r="BA38" s="2575"/>
      <c r="BB38" s="2575"/>
      <c r="BC38" s="2575"/>
      <c r="BD38" s="2575"/>
      <c r="BE38" s="2575"/>
      <c r="BF38" s="2575"/>
      <c r="BG38" s="2575"/>
      <c r="BH38" s="2575"/>
      <c r="BI38" s="2575"/>
      <c r="BJ38" s="2575"/>
      <c r="BK38" s="2575"/>
      <c r="BL38" s="2575"/>
      <c r="BM38" s="2575"/>
      <c r="BN38" s="2575"/>
      <c r="BO38" s="2575"/>
    </row>
    <row r="39" spans="1:67" x14ac:dyDescent="0.25">
      <c r="A39" s="2584" t="s">
        <v>2388</v>
      </c>
      <c r="B39" s="2575"/>
      <c r="C39" s="2575"/>
      <c r="D39" s="2575"/>
      <c r="E39" s="2576"/>
      <c r="F39" s="2575"/>
      <c r="G39" s="2576"/>
      <c r="H39" s="2575"/>
      <c r="I39" s="2577"/>
      <c r="J39" s="2575"/>
      <c r="K39" s="2575"/>
      <c r="L39" s="2575"/>
      <c r="M39" s="2575"/>
      <c r="N39" s="2578"/>
      <c r="P39" s="2575"/>
      <c r="Q39" s="2575"/>
      <c r="R39" s="2579"/>
      <c r="S39" s="2579"/>
      <c r="T39" s="2579"/>
      <c r="U39" s="2579"/>
      <c r="V39" s="2579"/>
      <c r="W39" s="2576"/>
      <c r="X39" s="2576"/>
      <c r="Y39" s="2575"/>
      <c r="Z39" s="2575"/>
      <c r="AA39" s="2575"/>
      <c r="AB39" s="2575"/>
      <c r="AC39" s="2575"/>
      <c r="AD39" s="2575"/>
      <c r="AE39" s="2575"/>
      <c r="AF39" s="2575"/>
      <c r="AG39" s="2575"/>
      <c r="AH39" s="2575"/>
      <c r="AI39" s="2580"/>
      <c r="AJ39" s="2575"/>
      <c r="AK39" s="2575"/>
      <c r="AL39" s="2575"/>
      <c r="AM39" s="2575"/>
      <c r="AN39" s="2575"/>
      <c r="AO39" s="2575"/>
      <c r="AP39" s="2575"/>
      <c r="AQ39" s="2575"/>
      <c r="AR39" s="2575"/>
      <c r="AS39" s="2581"/>
      <c r="AT39" s="2581"/>
      <c r="AU39" s="2582"/>
      <c r="AV39" s="2582"/>
      <c r="AW39" s="2583"/>
      <c r="AX39" s="2583"/>
      <c r="AY39" s="2575"/>
      <c r="AZ39" s="2575"/>
      <c r="BA39" s="2575"/>
      <c r="BB39" s="2575"/>
      <c r="BC39" s="2575"/>
      <c r="BD39" s="2575"/>
      <c r="BE39" s="2575"/>
      <c r="BF39" s="2575"/>
      <c r="BG39" s="2575"/>
      <c r="BH39" s="2575"/>
      <c r="BI39" s="2575"/>
      <c r="BJ39" s="2575"/>
      <c r="BK39" s="2575"/>
      <c r="BL39" s="2575"/>
      <c r="BM39" s="2575"/>
      <c r="BN39" s="2575"/>
      <c r="BO39" s="2575"/>
    </row>
    <row r="40" spans="1:67" x14ac:dyDescent="0.25">
      <c r="A40" s="2584" t="s">
        <v>2389</v>
      </c>
      <c r="B40" s="2575"/>
      <c r="C40" s="2575"/>
      <c r="D40" s="2575"/>
      <c r="E40" s="2576"/>
      <c r="F40" s="2575"/>
      <c r="G40" s="2576"/>
      <c r="H40" s="2575"/>
      <c r="I40" s="2577"/>
      <c r="J40" s="2575"/>
      <c r="K40" s="2575"/>
      <c r="L40" s="2575"/>
      <c r="M40" s="2575"/>
      <c r="N40" s="2578"/>
      <c r="P40" s="2575"/>
      <c r="Q40" s="2575"/>
      <c r="R40" s="2579"/>
      <c r="S40" s="2579"/>
      <c r="T40" s="2579"/>
      <c r="U40" s="2579"/>
      <c r="V40" s="2579"/>
      <c r="W40" s="2576"/>
      <c r="X40" s="2576"/>
      <c r="Y40" s="2575"/>
      <c r="Z40" s="2575"/>
      <c r="AA40" s="2575"/>
      <c r="AB40" s="2575"/>
      <c r="AC40" s="2575"/>
      <c r="AD40" s="2575"/>
      <c r="AE40" s="2575"/>
      <c r="AF40" s="2575"/>
      <c r="AG40" s="2575"/>
      <c r="AH40" s="2575"/>
      <c r="AI40" s="2580"/>
      <c r="AJ40" s="2575"/>
      <c r="AK40" s="2575"/>
      <c r="AL40" s="2575"/>
      <c r="AM40" s="2575"/>
      <c r="AN40" s="2575"/>
      <c r="AO40" s="2575"/>
      <c r="AP40" s="2575"/>
      <c r="AQ40" s="2575"/>
      <c r="AR40" s="2575"/>
      <c r="AS40" s="2581"/>
      <c r="AT40" s="2581"/>
      <c r="AU40" s="2582"/>
      <c r="AV40" s="2582"/>
      <c r="AW40" s="2583"/>
      <c r="AX40" s="2583"/>
      <c r="AY40" s="2575"/>
      <c r="AZ40" s="2575"/>
      <c r="BA40" s="2575"/>
      <c r="BB40" s="2575"/>
      <c r="BC40" s="2575"/>
      <c r="BD40" s="2575"/>
      <c r="BE40" s="2575"/>
      <c r="BF40" s="2575"/>
      <c r="BG40" s="2575"/>
      <c r="BH40" s="2575"/>
      <c r="BI40" s="2575"/>
      <c r="BJ40" s="2575"/>
      <c r="BK40" s="2575"/>
      <c r="BL40" s="2575"/>
      <c r="BM40" s="2575"/>
      <c r="BN40" s="2575"/>
      <c r="BO40" s="2575"/>
    </row>
    <row r="41" spans="1:67" x14ac:dyDescent="0.25">
      <c r="A41" s="2575"/>
      <c r="B41" s="2575"/>
      <c r="C41" s="2575"/>
      <c r="D41" s="2575"/>
      <c r="E41" s="2576"/>
      <c r="F41" s="2575"/>
      <c r="G41" s="2576"/>
      <c r="H41" s="2575"/>
      <c r="I41" s="2577"/>
      <c r="J41" s="2575"/>
      <c r="K41" s="2575"/>
      <c r="L41" s="2575"/>
      <c r="M41" s="2575"/>
      <c r="N41" s="2578"/>
      <c r="P41" s="2575"/>
      <c r="Q41" s="2575"/>
      <c r="R41" s="2579"/>
      <c r="S41" s="2579"/>
      <c r="T41" s="2579"/>
      <c r="U41" s="2579"/>
      <c r="V41" s="2579"/>
      <c r="W41" s="2576"/>
      <c r="X41" s="2576"/>
      <c r="Y41" s="2575"/>
      <c r="Z41" s="2575"/>
      <c r="AA41" s="2575"/>
      <c r="AB41" s="2575"/>
      <c r="AC41" s="2575"/>
      <c r="AD41" s="2575"/>
      <c r="AE41" s="2575"/>
      <c r="AF41" s="2575"/>
      <c r="AG41" s="2575"/>
      <c r="AH41" s="2575"/>
      <c r="AI41" s="2580"/>
      <c r="AJ41" s="2575"/>
      <c r="AK41" s="2575"/>
      <c r="AL41" s="2575"/>
      <c r="AM41" s="2575"/>
      <c r="AN41" s="2575"/>
      <c r="AO41" s="2575"/>
      <c r="AP41" s="2575"/>
      <c r="AQ41" s="2575"/>
      <c r="AR41" s="2575"/>
      <c r="AS41" s="2581"/>
      <c r="AT41" s="2581"/>
      <c r="AU41" s="2582"/>
      <c r="AV41" s="2582"/>
      <c r="AW41" s="2583"/>
      <c r="AX41" s="2583"/>
      <c r="AY41" s="2575"/>
      <c r="AZ41" s="2575"/>
      <c r="BA41" s="2575"/>
      <c r="BB41" s="2575"/>
      <c r="BC41" s="2575"/>
      <c r="BD41" s="2575"/>
      <c r="BE41" s="2575"/>
      <c r="BF41" s="2575"/>
      <c r="BG41" s="2575"/>
      <c r="BH41" s="2575"/>
      <c r="BI41" s="2575"/>
      <c r="BJ41" s="2575"/>
      <c r="BK41" s="2575"/>
      <c r="BL41" s="2575"/>
      <c r="BM41" s="2575"/>
      <c r="BN41" s="2575"/>
      <c r="BO41" s="2575"/>
    </row>
    <row r="42" spans="1:67" x14ac:dyDescent="0.25">
      <c r="A42" s="2575"/>
      <c r="B42" s="2575"/>
      <c r="C42" s="2575"/>
      <c r="D42" s="2575"/>
      <c r="E42" s="2576"/>
      <c r="F42" s="2575"/>
      <c r="G42" s="2576"/>
      <c r="H42" s="2575"/>
      <c r="I42" s="2577"/>
      <c r="J42" s="2575"/>
      <c r="K42" s="2575"/>
      <c r="L42" s="2575"/>
      <c r="M42" s="2575"/>
      <c r="N42" s="2578"/>
      <c r="P42" s="2575"/>
      <c r="Q42" s="2575"/>
      <c r="R42" s="2579"/>
      <c r="S42" s="2579"/>
      <c r="T42" s="2579"/>
      <c r="U42" s="2579"/>
      <c r="V42" s="2579"/>
      <c r="W42" s="2576"/>
      <c r="X42" s="2576"/>
      <c r="Y42" s="2575"/>
      <c r="Z42" s="2575"/>
      <c r="AA42" s="2575"/>
      <c r="AB42" s="2575"/>
      <c r="AC42" s="2575"/>
      <c r="AD42" s="2575"/>
      <c r="AE42" s="2575"/>
      <c r="AF42" s="2575"/>
      <c r="AG42" s="2575"/>
      <c r="AH42" s="2575"/>
      <c r="AI42" s="2580"/>
      <c r="AJ42" s="2575"/>
      <c r="AK42" s="2575"/>
      <c r="AL42" s="2575"/>
      <c r="AM42" s="2575"/>
      <c r="AN42" s="2575"/>
      <c r="AO42" s="2575"/>
      <c r="AP42" s="2575"/>
      <c r="AQ42" s="2575"/>
      <c r="AR42" s="2575"/>
      <c r="AS42" s="2581"/>
      <c r="AT42" s="2581"/>
      <c r="AU42" s="2582"/>
      <c r="AV42" s="2582"/>
      <c r="AW42" s="2583"/>
      <c r="AX42" s="2583"/>
      <c r="AY42" s="2575"/>
      <c r="AZ42" s="2575"/>
      <c r="BA42" s="2575"/>
      <c r="BB42" s="2575"/>
      <c r="BC42" s="2575"/>
      <c r="BD42" s="2575"/>
      <c r="BE42" s="2575"/>
      <c r="BF42" s="2575"/>
      <c r="BG42" s="2575"/>
      <c r="BH42" s="2575"/>
      <c r="BI42" s="2575"/>
      <c r="BJ42" s="2575"/>
      <c r="BK42" s="2575"/>
      <c r="BL42" s="2575"/>
      <c r="BM42" s="2575"/>
      <c r="BN42" s="2575"/>
      <c r="BO42" s="2575"/>
    </row>
    <row r="43" spans="1:67" x14ac:dyDescent="0.25">
      <c r="A43" s="2585" t="s">
        <v>2390</v>
      </c>
      <c r="B43" s="2575"/>
      <c r="C43" s="2575"/>
      <c r="D43" s="2575"/>
      <c r="E43" s="2576"/>
      <c r="F43" s="2575"/>
      <c r="G43" s="2576"/>
      <c r="H43" s="2575"/>
      <c r="I43" s="2577"/>
      <c r="J43" s="2575"/>
      <c r="K43" s="2575"/>
      <c r="L43" s="2575"/>
      <c r="M43" s="2575"/>
      <c r="N43" s="2578"/>
      <c r="P43" s="2575"/>
      <c r="Q43" s="2575"/>
      <c r="R43" s="2579"/>
      <c r="S43" s="2579"/>
      <c r="T43" s="2579"/>
      <c r="U43" s="2579"/>
      <c r="V43" s="2579"/>
      <c r="W43" s="2576"/>
      <c r="X43" s="2576"/>
      <c r="Y43" s="2575"/>
      <c r="Z43" s="2575"/>
      <c r="AA43" s="2575"/>
      <c r="AB43" s="2575"/>
      <c r="AC43" s="2575"/>
      <c r="AD43" s="2575"/>
      <c r="AE43" s="2575"/>
      <c r="AF43" s="2575"/>
      <c r="AG43" s="2575"/>
      <c r="AH43" s="2575"/>
      <c r="AI43" s="2580"/>
      <c r="AJ43" s="2575"/>
      <c r="AK43" s="2575"/>
      <c r="AL43" s="2575"/>
      <c r="AM43" s="2575"/>
      <c r="AN43" s="2575"/>
      <c r="AO43" s="2575"/>
      <c r="AP43" s="2575"/>
      <c r="AQ43" s="2575"/>
      <c r="AR43" s="2575"/>
      <c r="AS43" s="2581"/>
      <c r="AT43" s="2581"/>
      <c r="AU43" s="2582"/>
      <c r="AV43" s="2582"/>
      <c r="AW43" s="2583"/>
      <c r="AX43" s="2583"/>
      <c r="AY43" s="2575"/>
      <c r="AZ43" s="2575"/>
      <c r="BA43" s="2575"/>
      <c r="BB43" s="2575"/>
      <c r="BC43" s="2575"/>
      <c r="BD43" s="2575"/>
      <c r="BE43" s="2575"/>
      <c r="BF43" s="2575"/>
      <c r="BG43" s="2575"/>
      <c r="BH43" s="2575"/>
      <c r="BI43" s="2575"/>
      <c r="BJ43" s="2575"/>
      <c r="BK43" s="2575"/>
      <c r="BL43" s="2575"/>
      <c r="BM43" s="2575"/>
      <c r="BN43" s="2575"/>
      <c r="BO43" s="2575"/>
    </row>
    <row r="44" spans="1:67" x14ac:dyDescent="0.25">
      <c r="A44" s="2585" t="s">
        <v>2391</v>
      </c>
      <c r="B44" s="2575"/>
      <c r="C44" s="2575"/>
      <c r="D44" s="2575"/>
      <c r="E44" s="2576"/>
      <c r="F44" s="2575"/>
      <c r="G44" s="2576"/>
      <c r="H44" s="2575"/>
      <c r="I44" s="2577"/>
      <c r="J44" s="2575"/>
      <c r="K44" s="2575"/>
      <c r="L44" s="2575"/>
      <c r="M44" s="2575"/>
      <c r="N44" s="2578"/>
      <c r="P44" s="2575"/>
      <c r="Q44" s="2575"/>
      <c r="R44" s="2579"/>
      <c r="S44" s="2579"/>
      <c r="T44" s="2579"/>
      <c r="U44" s="2579"/>
      <c r="V44" s="2579"/>
      <c r="W44" s="2576"/>
      <c r="X44" s="2576"/>
      <c r="Y44" s="2575"/>
      <c r="Z44" s="2575"/>
      <c r="AA44" s="2575"/>
      <c r="AB44" s="2575"/>
      <c r="AC44" s="2575"/>
      <c r="AD44" s="2575"/>
      <c r="AE44" s="2575"/>
      <c r="AF44" s="2575"/>
      <c r="AG44" s="2575"/>
      <c r="AH44" s="2575"/>
      <c r="AI44" s="2580"/>
      <c r="AJ44" s="2575"/>
      <c r="AK44" s="2575"/>
      <c r="AL44" s="2575"/>
      <c r="AM44" s="2575"/>
      <c r="AN44" s="2575"/>
      <c r="AO44" s="2575"/>
      <c r="AP44" s="2575"/>
      <c r="AQ44" s="2575"/>
      <c r="AR44" s="2575"/>
      <c r="AS44" s="2581"/>
      <c r="AT44" s="2581"/>
      <c r="AU44" s="2582"/>
      <c r="AV44" s="2582"/>
      <c r="AW44" s="2583"/>
      <c r="AX44" s="2583"/>
      <c r="AY44" s="2575"/>
      <c r="AZ44" s="2575"/>
      <c r="BA44" s="2575"/>
      <c r="BB44" s="2575"/>
      <c r="BC44" s="2575"/>
      <c r="BD44" s="2575"/>
      <c r="BE44" s="2575"/>
      <c r="BF44" s="2575"/>
      <c r="BG44" s="2575"/>
      <c r="BH44" s="2575"/>
      <c r="BI44" s="2575"/>
      <c r="BJ44" s="2575"/>
      <c r="BK44" s="2575"/>
      <c r="BL44" s="2575"/>
      <c r="BM44" s="2575"/>
      <c r="BN44" s="2575"/>
      <c r="BO44" s="2575"/>
    </row>
    <row r="45" spans="1:67" x14ac:dyDescent="0.25">
      <c r="A45" s="2586"/>
      <c r="B45" s="2586"/>
      <c r="C45" s="2586"/>
      <c r="D45" s="2586"/>
      <c r="E45" s="2586"/>
      <c r="F45" s="2586"/>
      <c r="G45" s="2586"/>
      <c r="H45" s="2586"/>
      <c r="I45" s="2586"/>
      <c r="J45" s="2586"/>
      <c r="K45" s="2586"/>
      <c r="L45" s="2586"/>
      <c r="M45" s="2586"/>
      <c r="N45" s="2586"/>
      <c r="O45" s="2586"/>
      <c r="P45" s="2586"/>
      <c r="Q45" s="2586"/>
      <c r="R45" s="2586"/>
      <c r="S45" s="2586"/>
      <c r="T45" s="2586"/>
      <c r="U45" s="2586"/>
      <c r="V45" s="2586"/>
      <c r="Y45" s="2586"/>
      <c r="Z45" s="2586"/>
      <c r="AA45" s="2586"/>
      <c r="AB45" s="2586"/>
      <c r="AC45" s="2586"/>
      <c r="AD45" s="2586"/>
      <c r="AE45" s="2586"/>
      <c r="AF45" s="2586"/>
      <c r="AG45" s="2586"/>
      <c r="AH45" s="2586"/>
      <c r="AI45" s="2586"/>
      <c r="AJ45" s="2586"/>
      <c r="AK45" s="2586"/>
      <c r="AL45" s="2586"/>
      <c r="AM45" s="2586"/>
      <c r="AN45" s="2586"/>
      <c r="AO45" s="2586"/>
      <c r="AP45" s="2586"/>
      <c r="AQ45" s="2586"/>
      <c r="AR45" s="2586"/>
      <c r="AS45" s="2586"/>
      <c r="AT45" s="2586"/>
      <c r="AU45" s="2586"/>
      <c r="AV45" s="2586"/>
      <c r="AW45" s="2586"/>
      <c r="AX45" s="2586"/>
      <c r="AY45" s="2586"/>
      <c r="AZ45" s="2586"/>
      <c r="BA45" s="2586"/>
      <c r="BB45" s="2586"/>
      <c r="BC45" s="2586"/>
      <c r="BD45" s="2586"/>
      <c r="BE45" s="2586"/>
      <c r="BF45" s="2586"/>
      <c r="BG45" s="2586"/>
      <c r="BH45" s="2586"/>
      <c r="BI45" s="2586"/>
      <c r="BJ45" s="2586"/>
      <c r="BK45" s="2586"/>
      <c r="BL45" s="2586"/>
      <c r="BM45" s="2586"/>
      <c r="BN45" s="2586"/>
      <c r="BO45" s="2586"/>
    </row>
  </sheetData>
  <sheetProtection password="A60F" sheet="1" objects="1" scenarios="1"/>
  <mergeCells count="201">
    <mergeCell ref="G21:G22"/>
    <mergeCell ref="H21:H22"/>
    <mergeCell ref="I21:I22"/>
    <mergeCell ref="J21:J22"/>
    <mergeCell ref="K21:K22"/>
    <mergeCell ref="L21:L22"/>
    <mergeCell ref="BO16:BO22"/>
    <mergeCell ref="G19:G20"/>
    <mergeCell ref="H19:H20"/>
    <mergeCell ref="I19:I20"/>
    <mergeCell ref="J19:J20"/>
    <mergeCell ref="K19:K20"/>
    <mergeCell ref="L19:L20"/>
    <mergeCell ref="O19:O20"/>
    <mergeCell ref="P19:P20"/>
    <mergeCell ref="S19:S20"/>
    <mergeCell ref="BI16:BI22"/>
    <mergeCell ref="BJ16:BJ22"/>
    <mergeCell ref="BK16:BK22"/>
    <mergeCell ref="BL16:BL22"/>
    <mergeCell ref="BM16:BM22"/>
    <mergeCell ref="BN16:BN22"/>
    <mergeCell ref="BC16:BC22"/>
    <mergeCell ref="BD16:BD22"/>
    <mergeCell ref="BE16:BE22"/>
    <mergeCell ref="BF16:BF22"/>
    <mergeCell ref="BG16:BG22"/>
    <mergeCell ref="BH16:BH22"/>
    <mergeCell ref="AW16:AW22"/>
    <mergeCell ref="AX16:AX22"/>
    <mergeCell ref="AY16:AY22"/>
    <mergeCell ref="AZ16:AZ22"/>
    <mergeCell ref="BA16:BA22"/>
    <mergeCell ref="BB16:BB22"/>
    <mergeCell ref="AQ16:AQ22"/>
    <mergeCell ref="AR16:AR22"/>
    <mergeCell ref="AS16:AS22"/>
    <mergeCell ref="AT16:AT22"/>
    <mergeCell ref="AU16:AU22"/>
    <mergeCell ref="AV16:AV22"/>
    <mergeCell ref="AK16:AK22"/>
    <mergeCell ref="AL16:AL22"/>
    <mergeCell ref="AM16:AM22"/>
    <mergeCell ref="AN16:AN22"/>
    <mergeCell ref="AO16:AO22"/>
    <mergeCell ref="AP16:AP22"/>
    <mergeCell ref="AE16:AE22"/>
    <mergeCell ref="AF16:AF22"/>
    <mergeCell ref="AG16:AG22"/>
    <mergeCell ref="AH16:AH22"/>
    <mergeCell ref="AI16:AI22"/>
    <mergeCell ref="AJ16:AJ22"/>
    <mergeCell ref="Y16:Y22"/>
    <mergeCell ref="Z16:Z22"/>
    <mergeCell ref="AA16:AA22"/>
    <mergeCell ref="AB16:AB22"/>
    <mergeCell ref="AC16:AC22"/>
    <mergeCell ref="AD16:AD22"/>
    <mergeCell ref="S16:S17"/>
    <mergeCell ref="T16:T17"/>
    <mergeCell ref="U16:U17"/>
    <mergeCell ref="V16:V17"/>
    <mergeCell ref="W16:W17"/>
    <mergeCell ref="X16:X17"/>
    <mergeCell ref="M16:M22"/>
    <mergeCell ref="N16:N22"/>
    <mergeCell ref="O16:O17"/>
    <mergeCell ref="P16:P17"/>
    <mergeCell ref="Q16:Q22"/>
    <mergeCell ref="R16:R22"/>
    <mergeCell ref="O21:O22"/>
    <mergeCell ref="P21:P22"/>
    <mergeCell ref="S21:S22"/>
    <mergeCell ref="BO13:BO14"/>
    <mergeCell ref="F15:J15"/>
    <mergeCell ref="E16:E22"/>
    <mergeCell ref="F16:F22"/>
    <mergeCell ref="G16:G17"/>
    <mergeCell ref="H16:H17"/>
    <mergeCell ref="I16:I17"/>
    <mergeCell ref="J16:J17"/>
    <mergeCell ref="K16:K17"/>
    <mergeCell ref="L16:L17"/>
    <mergeCell ref="BI13:BI14"/>
    <mergeCell ref="BJ13:BJ14"/>
    <mergeCell ref="BK13:BK14"/>
    <mergeCell ref="BL13:BL14"/>
    <mergeCell ref="BM13:BM14"/>
    <mergeCell ref="BN13:BN14"/>
    <mergeCell ref="BC13:BC14"/>
    <mergeCell ref="BD13:BD14"/>
    <mergeCell ref="BE13:BE14"/>
    <mergeCell ref="BF13:BF14"/>
    <mergeCell ref="BG13:BG14"/>
    <mergeCell ref="BH13:BH14"/>
    <mergeCell ref="AW13:AW14"/>
    <mergeCell ref="AX13:AX14"/>
    <mergeCell ref="AY13:AY14"/>
    <mergeCell ref="AZ13:AZ14"/>
    <mergeCell ref="BA13:BA14"/>
    <mergeCell ref="BB13:BB14"/>
    <mergeCell ref="AQ13:AQ14"/>
    <mergeCell ref="AR13:AR14"/>
    <mergeCell ref="AS13:AS14"/>
    <mergeCell ref="AT13:AT14"/>
    <mergeCell ref="AU13:AU14"/>
    <mergeCell ref="AV13:AV14"/>
    <mergeCell ref="AM13:AM14"/>
    <mergeCell ref="AN13:AN14"/>
    <mergeCell ref="AO13:AO14"/>
    <mergeCell ref="AP13:AP14"/>
    <mergeCell ref="AE13:AE14"/>
    <mergeCell ref="AF13:AF14"/>
    <mergeCell ref="AG13:AG14"/>
    <mergeCell ref="AH13:AH14"/>
    <mergeCell ref="AI13:AI14"/>
    <mergeCell ref="AJ13:AJ14"/>
    <mergeCell ref="F12:BO12"/>
    <mergeCell ref="E13:E14"/>
    <mergeCell ref="F13:F14"/>
    <mergeCell ref="G13:G14"/>
    <mergeCell ref="H13:H14"/>
    <mergeCell ref="I13:I14"/>
    <mergeCell ref="J13:J14"/>
    <mergeCell ref="K13:K14"/>
    <mergeCell ref="L13:L14"/>
    <mergeCell ref="M13:M14"/>
    <mergeCell ref="Y13:Y14"/>
    <mergeCell ref="Z13:Z14"/>
    <mergeCell ref="AA13:AA14"/>
    <mergeCell ref="AB13:AB14"/>
    <mergeCell ref="AC13:AC14"/>
    <mergeCell ref="AD13:AD14"/>
    <mergeCell ref="N13:N14"/>
    <mergeCell ref="O13:O14"/>
    <mergeCell ref="P13:P14"/>
    <mergeCell ref="Q13:Q14"/>
    <mergeCell ref="R13:R14"/>
    <mergeCell ref="S13:S14"/>
    <mergeCell ref="AK13:AK14"/>
    <mergeCell ref="AL13:AL14"/>
    <mergeCell ref="BG8:BG9"/>
    <mergeCell ref="BH8:BH9"/>
    <mergeCell ref="BI8:BI9"/>
    <mergeCell ref="BJ8:BJ9"/>
    <mergeCell ref="B10:D10"/>
    <mergeCell ref="D11:BO11"/>
    <mergeCell ref="AU8:AV8"/>
    <mergeCell ref="AW8:AX8"/>
    <mergeCell ref="AY8:AZ8"/>
    <mergeCell ref="BA8:BB8"/>
    <mergeCell ref="BE8:BE9"/>
    <mergeCell ref="BF8:BF9"/>
    <mergeCell ref="W7:W9"/>
    <mergeCell ref="X7:X9"/>
    <mergeCell ref="O7:O9"/>
    <mergeCell ref="P7:P9"/>
    <mergeCell ref="Q7:Q9"/>
    <mergeCell ref="R7:R9"/>
    <mergeCell ref="S7:S9"/>
    <mergeCell ref="T7:V8"/>
    <mergeCell ref="H7:H9"/>
    <mergeCell ref="I7:I9"/>
    <mergeCell ref="J7:K8"/>
    <mergeCell ref="L7:L9"/>
    <mergeCell ref="AE8:AF8"/>
    <mergeCell ref="AG8:AH8"/>
    <mergeCell ref="AI8:AJ8"/>
    <mergeCell ref="AK8:AL8"/>
    <mergeCell ref="Y7:AB7"/>
    <mergeCell ref="AC7:AH7"/>
    <mergeCell ref="AI7:AJ7"/>
    <mergeCell ref="AK7:AV7"/>
    <mergeCell ref="AM8:AN8"/>
    <mergeCell ref="AO8:AP8"/>
    <mergeCell ref="AQ8:AR8"/>
    <mergeCell ref="AS8:AT8"/>
    <mergeCell ref="M7:M9"/>
    <mergeCell ref="N7:N9"/>
    <mergeCell ref="B7:B9"/>
    <mergeCell ref="C7:C9"/>
    <mergeCell ref="D7:D9"/>
    <mergeCell ref="E7:E9"/>
    <mergeCell ref="F7:F9"/>
    <mergeCell ref="G7:G9"/>
    <mergeCell ref="A1:BM4"/>
    <mergeCell ref="A5:J6"/>
    <mergeCell ref="L5:BC5"/>
    <mergeCell ref="BK5:BO5"/>
    <mergeCell ref="L6:X6"/>
    <mergeCell ref="Y6:BC6"/>
    <mergeCell ref="BK6:BL8"/>
    <mergeCell ref="BM6:BN8"/>
    <mergeCell ref="BO6:BO9"/>
    <mergeCell ref="A7:A9"/>
    <mergeCell ref="AW7:BB7"/>
    <mergeCell ref="BC7:BD8"/>
    <mergeCell ref="BE7:BJ7"/>
    <mergeCell ref="Y8:Z8"/>
    <mergeCell ref="AA8:AB8"/>
    <mergeCell ref="AC8:AD8"/>
  </mergeCells>
  <pageMargins left="0.39370078740157483" right="0.39370078740157483" top="0.59055118110236227" bottom="0.39370078740157483" header="0.31496062992125984" footer="0.31496062992125984"/>
  <pageSetup paperSize="196" scale="3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R28"/>
  <sheetViews>
    <sheetView showGridLines="0" zoomScale="70" zoomScaleNormal="70" workbookViewId="0">
      <selection sqref="A1:BP4"/>
    </sheetView>
  </sheetViews>
  <sheetFormatPr baseColWidth="10" defaultColWidth="11.42578125" defaultRowHeight="27" customHeight="1" x14ac:dyDescent="0.2"/>
  <cols>
    <col min="1" max="1" width="11.7109375" style="437" customWidth="1"/>
    <col min="2" max="2" width="5.85546875" style="360" customWidth="1"/>
    <col min="3" max="3" width="12.85546875" style="360" customWidth="1"/>
    <col min="4" max="4" width="14.7109375" style="360" customWidth="1"/>
    <col min="5" max="5" width="10" style="360" customWidth="1"/>
    <col min="6" max="6" width="6.28515625" style="360" customWidth="1"/>
    <col min="7" max="7" width="12.28515625" style="360" customWidth="1"/>
    <col min="8" max="8" width="8.5703125" style="360" customWidth="1"/>
    <col min="9" max="9" width="13.7109375" style="360" customWidth="1"/>
    <col min="10" max="10" width="11.5703125" style="360" customWidth="1"/>
    <col min="11" max="11" width="25" style="455" customWidth="1"/>
    <col min="12" max="12" width="20.28515625" style="337" customWidth="1"/>
    <col min="13" max="14" width="14.85546875" style="337" customWidth="1"/>
    <col min="15" max="15" width="22.140625" style="337" customWidth="1"/>
    <col min="16" max="16" width="19.7109375" style="456" customWidth="1"/>
    <col min="17" max="17" width="19.42578125" style="455" customWidth="1"/>
    <col min="18" max="18" width="16.5703125" style="457" customWidth="1"/>
    <col min="19" max="19" width="24.85546875" style="458" bestFit="1" customWidth="1"/>
    <col min="20" max="20" width="29" style="455" customWidth="1"/>
    <col min="21" max="21" width="31.7109375" style="455" customWidth="1"/>
    <col min="22" max="22" width="25.85546875" style="455" customWidth="1"/>
    <col min="23" max="23" width="24.85546875" style="459" bestFit="1" customWidth="1"/>
    <col min="24" max="25" width="24.85546875" style="459" customWidth="1"/>
    <col min="26" max="26" width="11.7109375" style="460" customWidth="1"/>
    <col min="27" max="27" width="18" style="1411" customWidth="1"/>
    <col min="28" max="29" width="8.7109375" style="360" customWidth="1"/>
    <col min="30" max="31" width="8" style="360" customWidth="1"/>
    <col min="32" max="32" width="10.5703125" style="360" customWidth="1"/>
    <col min="33" max="33" width="9.140625" style="360" customWidth="1"/>
    <col min="34" max="35" width="7.28515625" style="360" customWidth="1"/>
    <col min="36" max="37" width="8.42578125" style="360" customWidth="1"/>
    <col min="38" max="39" width="9.5703125" style="360" customWidth="1"/>
    <col min="40" max="53" width="6.85546875" style="360" customWidth="1"/>
    <col min="54" max="55" width="10.140625" style="360" customWidth="1"/>
    <col min="56" max="57" width="7.7109375" style="360" customWidth="1"/>
    <col min="58" max="59" width="8.140625" style="360" customWidth="1"/>
    <col min="60" max="60" width="16.28515625" style="360" customWidth="1"/>
    <col min="61" max="61" width="22.42578125" style="360" customWidth="1"/>
    <col min="62" max="62" width="22.7109375" style="360" customWidth="1"/>
    <col min="63" max="63" width="17" style="360" customWidth="1"/>
    <col min="64" max="64" width="18.85546875" style="360" customWidth="1"/>
    <col min="65" max="65" width="20.5703125" style="360" customWidth="1"/>
    <col min="66" max="67" width="11.5703125" style="462" customWidth="1"/>
    <col min="68" max="69" width="13.7109375" style="464" customWidth="1"/>
    <col min="70" max="70" width="20.85546875" style="465" customWidth="1"/>
    <col min="71" max="16384" width="11.42578125" style="360"/>
  </cols>
  <sheetData>
    <row r="1" spans="1:70" ht="18" customHeight="1" x14ac:dyDescent="0.25">
      <c r="A1" s="5537" t="s">
        <v>1245</v>
      </c>
      <c r="B1" s="5537"/>
      <c r="C1" s="5537"/>
      <c r="D1" s="5537"/>
      <c r="E1" s="5537"/>
      <c r="F1" s="5537"/>
      <c r="G1" s="5537"/>
      <c r="H1" s="5537"/>
      <c r="I1" s="5537"/>
      <c r="J1" s="5537"/>
      <c r="K1" s="5537"/>
      <c r="L1" s="5537"/>
      <c r="M1" s="5537"/>
      <c r="N1" s="5537"/>
      <c r="O1" s="5537"/>
      <c r="P1" s="5537"/>
      <c r="Q1" s="5537"/>
      <c r="R1" s="5537"/>
      <c r="S1" s="5537"/>
      <c r="T1" s="5537"/>
      <c r="U1" s="5537"/>
      <c r="V1" s="5537"/>
      <c r="W1" s="5537"/>
      <c r="X1" s="5537"/>
      <c r="Y1" s="5537"/>
      <c r="Z1" s="5537"/>
      <c r="AA1" s="5537"/>
      <c r="AB1" s="5537"/>
      <c r="AC1" s="5537"/>
      <c r="AD1" s="5537"/>
      <c r="AE1" s="5537"/>
      <c r="AF1" s="5537"/>
      <c r="AG1" s="5537"/>
      <c r="AH1" s="5537"/>
      <c r="AI1" s="5537"/>
      <c r="AJ1" s="5537"/>
      <c r="AK1" s="5537"/>
      <c r="AL1" s="5537"/>
      <c r="AM1" s="5537"/>
      <c r="AN1" s="5537"/>
      <c r="AO1" s="5537"/>
      <c r="AP1" s="5537"/>
      <c r="AQ1" s="5537"/>
      <c r="AR1" s="5537"/>
      <c r="AS1" s="5537"/>
      <c r="AT1" s="5537"/>
      <c r="AU1" s="5537"/>
      <c r="AV1" s="5537"/>
      <c r="AW1" s="5537"/>
      <c r="AX1" s="5537"/>
      <c r="AY1" s="5537"/>
      <c r="AZ1" s="5537"/>
      <c r="BA1" s="5537"/>
      <c r="BB1" s="5537"/>
      <c r="BC1" s="5537"/>
      <c r="BD1" s="5537"/>
      <c r="BE1" s="5537"/>
      <c r="BF1" s="5537"/>
      <c r="BG1" s="5537"/>
      <c r="BH1" s="5537"/>
      <c r="BI1" s="5537"/>
      <c r="BJ1" s="5537"/>
      <c r="BK1" s="5537"/>
      <c r="BL1" s="5537"/>
      <c r="BM1" s="5537"/>
      <c r="BN1" s="5537"/>
      <c r="BO1" s="5537"/>
      <c r="BP1" s="5538"/>
      <c r="BQ1" s="1417" t="s">
        <v>199</v>
      </c>
      <c r="BR1" s="1417" t="s">
        <v>1</v>
      </c>
    </row>
    <row r="2" spans="1:70" ht="18" customHeight="1" x14ac:dyDescent="0.25">
      <c r="A2" s="5537"/>
      <c r="B2" s="5537"/>
      <c r="C2" s="5537"/>
      <c r="D2" s="5537"/>
      <c r="E2" s="5537"/>
      <c r="F2" s="5537"/>
      <c r="G2" s="5537"/>
      <c r="H2" s="5537"/>
      <c r="I2" s="5537"/>
      <c r="J2" s="5537"/>
      <c r="K2" s="5537"/>
      <c r="L2" s="5537"/>
      <c r="M2" s="5537"/>
      <c r="N2" s="5537"/>
      <c r="O2" s="5537"/>
      <c r="P2" s="5537"/>
      <c r="Q2" s="5537"/>
      <c r="R2" s="5537"/>
      <c r="S2" s="5537"/>
      <c r="T2" s="5537"/>
      <c r="U2" s="5537"/>
      <c r="V2" s="5537"/>
      <c r="W2" s="5537"/>
      <c r="X2" s="5537"/>
      <c r="Y2" s="5537"/>
      <c r="Z2" s="5537"/>
      <c r="AA2" s="5537"/>
      <c r="AB2" s="5537"/>
      <c r="AC2" s="5537"/>
      <c r="AD2" s="5537"/>
      <c r="AE2" s="5537"/>
      <c r="AF2" s="5537"/>
      <c r="AG2" s="5537"/>
      <c r="AH2" s="5537"/>
      <c r="AI2" s="5537"/>
      <c r="AJ2" s="5537"/>
      <c r="AK2" s="5537"/>
      <c r="AL2" s="5537"/>
      <c r="AM2" s="5537"/>
      <c r="AN2" s="5537"/>
      <c r="AO2" s="5537"/>
      <c r="AP2" s="5537"/>
      <c r="AQ2" s="5537"/>
      <c r="AR2" s="5537"/>
      <c r="AS2" s="5537"/>
      <c r="AT2" s="5537"/>
      <c r="AU2" s="5537"/>
      <c r="AV2" s="5537"/>
      <c r="AW2" s="5537"/>
      <c r="AX2" s="5537"/>
      <c r="AY2" s="5537"/>
      <c r="AZ2" s="5537"/>
      <c r="BA2" s="5537"/>
      <c r="BB2" s="5537"/>
      <c r="BC2" s="5537"/>
      <c r="BD2" s="5537"/>
      <c r="BE2" s="5537"/>
      <c r="BF2" s="5537"/>
      <c r="BG2" s="5537"/>
      <c r="BH2" s="5537"/>
      <c r="BI2" s="5537"/>
      <c r="BJ2" s="5537"/>
      <c r="BK2" s="5537"/>
      <c r="BL2" s="5537"/>
      <c r="BM2" s="5537"/>
      <c r="BN2" s="5537"/>
      <c r="BO2" s="5537"/>
      <c r="BP2" s="5538"/>
      <c r="BQ2" s="1417" t="s">
        <v>2</v>
      </c>
      <c r="BR2" s="1418">
        <v>7</v>
      </c>
    </row>
    <row r="3" spans="1:70" ht="18" customHeight="1" x14ac:dyDescent="0.25">
      <c r="A3" s="5537"/>
      <c r="B3" s="5537"/>
      <c r="C3" s="5537"/>
      <c r="D3" s="5537"/>
      <c r="E3" s="5537"/>
      <c r="F3" s="5537"/>
      <c r="G3" s="5537"/>
      <c r="H3" s="5537"/>
      <c r="I3" s="5537"/>
      <c r="J3" s="5537"/>
      <c r="K3" s="5537"/>
      <c r="L3" s="5537"/>
      <c r="M3" s="5537"/>
      <c r="N3" s="5537"/>
      <c r="O3" s="5537"/>
      <c r="P3" s="5537"/>
      <c r="Q3" s="5537"/>
      <c r="R3" s="5537"/>
      <c r="S3" s="5537"/>
      <c r="T3" s="5537"/>
      <c r="U3" s="5537"/>
      <c r="V3" s="5537"/>
      <c r="W3" s="5537"/>
      <c r="X3" s="5537"/>
      <c r="Y3" s="5537"/>
      <c r="Z3" s="5537"/>
      <c r="AA3" s="5537"/>
      <c r="AB3" s="5537"/>
      <c r="AC3" s="5537"/>
      <c r="AD3" s="5537"/>
      <c r="AE3" s="5537"/>
      <c r="AF3" s="5537"/>
      <c r="AG3" s="5537"/>
      <c r="AH3" s="5537"/>
      <c r="AI3" s="5537"/>
      <c r="AJ3" s="5537"/>
      <c r="AK3" s="5537"/>
      <c r="AL3" s="5537"/>
      <c r="AM3" s="5537"/>
      <c r="AN3" s="5537"/>
      <c r="AO3" s="5537"/>
      <c r="AP3" s="5537"/>
      <c r="AQ3" s="5537"/>
      <c r="AR3" s="5537"/>
      <c r="AS3" s="5537"/>
      <c r="AT3" s="5537"/>
      <c r="AU3" s="5537"/>
      <c r="AV3" s="5537"/>
      <c r="AW3" s="5537"/>
      <c r="AX3" s="5537"/>
      <c r="AY3" s="5537"/>
      <c r="AZ3" s="5537"/>
      <c r="BA3" s="5537"/>
      <c r="BB3" s="5537"/>
      <c r="BC3" s="5537"/>
      <c r="BD3" s="5537"/>
      <c r="BE3" s="5537"/>
      <c r="BF3" s="5537"/>
      <c r="BG3" s="5537"/>
      <c r="BH3" s="5537"/>
      <c r="BI3" s="5537"/>
      <c r="BJ3" s="5537"/>
      <c r="BK3" s="5537"/>
      <c r="BL3" s="5537"/>
      <c r="BM3" s="5537"/>
      <c r="BN3" s="5537"/>
      <c r="BO3" s="5537"/>
      <c r="BP3" s="5538"/>
      <c r="BQ3" s="1417" t="s">
        <v>3</v>
      </c>
      <c r="BR3" s="1419" t="s">
        <v>4</v>
      </c>
    </row>
    <row r="4" spans="1:70" ht="18" customHeight="1" x14ac:dyDescent="0.2">
      <c r="A4" s="5539"/>
      <c r="B4" s="5539"/>
      <c r="C4" s="5539"/>
      <c r="D4" s="5539"/>
      <c r="E4" s="5539"/>
      <c r="F4" s="5539"/>
      <c r="G4" s="5539"/>
      <c r="H4" s="5539"/>
      <c r="I4" s="5539"/>
      <c r="J4" s="5539"/>
      <c r="K4" s="5539"/>
      <c r="L4" s="5539"/>
      <c r="M4" s="5539"/>
      <c r="N4" s="5539"/>
      <c r="O4" s="5539"/>
      <c r="P4" s="5539"/>
      <c r="Q4" s="5539"/>
      <c r="R4" s="5539"/>
      <c r="S4" s="5539"/>
      <c r="T4" s="5539"/>
      <c r="U4" s="5539"/>
      <c r="V4" s="5539"/>
      <c r="W4" s="5539"/>
      <c r="X4" s="5539"/>
      <c r="Y4" s="5539"/>
      <c r="Z4" s="5539"/>
      <c r="AA4" s="5539"/>
      <c r="AB4" s="5539"/>
      <c r="AC4" s="5539"/>
      <c r="AD4" s="5539"/>
      <c r="AE4" s="5539"/>
      <c r="AF4" s="5539"/>
      <c r="AG4" s="5539"/>
      <c r="AH4" s="5539"/>
      <c r="AI4" s="5539"/>
      <c r="AJ4" s="5539"/>
      <c r="AK4" s="5539"/>
      <c r="AL4" s="5539"/>
      <c r="AM4" s="5539"/>
      <c r="AN4" s="5539"/>
      <c r="AO4" s="5539"/>
      <c r="AP4" s="5539"/>
      <c r="AQ4" s="5539"/>
      <c r="AR4" s="5539"/>
      <c r="AS4" s="5539"/>
      <c r="AT4" s="5539"/>
      <c r="AU4" s="5539"/>
      <c r="AV4" s="5539"/>
      <c r="AW4" s="5539"/>
      <c r="AX4" s="5539"/>
      <c r="AY4" s="5539"/>
      <c r="AZ4" s="5539"/>
      <c r="BA4" s="5539"/>
      <c r="BB4" s="5539"/>
      <c r="BC4" s="5539"/>
      <c r="BD4" s="5539"/>
      <c r="BE4" s="5539"/>
      <c r="BF4" s="5539"/>
      <c r="BG4" s="5539"/>
      <c r="BH4" s="5539"/>
      <c r="BI4" s="5539"/>
      <c r="BJ4" s="5539"/>
      <c r="BK4" s="5539"/>
      <c r="BL4" s="5539"/>
      <c r="BM4" s="5539"/>
      <c r="BN4" s="5539"/>
      <c r="BO4" s="5539"/>
      <c r="BP4" s="5540"/>
      <c r="BQ4" s="1420" t="s">
        <v>5</v>
      </c>
      <c r="BR4" s="1421" t="s">
        <v>6</v>
      </c>
    </row>
    <row r="5" spans="1:70" ht="15" x14ac:dyDescent="0.2">
      <c r="A5" s="4742" t="s">
        <v>7</v>
      </c>
      <c r="B5" s="4742"/>
      <c r="C5" s="4742"/>
      <c r="D5" s="4742"/>
      <c r="E5" s="4742"/>
      <c r="F5" s="4742"/>
      <c r="G5" s="4742"/>
      <c r="H5" s="4742"/>
      <c r="I5" s="4742"/>
      <c r="J5" s="4742"/>
      <c r="K5" s="4742"/>
      <c r="L5" s="4742"/>
      <c r="M5" s="4742"/>
      <c r="N5" s="1422"/>
      <c r="O5" s="4743" t="s">
        <v>8</v>
      </c>
      <c r="P5" s="4743"/>
      <c r="Q5" s="4743"/>
      <c r="R5" s="4743"/>
      <c r="S5" s="4743"/>
      <c r="T5" s="4743"/>
      <c r="U5" s="4743"/>
      <c r="V5" s="4743"/>
      <c r="W5" s="4743"/>
      <c r="X5" s="4743"/>
      <c r="Y5" s="4743"/>
      <c r="Z5" s="4743"/>
      <c r="AA5" s="4743"/>
      <c r="AB5" s="4743"/>
      <c r="AC5" s="4743"/>
      <c r="AD5" s="4743"/>
      <c r="AE5" s="4743"/>
      <c r="AF5" s="4743"/>
      <c r="AG5" s="4743"/>
      <c r="AH5" s="4743"/>
      <c r="AI5" s="4743"/>
      <c r="AJ5" s="4743"/>
      <c r="AK5" s="4743"/>
      <c r="AL5" s="4743"/>
      <c r="AM5" s="4743"/>
      <c r="AN5" s="4743"/>
      <c r="AO5" s="4743"/>
      <c r="AP5" s="4743"/>
      <c r="AQ5" s="4743"/>
      <c r="AR5" s="4743"/>
      <c r="AS5" s="4743"/>
      <c r="AT5" s="4743"/>
      <c r="AU5" s="4743"/>
      <c r="AV5" s="4743"/>
      <c r="AW5" s="4743"/>
      <c r="AX5" s="4743"/>
      <c r="AY5" s="4743"/>
      <c r="AZ5" s="4743"/>
      <c r="BA5" s="4743"/>
      <c r="BB5" s="4743"/>
      <c r="BC5" s="4743"/>
      <c r="BD5" s="4743"/>
      <c r="BE5" s="4743"/>
      <c r="BF5" s="4743"/>
      <c r="BG5" s="4743"/>
      <c r="BH5" s="4743"/>
      <c r="BI5" s="4743"/>
      <c r="BJ5" s="4743"/>
      <c r="BK5" s="4743"/>
      <c r="BL5" s="4743"/>
      <c r="BM5" s="4743"/>
      <c r="BN5" s="4743"/>
      <c r="BO5" s="4743"/>
      <c r="BP5" s="4743"/>
      <c r="BQ5" s="4743"/>
      <c r="BR5" s="4743"/>
    </row>
    <row r="6" spans="1:70" ht="15" x14ac:dyDescent="0.2">
      <c r="A6" s="4740"/>
      <c r="B6" s="4740"/>
      <c r="C6" s="4740"/>
      <c r="D6" s="4740"/>
      <c r="E6" s="4740"/>
      <c r="F6" s="4740"/>
      <c r="G6" s="4740"/>
      <c r="H6" s="4740"/>
      <c r="I6" s="4740"/>
      <c r="J6" s="4740"/>
      <c r="K6" s="4740"/>
      <c r="L6" s="4740"/>
      <c r="M6" s="4740"/>
      <c r="N6" s="1423"/>
      <c r="O6" s="1424"/>
      <c r="P6" s="1425"/>
      <c r="Q6" s="1425"/>
      <c r="R6" s="1425"/>
      <c r="S6" s="1425"/>
      <c r="T6" s="1425"/>
      <c r="U6" s="1425"/>
      <c r="V6" s="1425"/>
      <c r="W6" s="1425"/>
      <c r="X6" s="1425"/>
      <c r="Y6" s="1425"/>
      <c r="Z6" s="1425"/>
      <c r="AA6" s="1425"/>
      <c r="AB6" s="4744" t="s">
        <v>107</v>
      </c>
      <c r="AC6" s="4745"/>
      <c r="AD6" s="4745"/>
      <c r="AE6" s="4745"/>
      <c r="AF6" s="4745"/>
      <c r="AG6" s="4745"/>
      <c r="AH6" s="4745"/>
      <c r="AI6" s="4745"/>
      <c r="AJ6" s="4745"/>
      <c r="AK6" s="4745"/>
      <c r="AL6" s="4745"/>
      <c r="AM6" s="4745"/>
      <c r="AN6" s="4745"/>
      <c r="AO6" s="4745"/>
      <c r="AP6" s="4745"/>
      <c r="AQ6" s="4745"/>
      <c r="AR6" s="4745"/>
      <c r="AS6" s="4745"/>
      <c r="AT6" s="4745"/>
      <c r="AU6" s="4745"/>
      <c r="AV6" s="4745"/>
      <c r="AW6" s="4745"/>
      <c r="AX6" s="4745"/>
      <c r="AY6" s="4745"/>
      <c r="AZ6" s="4745"/>
      <c r="BA6" s="4745"/>
      <c r="BB6" s="4745"/>
      <c r="BC6" s="4745"/>
      <c r="BD6" s="4745"/>
      <c r="BE6" s="4745"/>
      <c r="BF6" s="4745"/>
      <c r="BG6" s="4745"/>
      <c r="BH6" s="1423"/>
      <c r="BI6" s="1423"/>
      <c r="BJ6" s="1423"/>
      <c r="BK6" s="1423"/>
      <c r="BL6" s="1423"/>
      <c r="BM6" s="1423"/>
      <c r="BN6" s="1425"/>
      <c r="BO6" s="1425"/>
      <c r="BP6" s="1425"/>
      <c r="BQ6" s="1425"/>
      <c r="BR6" s="1426"/>
    </row>
    <row r="7" spans="1:70" ht="15" customHeight="1" x14ac:dyDescent="0.2">
      <c r="A7" s="5541" t="s">
        <v>0</v>
      </c>
      <c r="B7" s="5542" t="s">
        <v>9</v>
      </c>
      <c r="C7" s="5542"/>
      <c r="D7" s="5542" t="s">
        <v>0</v>
      </c>
      <c r="E7" s="5542" t="s">
        <v>10</v>
      </c>
      <c r="F7" s="5542"/>
      <c r="G7" s="5542" t="s">
        <v>0</v>
      </c>
      <c r="H7" s="5542" t="s">
        <v>11</v>
      </c>
      <c r="I7" s="5542"/>
      <c r="J7" s="5542" t="s">
        <v>0</v>
      </c>
      <c r="K7" s="5542" t="s">
        <v>12</v>
      </c>
      <c r="L7" s="5542" t="s">
        <v>13</v>
      </c>
      <c r="M7" s="5542" t="s">
        <v>14</v>
      </c>
      <c r="N7" s="5542"/>
      <c r="O7" s="5542" t="s">
        <v>15</v>
      </c>
      <c r="P7" s="5542" t="s">
        <v>108</v>
      </c>
      <c r="Q7" s="5542" t="s">
        <v>8</v>
      </c>
      <c r="R7" s="5545" t="s">
        <v>17</v>
      </c>
      <c r="S7" s="5546" t="s">
        <v>18</v>
      </c>
      <c r="T7" s="5542" t="s">
        <v>19</v>
      </c>
      <c r="U7" s="5542" t="s">
        <v>20</v>
      </c>
      <c r="V7" s="5542" t="s">
        <v>21</v>
      </c>
      <c r="W7" s="5546" t="s">
        <v>18</v>
      </c>
      <c r="X7" s="5546"/>
      <c r="Y7" s="5546"/>
      <c r="Z7" s="1427"/>
      <c r="AA7" s="5542" t="s">
        <v>22</v>
      </c>
      <c r="AB7" s="4317" t="s">
        <v>23</v>
      </c>
      <c r="AC7" s="4318"/>
      <c r="AD7" s="4318"/>
      <c r="AE7" s="4319"/>
      <c r="AF7" s="4298" t="s">
        <v>24</v>
      </c>
      <c r="AG7" s="4310"/>
      <c r="AH7" s="4310"/>
      <c r="AI7" s="4310"/>
      <c r="AJ7" s="4310"/>
      <c r="AK7" s="4310"/>
      <c r="AL7" s="4310"/>
      <c r="AM7" s="4299"/>
      <c r="AN7" s="4307" t="s">
        <v>25</v>
      </c>
      <c r="AO7" s="4308"/>
      <c r="AP7" s="4308"/>
      <c r="AQ7" s="4308"/>
      <c r="AR7" s="4308"/>
      <c r="AS7" s="4308"/>
      <c r="AT7" s="4308"/>
      <c r="AU7" s="4308"/>
      <c r="AV7" s="4308"/>
      <c r="AW7" s="4308"/>
      <c r="AX7" s="4308"/>
      <c r="AY7" s="4309"/>
      <c r="AZ7" s="4298" t="s">
        <v>26</v>
      </c>
      <c r="BA7" s="4310"/>
      <c r="BB7" s="4310"/>
      <c r="BC7" s="4310"/>
      <c r="BD7" s="4310"/>
      <c r="BE7" s="4299"/>
      <c r="BF7" s="5548" t="s">
        <v>27</v>
      </c>
      <c r="BG7" s="5548"/>
      <c r="BH7" s="5549" t="s">
        <v>28</v>
      </c>
      <c r="BI7" s="5549"/>
      <c r="BJ7" s="5549"/>
      <c r="BK7" s="5549"/>
      <c r="BL7" s="5549"/>
      <c r="BM7" s="5549"/>
      <c r="BN7" s="5550" t="s">
        <v>29</v>
      </c>
      <c r="BO7" s="5550"/>
      <c r="BP7" s="5550" t="s">
        <v>30</v>
      </c>
      <c r="BQ7" s="5550"/>
      <c r="BR7" s="5551" t="s">
        <v>31</v>
      </c>
    </row>
    <row r="8" spans="1:70" ht="120" customHeight="1" x14ac:dyDescent="0.2">
      <c r="A8" s="5541"/>
      <c r="B8" s="5542"/>
      <c r="C8" s="5542"/>
      <c r="D8" s="5542"/>
      <c r="E8" s="5542"/>
      <c r="F8" s="5542"/>
      <c r="G8" s="5542"/>
      <c r="H8" s="5542"/>
      <c r="I8" s="5542"/>
      <c r="J8" s="5542"/>
      <c r="K8" s="5542"/>
      <c r="L8" s="5542"/>
      <c r="M8" s="5542" t="s">
        <v>32</v>
      </c>
      <c r="N8" s="4325" t="s">
        <v>33</v>
      </c>
      <c r="O8" s="5542"/>
      <c r="P8" s="5542"/>
      <c r="Q8" s="5542"/>
      <c r="R8" s="5545"/>
      <c r="S8" s="5546"/>
      <c r="T8" s="5542"/>
      <c r="U8" s="5542"/>
      <c r="V8" s="5542"/>
      <c r="W8" s="5547" t="s">
        <v>34</v>
      </c>
      <c r="X8" s="5547" t="s">
        <v>35</v>
      </c>
      <c r="Y8" s="5547" t="s">
        <v>36</v>
      </c>
      <c r="Z8" s="5541" t="s">
        <v>0</v>
      </c>
      <c r="AA8" s="5542"/>
      <c r="AB8" s="5544" t="s">
        <v>37</v>
      </c>
      <c r="AC8" s="5544"/>
      <c r="AD8" s="5543" t="s">
        <v>38</v>
      </c>
      <c r="AE8" s="5543"/>
      <c r="AF8" s="5544" t="s">
        <v>39</v>
      </c>
      <c r="AG8" s="5544"/>
      <c r="AH8" s="5544" t="s">
        <v>40</v>
      </c>
      <c r="AI8" s="5544"/>
      <c r="AJ8" s="5544" t="s">
        <v>333</v>
      </c>
      <c r="AK8" s="5544"/>
      <c r="AL8" s="5544" t="s">
        <v>42</v>
      </c>
      <c r="AM8" s="5544"/>
      <c r="AN8" s="5544" t="s">
        <v>43</v>
      </c>
      <c r="AO8" s="5544"/>
      <c r="AP8" s="5544" t="s">
        <v>44</v>
      </c>
      <c r="AQ8" s="5544"/>
      <c r="AR8" s="5544" t="s">
        <v>45</v>
      </c>
      <c r="AS8" s="5544"/>
      <c r="AT8" s="5544" t="s">
        <v>46</v>
      </c>
      <c r="AU8" s="5544"/>
      <c r="AV8" s="5544" t="s">
        <v>47</v>
      </c>
      <c r="AW8" s="5544"/>
      <c r="AX8" s="5544" t="s">
        <v>48</v>
      </c>
      <c r="AY8" s="5544"/>
      <c r="AZ8" s="5544" t="s">
        <v>49</v>
      </c>
      <c r="BA8" s="5544"/>
      <c r="BB8" s="5544" t="s">
        <v>50</v>
      </c>
      <c r="BC8" s="5544"/>
      <c r="BD8" s="5544" t="s">
        <v>51</v>
      </c>
      <c r="BE8" s="5544"/>
      <c r="BF8" s="5544" t="s">
        <v>27</v>
      </c>
      <c r="BG8" s="5544"/>
      <c r="BH8" s="5554" t="s">
        <v>112</v>
      </c>
      <c r="BI8" s="5555" t="s">
        <v>53</v>
      </c>
      <c r="BJ8" s="5554" t="s">
        <v>54</v>
      </c>
      <c r="BK8" s="5556" t="s">
        <v>55</v>
      </c>
      <c r="BL8" s="5554" t="s">
        <v>56</v>
      </c>
      <c r="BM8" s="5554" t="s">
        <v>57</v>
      </c>
      <c r="BN8" s="5550"/>
      <c r="BO8" s="5550"/>
      <c r="BP8" s="5550"/>
      <c r="BQ8" s="5550"/>
      <c r="BR8" s="5552"/>
    </row>
    <row r="9" spans="1:70" s="1430" customFormat="1" ht="27" customHeight="1" x14ac:dyDescent="0.2">
      <c r="A9" s="5541"/>
      <c r="B9" s="5542"/>
      <c r="C9" s="5542"/>
      <c r="D9" s="5542"/>
      <c r="E9" s="5542"/>
      <c r="F9" s="5542"/>
      <c r="G9" s="5542"/>
      <c r="H9" s="5542"/>
      <c r="I9" s="5542"/>
      <c r="J9" s="5542"/>
      <c r="K9" s="5542"/>
      <c r="L9" s="5542"/>
      <c r="M9" s="5542"/>
      <c r="N9" s="4325"/>
      <c r="O9" s="5542"/>
      <c r="P9" s="5542"/>
      <c r="Q9" s="5542"/>
      <c r="R9" s="5545"/>
      <c r="S9" s="5546"/>
      <c r="T9" s="5542"/>
      <c r="U9" s="5542"/>
      <c r="V9" s="5542"/>
      <c r="W9" s="5547"/>
      <c r="X9" s="5547"/>
      <c r="Y9" s="5547"/>
      <c r="Z9" s="5541"/>
      <c r="AA9" s="5542"/>
      <c r="AB9" s="1412" t="s">
        <v>32</v>
      </c>
      <c r="AC9" s="1412" t="s">
        <v>33</v>
      </c>
      <c r="AD9" s="1428" t="s">
        <v>32</v>
      </c>
      <c r="AE9" s="1428" t="s">
        <v>33</v>
      </c>
      <c r="AF9" s="1428" t="s">
        <v>32</v>
      </c>
      <c r="AG9" s="1428" t="s">
        <v>33</v>
      </c>
      <c r="AH9" s="1428" t="s">
        <v>32</v>
      </c>
      <c r="AI9" s="1428" t="s">
        <v>33</v>
      </c>
      <c r="AJ9" s="1428" t="s">
        <v>32</v>
      </c>
      <c r="AK9" s="1428" t="s">
        <v>33</v>
      </c>
      <c r="AL9" s="1428" t="s">
        <v>32</v>
      </c>
      <c r="AM9" s="1428" t="s">
        <v>33</v>
      </c>
      <c r="AN9" s="1428" t="s">
        <v>32</v>
      </c>
      <c r="AO9" s="1428" t="s">
        <v>33</v>
      </c>
      <c r="AP9" s="1428" t="s">
        <v>32</v>
      </c>
      <c r="AQ9" s="1428" t="s">
        <v>33</v>
      </c>
      <c r="AR9" s="1428" t="s">
        <v>32</v>
      </c>
      <c r="AS9" s="1428" t="s">
        <v>33</v>
      </c>
      <c r="AT9" s="1428" t="s">
        <v>32</v>
      </c>
      <c r="AU9" s="1428" t="s">
        <v>33</v>
      </c>
      <c r="AV9" s="1428" t="s">
        <v>32</v>
      </c>
      <c r="AW9" s="1428" t="s">
        <v>33</v>
      </c>
      <c r="AX9" s="1428" t="s">
        <v>32</v>
      </c>
      <c r="AY9" s="1428" t="s">
        <v>33</v>
      </c>
      <c r="AZ9" s="1428" t="s">
        <v>32</v>
      </c>
      <c r="BA9" s="1428" t="s">
        <v>33</v>
      </c>
      <c r="BB9" s="1428" t="s">
        <v>32</v>
      </c>
      <c r="BC9" s="1428" t="s">
        <v>33</v>
      </c>
      <c r="BD9" s="1428" t="s">
        <v>32</v>
      </c>
      <c r="BE9" s="1428" t="s">
        <v>33</v>
      </c>
      <c r="BF9" s="1428" t="s">
        <v>32</v>
      </c>
      <c r="BG9" s="1428" t="s">
        <v>33</v>
      </c>
      <c r="BH9" s="5554"/>
      <c r="BI9" s="5555"/>
      <c r="BJ9" s="5554"/>
      <c r="BK9" s="5556"/>
      <c r="BL9" s="5554"/>
      <c r="BM9" s="5554"/>
      <c r="BN9" s="1429" t="s">
        <v>32</v>
      </c>
      <c r="BO9" s="1428" t="s">
        <v>33</v>
      </c>
      <c r="BP9" s="1429" t="s">
        <v>32</v>
      </c>
      <c r="BQ9" s="1428" t="s">
        <v>33</v>
      </c>
      <c r="BR9" s="5553"/>
    </row>
    <row r="10" spans="1:70" s="4" customFormat="1" ht="15.75" x14ac:dyDescent="0.2">
      <c r="A10" s="1431">
        <v>4</v>
      </c>
      <c r="B10" s="1432" t="s">
        <v>991</v>
      </c>
      <c r="C10" s="1433"/>
      <c r="D10" s="1433"/>
      <c r="E10" s="1433"/>
      <c r="F10" s="1433"/>
      <c r="G10" s="1433"/>
      <c r="H10" s="1433"/>
      <c r="I10" s="1433"/>
      <c r="J10" s="1433"/>
      <c r="K10" s="1434"/>
      <c r="L10" s="1433"/>
      <c r="M10" s="1433"/>
      <c r="N10" s="1433"/>
      <c r="O10" s="1433"/>
      <c r="P10" s="1433"/>
      <c r="Q10" s="1435"/>
      <c r="R10" s="1434"/>
      <c r="S10" s="1436"/>
      <c r="T10" s="1437"/>
      <c r="U10" s="1434"/>
      <c r="V10" s="1434"/>
      <c r="W10" s="1434"/>
      <c r="X10" s="1434"/>
      <c r="Y10" s="1434"/>
      <c r="Z10" s="1438"/>
      <c r="AA10" s="1438"/>
      <c r="AB10" s="1438"/>
      <c r="AC10" s="1438"/>
      <c r="AD10" s="1439"/>
      <c r="AE10" s="1439"/>
      <c r="AF10" s="1435"/>
      <c r="AG10" s="1435"/>
      <c r="AH10" s="1433"/>
      <c r="AI10" s="1433"/>
      <c r="AJ10" s="1433"/>
      <c r="AK10" s="1433"/>
      <c r="AL10" s="1433"/>
      <c r="AM10" s="1433"/>
      <c r="AN10" s="1433"/>
      <c r="AO10" s="1433"/>
      <c r="AP10" s="1433"/>
      <c r="AQ10" s="1433"/>
      <c r="AR10" s="1433"/>
      <c r="AS10" s="1433"/>
      <c r="AT10" s="1433"/>
      <c r="AU10" s="1433"/>
      <c r="AV10" s="1433"/>
      <c r="AW10" s="1433"/>
      <c r="AX10" s="1433"/>
      <c r="AY10" s="1433"/>
      <c r="AZ10" s="1433"/>
      <c r="BA10" s="1433"/>
      <c r="BB10" s="1433"/>
      <c r="BC10" s="1433"/>
      <c r="BD10" s="1433"/>
      <c r="BE10" s="1433"/>
      <c r="BF10" s="1433"/>
      <c r="BG10" s="1433"/>
      <c r="BH10" s="1433"/>
      <c r="BI10" s="1433"/>
      <c r="BJ10" s="1433"/>
      <c r="BK10" s="1433"/>
      <c r="BL10" s="1433"/>
      <c r="BM10" s="1433"/>
      <c r="BN10" s="1433"/>
      <c r="BO10" s="1433"/>
      <c r="BP10" s="1433"/>
      <c r="BQ10" s="1433"/>
      <c r="BR10" s="1433"/>
    </row>
    <row r="11" spans="1:70" s="337" customFormat="1" ht="21" customHeight="1" x14ac:dyDescent="0.2">
      <c r="A11" s="1440"/>
      <c r="B11" s="380"/>
      <c r="C11" s="380"/>
      <c r="D11" s="1441">
        <v>23</v>
      </c>
      <c r="E11" s="1442" t="s">
        <v>992</v>
      </c>
      <c r="F11" s="1442"/>
      <c r="G11" s="1442"/>
      <c r="H11" s="1442"/>
      <c r="I11" s="1442"/>
      <c r="J11" s="1442"/>
      <c r="K11" s="1443"/>
      <c r="L11" s="1442"/>
      <c r="M11" s="1442"/>
      <c r="N11" s="1442"/>
      <c r="O11" s="1442"/>
      <c r="P11" s="1444"/>
      <c r="Q11" s="1443"/>
      <c r="R11" s="1445"/>
      <c r="S11" s="1446"/>
      <c r="T11" s="1443"/>
      <c r="U11" s="1443"/>
      <c r="V11" s="1443"/>
      <c r="W11" s="1447"/>
      <c r="X11" s="1447"/>
      <c r="Y11" s="1447"/>
      <c r="Z11" s="1448"/>
      <c r="AA11" s="1444"/>
      <c r="AB11" s="1442"/>
      <c r="AC11" s="1442"/>
      <c r="AD11" s="1442"/>
      <c r="AE11" s="1442"/>
      <c r="AF11" s="1442"/>
      <c r="AG11" s="1442"/>
      <c r="AH11" s="1442"/>
      <c r="AI11" s="1442"/>
      <c r="AJ11" s="1442"/>
      <c r="AK11" s="1442"/>
      <c r="AL11" s="1442"/>
      <c r="AM11" s="1442"/>
      <c r="AN11" s="1442"/>
      <c r="AO11" s="1442"/>
      <c r="AP11" s="1442"/>
      <c r="AQ11" s="1442"/>
      <c r="AR11" s="1442"/>
      <c r="AS11" s="1442"/>
      <c r="AT11" s="1442"/>
      <c r="AU11" s="1442"/>
      <c r="AV11" s="1442"/>
      <c r="AW11" s="1442"/>
      <c r="AX11" s="1442"/>
      <c r="AY11" s="1442"/>
      <c r="AZ11" s="1442"/>
      <c r="BA11" s="1442"/>
      <c r="BB11" s="1442"/>
      <c r="BC11" s="1442"/>
      <c r="BD11" s="1442"/>
      <c r="BE11" s="1442"/>
      <c r="BF11" s="1442"/>
      <c r="BG11" s="1442"/>
      <c r="BH11" s="1442"/>
      <c r="BI11" s="1442"/>
      <c r="BJ11" s="1442"/>
      <c r="BK11" s="1442"/>
      <c r="BL11" s="1442"/>
      <c r="BM11" s="1442"/>
      <c r="BN11" s="1449"/>
      <c r="BO11" s="1449"/>
      <c r="BP11" s="1449"/>
      <c r="BQ11" s="1449"/>
      <c r="BR11" s="1450"/>
    </row>
    <row r="12" spans="1:70" s="337" customFormat="1" ht="17.25" customHeight="1" x14ac:dyDescent="0.2">
      <c r="A12" s="1451"/>
      <c r="B12" s="1452"/>
      <c r="C12" s="1452"/>
      <c r="D12" s="1453"/>
      <c r="E12" s="1452"/>
      <c r="F12" s="1452"/>
      <c r="G12" s="1454">
        <v>77</v>
      </c>
      <c r="H12" s="1455" t="s">
        <v>993</v>
      </c>
      <c r="I12" s="1456"/>
      <c r="J12" s="1456"/>
      <c r="K12" s="1456"/>
      <c r="L12" s="1455"/>
      <c r="M12" s="1455"/>
      <c r="N12" s="1455"/>
      <c r="O12" s="1455"/>
      <c r="P12" s="1457"/>
      <c r="Q12" s="1456"/>
      <c r="R12" s="1458"/>
      <c r="S12" s="1459"/>
      <c r="T12" s="1456"/>
      <c r="U12" s="1456"/>
      <c r="V12" s="1456"/>
      <c r="W12" s="1460"/>
      <c r="X12" s="1460"/>
      <c r="Y12" s="1460"/>
      <c r="Z12" s="1461"/>
      <c r="AA12" s="1457"/>
      <c r="AB12" s="1455"/>
      <c r="AC12" s="1455"/>
      <c r="AD12" s="1455"/>
      <c r="AE12" s="1455"/>
      <c r="AF12" s="1455"/>
      <c r="AG12" s="1455"/>
      <c r="AH12" s="1455"/>
      <c r="AI12" s="1455"/>
      <c r="AJ12" s="1455"/>
      <c r="AK12" s="1455"/>
      <c r="AL12" s="1455"/>
      <c r="AM12" s="1455"/>
      <c r="AN12" s="1455"/>
      <c r="AO12" s="1455"/>
      <c r="AP12" s="1455"/>
      <c r="AQ12" s="1455"/>
      <c r="AR12" s="1455"/>
      <c r="AS12" s="1455"/>
      <c r="AT12" s="1455"/>
      <c r="AU12" s="1455"/>
      <c r="AV12" s="1455"/>
      <c r="AW12" s="1455"/>
      <c r="AX12" s="1455"/>
      <c r="AY12" s="1455"/>
      <c r="AZ12" s="1455"/>
      <c r="BA12" s="1455"/>
      <c r="BB12" s="1455"/>
      <c r="BC12" s="1455"/>
      <c r="BD12" s="1455"/>
      <c r="BE12" s="1455"/>
      <c r="BF12" s="1455"/>
      <c r="BG12" s="1455"/>
      <c r="BH12" s="1455"/>
      <c r="BI12" s="1455"/>
      <c r="BJ12" s="1455"/>
      <c r="BK12" s="1455"/>
      <c r="BL12" s="1455"/>
      <c r="BM12" s="1455"/>
      <c r="BN12" s="1462"/>
      <c r="BO12" s="1462"/>
      <c r="BP12" s="1462"/>
      <c r="BQ12" s="1462"/>
      <c r="BR12" s="1463"/>
    </row>
    <row r="13" spans="1:70" s="337" customFormat="1" ht="49.5" customHeight="1" x14ac:dyDescent="0.2">
      <c r="A13" s="1464"/>
      <c r="B13" s="1465"/>
      <c r="C13" s="1465"/>
      <c r="D13" s="1466"/>
      <c r="E13" s="1465"/>
      <c r="F13" s="1465"/>
      <c r="G13" s="1467"/>
      <c r="H13" s="1465"/>
      <c r="I13" s="1465"/>
      <c r="J13" s="4354">
        <v>223</v>
      </c>
      <c r="K13" s="3047" t="s">
        <v>994</v>
      </c>
      <c r="L13" s="4358" t="s">
        <v>995</v>
      </c>
      <c r="M13" s="3045">
        <v>1</v>
      </c>
      <c r="N13" s="3045">
        <v>0.75</v>
      </c>
      <c r="O13" s="3232">
        <v>2301010423</v>
      </c>
      <c r="P13" s="4355" t="s">
        <v>996</v>
      </c>
      <c r="Q13" s="3047" t="s">
        <v>997</v>
      </c>
      <c r="R13" s="5557">
        <f>SUM(W13:W14)/S$13</f>
        <v>0.94892915980230641</v>
      </c>
      <c r="S13" s="5559">
        <f>SUM(W13:W18)</f>
        <v>607000000</v>
      </c>
      <c r="T13" s="4358" t="s">
        <v>998</v>
      </c>
      <c r="U13" s="4413" t="s">
        <v>999</v>
      </c>
      <c r="V13" s="5560" t="s">
        <v>1000</v>
      </c>
      <c r="W13" s="1735">
        <v>476000000</v>
      </c>
      <c r="X13" s="1468">
        <v>397868345</v>
      </c>
      <c r="Y13" s="1468">
        <v>91280500</v>
      </c>
      <c r="Z13" s="1469">
        <v>20</v>
      </c>
      <c r="AA13" s="1470" t="s">
        <v>1001</v>
      </c>
      <c r="AB13" s="5562">
        <v>57041</v>
      </c>
      <c r="AC13" s="5562">
        <f>AB13*$AA$24</f>
        <v>4506.2390000000005</v>
      </c>
      <c r="AD13" s="5562">
        <v>57731</v>
      </c>
      <c r="AE13" s="5562">
        <f>AD13*AA24</f>
        <v>4560.7489999999998</v>
      </c>
      <c r="AF13" s="5562">
        <v>27907</v>
      </c>
      <c r="AG13" s="5562">
        <f>AF13*AA24</f>
        <v>2204.6530000000002</v>
      </c>
      <c r="AH13" s="5562">
        <v>8963</v>
      </c>
      <c r="AI13" s="5562">
        <f>AH13*AA24</f>
        <v>708.077</v>
      </c>
      <c r="AJ13" s="5562">
        <v>60564</v>
      </c>
      <c r="AK13" s="5562">
        <f>AJ13*AA24</f>
        <v>4784.5560000000005</v>
      </c>
      <c r="AL13" s="5562">
        <v>17338</v>
      </c>
      <c r="AM13" s="5562">
        <f>AL13*AA24</f>
        <v>1369.702</v>
      </c>
      <c r="AN13" s="5562"/>
      <c r="AO13" s="1471"/>
      <c r="AP13" s="5562"/>
      <c r="AQ13" s="1471"/>
      <c r="AR13" s="5562"/>
      <c r="AS13" s="1471"/>
      <c r="AT13" s="1471"/>
      <c r="AU13" s="1471"/>
      <c r="AV13" s="1471"/>
      <c r="AW13" s="1471"/>
      <c r="AX13" s="1471"/>
      <c r="AY13" s="1471"/>
      <c r="AZ13" s="5562"/>
      <c r="BA13" s="1471"/>
      <c r="BB13" s="5562">
        <v>2944</v>
      </c>
      <c r="BC13" s="5562">
        <f>BB13*AA24</f>
        <v>232.57599999999999</v>
      </c>
      <c r="BD13" s="5562"/>
      <c r="BE13" s="1471"/>
      <c r="BF13" s="5567">
        <f>AB13+AD13</f>
        <v>114772</v>
      </c>
      <c r="BG13" s="5567">
        <f>BF13*AA24</f>
        <v>9066.9879999999994</v>
      </c>
      <c r="BH13" s="5567">
        <v>20</v>
      </c>
      <c r="BI13" s="5579">
        <f>X19</f>
        <v>417860345</v>
      </c>
      <c r="BJ13" s="5579">
        <f>Y19</f>
        <v>96418500</v>
      </c>
      <c r="BK13" s="5582">
        <f>+BJ13/BI13</f>
        <v>0.23074335996156803</v>
      </c>
      <c r="BL13" s="5567" t="s">
        <v>1001</v>
      </c>
      <c r="BM13" s="5567" t="s">
        <v>1002</v>
      </c>
      <c r="BN13" s="5570">
        <v>43466</v>
      </c>
      <c r="BO13" s="5573">
        <v>43467</v>
      </c>
      <c r="BP13" s="5570">
        <v>43830</v>
      </c>
      <c r="BQ13" s="5570">
        <v>43738</v>
      </c>
      <c r="BR13" s="5576" t="s">
        <v>1003</v>
      </c>
    </row>
    <row r="14" spans="1:70" s="337" customFormat="1" ht="39.75" customHeight="1" x14ac:dyDescent="0.2">
      <c r="A14" s="1464"/>
      <c r="B14" s="1465"/>
      <c r="C14" s="1465"/>
      <c r="D14" s="1466"/>
      <c r="E14" s="1465"/>
      <c r="F14" s="1465"/>
      <c r="G14" s="1466"/>
      <c r="H14" s="1465"/>
      <c r="I14" s="1465"/>
      <c r="J14" s="4354"/>
      <c r="K14" s="3047"/>
      <c r="L14" s="4358"/>
      <c r="M14" s="3045"/>
      <c r="N14" s="3045"/>
      <c r="O14" s="3233"/>
      <c r="P14" s="4356"/>
      <c r="Q14" s="3047"/>
      <c r="R14" s="5558"/>
      <c r="S14" s="5559"/>
      <c r="T14" s="4358"/>
      <c r="U14" s="4494"/>
      <c r="V14" s="5561"/>
      <c r="W14" s="1735">
        <v>100000000</v>
      </c>
      <c r="X14" s="102"/>
      <c r="Y14" s="102"/>
      <c r="Z14" s="1469">
        <v>23</v>
      </c>
      <c r="AA14" s="1470" t="s">
        <v>1004</v>
      </c>
      <c r="AB14" s="5563"/>
      <c r="AC14" s="5563"/>
      <c r="AD14" s="5563"/>
      <c r="AE14" s="5563"/>
      <c r="AF14" s="5563"/>
      <c r="AG14" s="5563"/>
      <c r="AH14" s="5563"/>
      <c r="AI14" s="5563"/>
      <c r="AJ14" s="5563"/>
      <c r="AK14" s="5563"/>
      <c r="AL14" s="5563"/>
      <c r="AM14" s="5563"/>
      <c r="AN14" s="5563"/>
      <c r="AO14" s="1472"/>
      <c r="AP14" s="5563"/>
      <c r="AQ14" s="1472"/>
      <c r="AR14" s="5563"/>
      <c r="AS14" s="1472"/>
      <c r="AT14" s="1472"/>
      <c r="AU14" s="1472"/>
      <c r="AV14" s="1472"/>
      <c r="AW14" s="1472"/>
      <c r="AX14" s="1472"/>
      <c r="AY14" s="1472"/>
      <c r="AZ14" s="5563"/>
      <c r="BA14" s="1472"/>
      <c r="BB14" s="5563"/>
      <c r="BC14" s="5563"/>
      <c r="BD14" s="5563"/>
      <c r="BE14" s="1472"/>
      <c r="BF14" s="5568"/>
      <c r="BG14" s="5568"/>
      <c r="BH14" s="5568"/>
      <c r="BI14" s="5580"/>
      <c r="BJ14" s="5580"/>
      <c r="BK14" s="5583"/>
      <c r="BL14" s="5568"/>
      <c r="BM14" s="5568"/>
      <c r="BN14" s="5571"/>
      <c r="BO14" s="5574"/>
      <c r="BP14" s="5571"/>
      <c r="BQ14" s="5571"/>
      <c r="BR14" s="5577"/>
    </row>
    <row r="15" spans="1:70" s="337" customFormat="1" ht="45" x14ac:dyDescent="0.2">
      <c r="A15" s="1464"/>
      <c r="B15" s="1465"/>
      <c r="C15" s="1465"/>
      <c r="D15" s="1466"/>
      <c r="E15" s="1465"/>
      <c r="F15" s="1465"/>
      <c r="G15" s="1466"/>
      <c r="H15" s="1465"/>
      <c r="I15" s="1465"/>
      <c r="J15" s="4354">
        <v>224</v>
      </c>
      <c r="K15" s="3047" t="s">
        <v>1005</v>
      </c>
      <c r="L15" s="4358" t="s">
        <v>1006</v>
      </c>
      <c r="M15" s="3233">
        <v>1</v>
      </c>
      <c r="N15" s="3045">
        <v>0.61</v>
      </c>
      <c r="O15" s="3233"/>
      <c r="P15" s="4356"/>
      <c r="Q15" s="3047"/>
      <c r="R15" s="4698">
        <f>SUM(W15:W16)/S13</f>
        <v>3.459637561779242E-2</v>
      </c>
      <c r="S15" s="5559"/>
      <c r="T15" s="4358"/>
      <c r="U15" s="4494"/>
      <c r="V15" s="5560" t="s">
        <v>1007</v>
      </c>
      <c r="W15" s="1736">
        <v>14800000</v>
      </c>
      <c r="X15" s="1468">
        <v>11172000</v>
      </c>
      <c r="Y15" s="1468">
        <v>3864000</v>
      </c>
      <c r="Z15" s="1469">
        <v>20</v>
      </c>
      <c r="AA15" s="1470" t="s">
        <v>1001</v>
      </c>
      <c r="AB15" s="5563"/>
      <c r="AC15" s="5563"/>
      <c r="AD15" s="5563"/>
      <c r="AE15" s="5563"/>
      <c r="AF15" s="5563"/>
      <c r="AG15" s="5563"/>
      <c r="AH15" s="5563"/>
      <c r="AI15" s="5563"/>
      <c r="AJ15" s="5563"/>
      <c r="AK15" s="5563"/>
      <c r="AL15" s="5563"/>
      <c r="AM15" s="5563"/>
      <c r="AN15" s="5563"/>
      <c r="AO15" s="1472"/>
      <c r="AP15" s="5563"/>
      <c r="AQ15" s="1472"/>
      <c r="AR15" s="5563"/>
      <c r="AS15" s="1472"/>
      <c r="AT15" s="1472"/>
      <c r="AU15" s="1472"/>
      <c r="AV15" s="1472"/>
      <c r="AW15" s="1472"/>
      <c r="AX15" s="1472"/>
      <c r="AY15" s="1472"/>
      <c r="AZ15" s="5563"/>
      <c r="BA15" s="1472"/>
      <c r="BB15" s="5563"/>
      <c r="BC15" s="5563"/>
      <c r="BD15" s="5563"/>
      <c r="BE15" s="1472"/>
      <c r="BF15" s="5568"/>
      <c r="BG15" s="5568"/>
      <c r="BH15" s="5568"/>
      <c r="BI15" s="5580"/>
      <c r="BJ15" s="5580"/>
      <c r="BK15" s="5583"/>
      <c r="BL15" s="5568"/>
      <c r="BM15" s="5568"/>
      <c r="BN15" s="5571"/>
      <c r="BO15" s="5574"/>
      <c r="BP15" s="5571"/>
      <c r="BQ15" s="5571"/>
      <c r="BR15" s="5577"/>
    </row>
    <row r="16" spans="1:70" s="337" customFormat="1" ht="30" x14ac:dyDescent="0.2">
      <c r="A16" s="1464"/>
      <c r="B16" s="1465"/>
      <c r="C16" s="1465"/>
      <c r="D16" s="1466"/>
      <c r="E16" s="1465"/>
      <c r="F16" s="1465"/>
      <c r="G16" s="1466"/>
      <c r="H16" s="1465"/>
      <c r="I16" s="1465"/>
      <c r="J16" s="4354"/>
      <c r="K16" s="3047"/>
      <c r="L16" s="4358"/>
      <c r="M16" s="3233"/>
      <c r="N16" s="3045"/>
      <c r="O16" s="3233"/>
      <c r="P16" s="4356"/>
      <c r="Q16" s="3047"/>
      <c r="R16" s="4671"/>
      <c r="S16" s="5559"/>
      <c r="T16" s="4358"/>
      <c r="U16" s="4494"/>
      <c r="V16" s="5561"/>
      <c r="W16" s="1736">
        <v>6200000</v>
      </c>
      <c r="X16" s="1737"/>
      <c r="Y16" s="1737"/>
      <c r="Z16" s="1469">
        <v>23</v>
      </c>
      <c r="AA16" s="1470" t="s">
        <v>1004</v>
      </c>
      <c r="AB16" s="5563"/>
      <c r="AC16" s="5563"/>
      <c r="AD16" s="5563"/>
      <c r="AE16" s="5563"/>
      <c r="AF16" s="5563"/>
      <c r="AG16" s="5563"/>
      <c r="AH16" s="5563"/>
      <c r="AI16" s="5563"/>
      <c r="AJ16" s="5563"/>
      <c r="AK16" s="5563"/>
      <c r="AL16" s="5563"/>
      <c r="AM16" s="5563"/>
      <c r="AN16" s="5563"/>
      <c r="AO16" s="1472"/>
      <c r="AP16" s="5563"/>
      <c r="AQ16" s="1472"/>
      <c r="AR16" s="5563"/>
      <c r="AS16" s="1472"/>
      <c r="AT16" s="1472"/>
      <c r="AU16" s="1472"/>
      <c r="AV16" s="1472"/>
      <c r="AW16" s="1472"/>
      <c r="AX16" s="1472"/>
      <c r="AY16" s="1472"/>
      <c r="AZ16" s="5563"/>
      <c r="BA16" s="1472"/>
      <c r="BB16" s="5563"/>
      <c r="BC16" s="5563"/>
      <c r="BD16" s="5563"/>
      <c r="BE16" s="1472"/>
      <c r="BF16" s="5568"/>
      <c r="BG16" s="5568"/>
      <c r="BH16" s="5568"/>
      <c r="BI16" s="5580"/>
      <c r="BJ16" s="5580"/>
      <c r="BK16" s="5583"/>
      <c r="BL16" s="5568"/>
      <c r="BM16" s="5568"/>
      <c r="BN16" s="5571"/>
      <c r="BO16" s="5574"/>
      <c r="BP16" s="5571"/>
      <c r="BQ16" s="5571"/>
      <c r="BR16" s="5577"/>
    </row>
    <row r="17" spans="1:70" s="337" customFormat="1" ht="39.75" customHeight="1" x14ac:dyDescent="0.2">
      <c r="A17" s="1464"/>
      <c r="B17" s="1465"/>
      <c r="C17" s="1465"/>
      <c r="D17" s="1466"/>
      <c r="E17" s="1465"/>
      <c r="F17" s="1465"/>
      <c r="G17" s="1466"/>
      <c r="H17" s="1465"/>
      <c r="I17" s="1465"/>
      <c r="J17" s="4354">
        <v>225</v>
      </c>
      <c r="K17" s="3047" t="s">
        <v>1008</v>
      </c>
      <c r="L17" s="4358" t="s">
        <v>1009</v>
      </c>
      <c r="M17" s="3232">
        <v>1</v>
      </c>
      <c r="N17" s="3045">
        <v>0.83</v>
      </c>
      <c r="O17" s="3233"/>
      <c r="P17" s="4356"/>
      <c r="Q17" s="3047"/>
      <c r="R17" s="4698">
        <f>(W17+W18)/S13</f>
        <v>1.6474464579901153E-2</v>
      </c>
      <c r="S17" s="5559"/>
      <c r="T17" s="4358"/>
      <c r="U17" s="4413" t="s">
        <v>1010</v>
      </c>
      <c r="V17" s="5565" t="s">
        <v>1011</v>
      </c>
      <c r="W17" s="1736">
        <v>9200000</v>
      </c>
      <c r="X17" s="1468">
        <v>8820000</v>
      </c>
      <c r="Y17" s="1468">
        <v>1274000</v>
      </c>
      <c r="Z17" s="1469">
        <v>20</v>
      </c>
      <c r="AA17" s="1470" t="s">
        <v>1001</v>
      </c>
      <c r="AB17" s="5563"/>
      <c r="AC17" s="5563"/>
      <c r="AD17" s="5563"/>
      <c r="AE17" s="5563"/>
      <c r="AF17" s="5563"/>
      <c r="AG17" s="5563"/>
      <c r="AH17" s="5563"/>
      <c r="AI17" s="5563"/>
      <c r="AJ17" s="5563"/>
      <c r="AK17" s="5563"/>
      <c r="AL17" s="5563"/>
      <c r="AM17" s="5563"/>
      <c r="AN17" s="5563"/>
      <c r="AO17" s="1472"/>
      <c r="AP17" s="5563"/>
      <c r="AQ17" s="1472"/>
      <c r="AR17" s="5563"/>
      <c r="AS17" s="1472"/>
      <c r="AT17" s="1472"/>
      <c r="AU17" s="1472"/>
      <c r="AV17" s="1472"/>
      <c r="AW17" s="1472"/>
      <c r="AX17" s="1472"/>
      <c r="AY17" s="1472"/>
      <c r="AZ17" s="5563"/>
      <c r="BA17" s="1472"/>
      <c r="BB17" s="5563"/>
      <c r="BC17" s="5563"/>
      <c r="BD17" s="5563"/>
      <c r="BE17" s="1472"/>
      <c r="BF17" s="5568"/>
      <c r="BG17" s="5568"/>
      <c r="BH17" s="5568"/>
      <c r="BI17" s="5580"/>
      <c r="BJ17" s="5580"/>
      <c r="BK17" s="5583"/>
      <c r="BL17" s="5568"/>
      <c r="BM17" s="5568"/>
      <c r="BN17" s="5571"/>
      <c r="BO17" s="5574"/>
      <c r="BP17" s="5571"/>
      <c r="BQ17" s="5571"/>
      <c r="BR17" s="5577"/>
    </row>
    <row r="18" spans="1:70" s="337" customFormat="1" ht="45" customHeight="1" x14ac:dyDescent="0.2">
      <c r="A18" s="1473"/>
      <c r="B18" s="1474"/>
      <c r="C18" s="1474"/>
      <c r="D18" s="1475"/>
      <c r="E18" s="1474"/>
      <c r="F18" s="1474"/>
      <c r="G18" s="1475"/>
      <c r="H18" s="1474"/>
      <c r="I18" s="1474"/>
      <c r="J18" s="4354"/>
      <c r="K18" s="3047"/>
      <c r="L18" s="4358"/>
      <c r="M18" s="3234"/>
      <c r="N18" s="3045"/>
      <c r="O18" s="3234"/>
      <c r="P18" s="4357"/>
      <c r="Q18" s="3047"/>
      <c r="R18" s="4670"/>
      <c r="S18" s="5559"/>
      <c r="T18" s="4358"/>
      <c r="U18" s="4424"/>
      <c r="V18" s="5566"/>
      <c r="W18" s="1736">
        <v>800000</v>
      </c>
      <c r="X18" s="1738"/>
      <c r="Y18" s="1738"/>
      <c r="Z18" s="1476">
        <v>23</v>
      </c>
      <c r="AA18" s="1470" t="s">
        <v>1004</v>
      </c>
      <c r="AB18" s="5564"/>
      <c r="AC18" s="5564"/>
      <c r="AD18" s="5564"/>
      <c r="AE18" s="5564"/>
      <c r="AF18" s="5564"/>
      <c r="AG18" s="5564"/>
      <c r="AH18" s="5564"/>
      <c r="AI18" s="5564"/>
      <c r="AJ18" s="5564"/>
      <c r="AK18" s="5564"/>
      <c r="AL18" s="5564"/>
      <c r="AM18" s="5564"/>
      <c r="AN18" s="5564"/>
      <c r="AO18" s="100"/>
      <c r="AP18" s="5564"/>
      <c r="AQ18" s="100"/>
      <c r="AR18" s="5564"/>
      <c r="AS18" s="100"/>
      <c r="AT18" s="100"/>
      <c r="AU18" s="100"/>
      <c r="AV18" s="100"/>
      <c r="AW18" s="100"/>
      <c r="AX18" s="100"/>
      <c r="AY18" s="100"/>
      <c r="AZ18" s="5564"/>
      <c r="BA18" s="100"/>
      <c r="BB18" s="5564"/>
      <c r="BC18" s="5564"/>
      <c r="BD18" s="5564"/>
      <c r="BE18" s="100"/>
      <c r="BF18" s="5569"/>
      <c r="BG18" s="5569"/>
      <c r="BH18" s="5569"/>
      <c r="BI18" s="5581"/>
      <c r="BJ18" s="5581"/>
      <c r="BK18" s="5584"/>
      <c r="BL18" s="5569"/>
      <c r="BM18" s="5569"/>
      <c r="BN18" s="5572"/>
      <c r="BO18" s="5575"/>
      <c r="BP18" s="5572"/>
      <c r="BQ18" s="5572"/>
      <c r="BR18" s="5578"/>
    </row>
    <row r="19" spans="1:70" ht="15" x14ac:dyDescent="0.25">
      <c r="A19" s="5585" t="s">
        <v>642</v>
      </c>
      <c r="B19" s="5585"/>
      <c r="C19" s="5585"/>
      <c r="D19" s="5585"/>
      <c r="E19" s="5585"/>
      <c r="F19" s="5585"/>
      <c r="G19" s="5585"/>
      <c r="H19" s="5585"/>
      <c r="I19" s="5585"/>
      <c r="J19" s="5585"/>
      <c r="K19" s="5585"/>
      <c r="L19" s="5585"/>
      <c r="M19" s="5585"/>
      <c r="N19" s="5585"/>
      <c r="O19" s="5585"/>
      <c r="P19" s="5585"/>
      <c r="Q19" s="5585"/>
      <c r="R19" s="5585"/>
      <c r="S19" s="1734">
        <f>SUM(S13)</f>
        <v>607000000</v>
      </c>
      <c r="T19" s="1477"/>
      <c r="U19" s="1477"/>
      <c r="V19" s="1477"/>
      <c r="W19" s="1739">
        <f>SUM(W13:W18)</f>
        <v>607000000</v>
      </c>
      <c r="X19" s="1739">
        <f>SUM(X13:X18)</f>
        <v>417860345</v>
      </c>
      <c r="Y19" s="1739">
        <f>SUM(Y13:Y18)</f>
        <v>96418500</v>
      </c>
      <c r="Z19" s="1478"/>
      <c r="AA19" s="1479"/>
      <c r="AB19" s="1480"/>
      <c r="AC19" s="1480"/>
      <c r="AD19" s="1480"/>
      <c r="AE19" s="1480"/>
      <c r="AF19" s="1480"/>
      <c r="AG19" s="1480"/>
      <c r="AH19" s="1480"/>
      <c r="AI19" s="1480"/>
      <c r="AJ19" s="1480"/>
      <c r="AK19" s="1480"/>
      <c r="AL19" s="1480"/>
      <c r="AM19" s="1480"/>
      <c r="AN19" s="1480"/>
      <c r="AO19" s="1480"/>
      <c r="AP19" s="1480"/>
      <c r="AQ19" s="1480"/>
      <c r="AR19" s="1480"/>
      <c r="AS19" s="1480"/>
      <c r="AT19" s="1480"/>
      <c r="AU19" s="1480"/>
      <c r="AV19" s="1480"/>
      <c r="AW19" s="1480"/>
      <c r="AX19" s="1480"/>
      <c r="AY19" s="1480"/>
      <c r="AZ19" s="1480"/>
      <c r="BA19" s="1480"/>
      <c r="BB19" s="1480"/>
      <c r="BC19" s="1480"/>
      <c r="BD19" s="1480"/>
      <c r="BE19" s="1480"/>
      <c r="BF19" s="1480"/>
      <c r="BG19" s="1480"/>
      <c r="BH19" s="1741">
        <f t="shared" ref="BH19:BJ19" si="0">SUM(BH13:BH18)</f>
        <v>20</v>
      </c>
      <c r="BI19" s="1739">
        <f t="shared" si="0"/>
        <v>417860345</v>
      </c>
      <c r="BJ19" s="1739">
        <f t="shared" si="0"/>
        <v>96418500</v>
      </c>
      <c r="BK19" s="1740">
        <f>BJ19/BI19</f>
        <v>0.23074335996156803</v>
      </c>
      <c r="BL19" s="1480"/>
      <c r="BM19" s="1480"/>
      <c r="BN19" s="1481"/>
      <c r="BO19" s="1481"/>
      <c r="BP19" s="1482"/>
      <c r="BQ19" s="1482"/>
      <c r="BR19" s="1483"/>
    </row>
    <row r="20" spans="1:70" ht="14.25" x14ac:dyDescent="0.2"/>
    <row r="21" spans="1:70" ht="14.25" x14ac:dyDescent="0.2"/>
    <row r="22" spans="1:70" ht="14.25" x14ac:dyDescent="0.2"/>
    <row r="23" spans="1:70" ht="14.25" x14ac:dyDescent="0.2"/>
    <row r="24" spans="1:70" ht="14.25" x14ac:dyDescent="0.2">
      <c r="AA24" s="1484">
        <v>7.9000000000000001E-2</v>
      </c>
    </row>
    <row r="25" spans="1:70" ht="14.25" x14ac:dyDescent="0.2">
      <c r="AA25" s="1485"/>
    </row>
    <row r="26" spans="1:70" ht="14.25" x14ac:dyDescent="0.2"/>
    <row r="27" spans="1:70" ht="15" x14ac:dyDescent="0.25">
      <c r="E27" s="1486" t="s">
        <v>1012</v>
      </c>
    </row>
    <row r="28" spans="1:70" ht="14.25" x14ac:dyDescent="0.2">
      <c r="E28" s="360" t="s">
        <v>1013</v>
      </c>
    </row>
  </sheetData>
  <sheetProtection password="A60F" sheet="1" objects="1" scenarios="1"/>
  <mergeCells count="122">
    <mergeCell ref="A19:R19"/>
    <mergeCell ref="AB7:AE7"/>
    <mergeCell ref="AF7:AM7"/>
    <mergeCell ref="AN7:AY7"/>
    <mergeCell ref="AZ7:BE7"/>
    <mergeCell ref="AB6:BG6"/>
    <mergeCell ref="J17:J18"/>
    <mergeCell ref="K17:K18"/>
    <mergeCell ref="L17:L18"/>
    <mergeCell ref="M17:M18"/>
    <mergeCell ref="N17:N18"/>
    <mergeCell ref="R17:R18"/>
    <mergeCell ref="J15:J16"/>
    <mergeCell ref="K15:K16"/>
    <mergeCell ref="L15:L16"/>
    <mergeCell ref="M15:M16"/>
    <mergeCell ref="N15:N16"/>
    <mergeCell ref="R15:R16"/>
    <mergeCell ref="AR13:AR18"/>
    <mergeCell ref="AZ13:AZ18"/>
    <mergeCell ref="BB13:BB18"/>
    <mergeCell ref="BC13:BC18"/>
    <mergeCell ref="BD13:BD18"/>
    <mergeCell ref="BF13:BF18"/>
    <mergeCell ref="BM13:BM18"/>
    <mergeCell ref="BN13:BN18"/>
    <mergeCell ref="BO13:BO18"/>
    <mergeCell ref="BP13:BP18"/>
    <mergeCell ref="BQ13:BQ18"/>
    <mergeCell ref="BR13:BR18"/>
    <mergeCell ref="BG13:BG18"/>
    <mergeCell ref="BH13:BH18"/>
    <mergeCell ref="BI13:BI18"/>
    <mergeCell ref="BJ13:BJ18"/>
    <mergeCell ref="BK13:BK18"/>
    <mergeCell ref="BL13:BL18"/>
    <mergeCell ref="AJ13:AJ18"/>
    <mergeCell ref="AK13:AK18"/>
    <mergeCell ref="AL13:AL18"/>
    <mergeCell ref="AM13:AM18"/>
    <mergeCell ref="AN13:AN18"/>
    <mergeCell ref="AP13:AP18"/>
    <mergeCell ref="AD13:AD18"/>
    <mergeCell ref="AE13:AE18"/>
    <mergeCell ref="AF13:AF18"/>
    <mergeCell ref="AG13:AG18"/>
    <mergeCell ref="AH13:AH18"/>
    <mergeCell ref="AI13:AI18"/>
    <mergeCell ref="S13:S18"/>
    <mergeCell ref="T13:T18"/>
    <mergeCell ref="U13:U16"/>
    <mergeCell ref="V13:V14"/>
    <mergeCell ref="AB13:AB18"/>
    <mergeCell ref="AC13:AC18"/>
    <mergeCell ref="V15:V16"/>
    <mergeCell ref="U17:U18"/>
    <mergeCell ref="V17:V18"/>
    <mergeCell ref="J13:J14"/>
    <mergeCell ref="K13:K14"/>
    <mergeCell ref="L13:L14"/>
    <mergeCell ref="M13:M14"/>
    <mergeCell ref="N13:N14"/>
    <mergeCell ref="O13:O18"/>
    <mergeCell ref="P13:P18"/>
    <mergeCell ref="Q13:Q18"/>
    <mergeCell ref="R13:R14"/>
    <mergeCell ref="AN8:AO8"/>
    <mergeCell ref="AP8:AQ8"/>
    <mergeCell ref="AR8:AS8"/>
    <mergeCell ref="BF7:BG7"/>
    <mergeCell ref="BH7:BM7"/>
    <mergeCell ref="BN7:BO8"/>
    <mergeCell ref="BP7:BQ8"/>
    <mergeCell ref="BR7:BR9"/>
    <mergeCell ref="BM8:BM9"/>
    <mergeCell ref="BF8:BG8"/>
    <mergeCell ref="BH8:BH9"/>
    <mergeCell ref="BI8:BI9"/>
    <mergeCell ref="BJ8:BJ9"/>
    <mergeCell ref="BK8:BK9"/>
    <mergeCell ref="BL8:BL9"/>
    <mergeCell ref="AT8:AU8"/>
    <mergeCell ref="AV8:AW8"/>
    <mergeCell ref="AX8:AY8"/>
    <mergeCell ref="AZ8:BA8"/>
    <mergeCell ref="BB8:BC8"/>
    <mergeCell ref="BD8:BE8"/>
    <mergeCell ref="N8:N9"/>
    <mergeCell ref="W8:W9"/>
    <mergeCell ref="X8:X9"/>
    <mergeCell ref="Y8:Y9"/>
    <mergeCell ref="W7:Y7"/>
    <mergeCell ref="AA7:AA9"/>
    <mergeCell ref="Z8:Z9"/>
    <mergeCell ref="AB8:AC8"/>
    <mergeCell ref="AL8:AM8"/>
    <mergeCell ref="AH8:AI8"/>
    <mergeCell ref="AJ8:AK8"/>
    <mergeCell ref="A1:BP4"/>
    <mergeCell ref="A5:M6"/>
    <mergeCell ref="O5:BR5"/>
    <mergeCell ref="A7:A9"/>
    <mergeCell ref="B7:C9"/>
    <mergeCell ref="D7:D9"/>
    <mergeCell ref="E7:F9"/>
    <mergeCell ref="G7:G9"/>
    <mergeCell ref="H7:I9"/>
    <mergeCell ref="AD8:AE8"/>
    <mergeCell ref="AF8:AG8"/>
    <mergeCell ref="Q7:Q9"/>
    <mergeCell ref="R7:R9"/>
    <mergeCell ref="S7:S9"/>
    <mergeCell ref="T7:T9"/>
    <mergeCell ref="U7:U9"/>
    <mergeCell ref="V7:V9"/>
    <mergeCell ref="J7:J9"/>
    <mergeCell ref="K7:K9"/>
    <mergeCell ref="L7:L9"/>
    <mergeCell ref="M7:N7"/>
    <mergeCell ref="O7:O9"/>
    <mergeCell ref="P7:P9"/>
    <mergeCell ref="M8:M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57"/>
  <sheetViews>
    <sheetView showGridLines="0" zoomScale="60" zoomScaleNormal="60" workbookViewId="0">
      <selection sqref="A1:BP4"/>
    </sheetView>
  </sheetViews>
  <sheetFormatPr baseColWidth="10" defaultColWidth="20.5703125" defaultRowHeight="24.75" customHeight="1" x14ac:dyDescent="0.2"/>
  <cols>
    <col min="1" max="1" width="12.85546875" style="1726" customWidth="1"/>
    <col min="2" max="2" width="8.85546875" style="1405" customWidth="1"/>
    <col min="3" max="3" width="11.7109375" style="1405" customWidth="1"/>
    <col min="4" max="4" width="16.7109375" style="1405" customWidth="1"/>
    <col min="5" max="5" width="7.140625" style="1405" customWidth="1"/>
    <col min="6" max="6" width="16.7109375" style="1405" customWidth="1"/>
    <col min="7" max="7" width="20.7109375" style="1405" customWidth="1"/>
    <col min="8" max="8" width="6.140625" style="1405" customWidth="1"/>
    <col min="9" max="9" width="20.7109375" style="1405" customWidth="1"/>
    <col min="10" max="10" width="18.42578125" style="1490" customWidth="1"/>
    <col min="11" max="11" width="47.28515625" style="872" customWidth="1"/>
    <col min="12" max="12" width="41.7109375" style="860" customWidth="1"/>
    <col min="13" max="14" width="23.85546875" style="860" customWidth="1"/>
    <col min="15" max="15" width="40.5703125" style="875" customWidth="1"/>
    <col min="16" max="16" width="28.42578125" style="875" customWidth="1"/>
    <col min="17" max="17" width="43.28515625" style="872" customWidth="1"/>
    <col min="18" max="18" width="21.5703125" style="1727" customWidth="1"/>
    <col min="19" max="19" width="36.5703125" style="1728" customWidth="1"/>
    <col min="20" max="20" width="41.7109375" style="872" customWidth="1"/>
    <col min="21" max="21" width="56.7109375" style="872" customWidth="1"/>
    <col min="22" max="22" width="85.28515625" style="872" customWidth="1"/>
    <col min="23" max="25" width="37.7109375" style="1733" customWidth="1"/>
    <col min="26" max="26" width="15.5703125" style="871" customWidth="1"/>
    <col min="27" max="27" width="27.140625" style="1730" customWidth="1"/>
    <col min="28" max="28" width="10.140625" style="4" bestFit="1" customWidth="1"/>
    <col min="29" max="29" width="12" style="4" customWidth="1"/>
    <col min="30" max="30" width="13.7109375" style="4" bestFit="1" customWidth="1"/>
    <col min="31" max="31" width="13.7109375" style="4" customWidth="1"/>
    <col min="32" max="51" width="10.42578125" style="4" customWidth="1"/>
    <col min="52" max="57" width="12.7109375" style="4" customWidth="1"/>
    <col min="58" max="58" width="17" style="4" bestFit="1" customWidth="1"/>
    <col min="59" max="59" width="17" style="4" customWidth="1"/>
    <col min="60" max="60" width="21.28515625" style="4" customWidth="1"/>
    <col min="61" max="61" width="33.140625" style="4" customWidth="1"/>
    <col min="62" max="62" width="33.5703125" style="4" customWidth="1"/>
    <col min="63" max="64" width="17" style="4" customWidth="1"/>
    <col min="65" max="65" width="26.28515625" style="4" customWidth="1"/>
    <col min="66" max="67" width="20.5703125" style="873" customWidth="1"/>
    <col min="68" max="69" width="23.85546875" style="874" customWidth="1"/>
    <col min="70" max="70" width="33.42578125" style="867" customWidth="1"/>
    <col min="71" max="16384" width="20.5703125" style="4"/>
  </cols>
  <sheetData>
    <row r="1" spans="1:70" ht="24.75" customHeight="1" x14ac:dyDescent="0.2">
      <c r="A1" s="2997" t="s">
        <v>1014</v>
      </c>
      <c r="B1" s="2998"/>
      <c r="C1" s="2998"/>
      <c r="D1" s="2998"/>
      <c r="E1" s="2998"/>
      <c r="F1" s="2998"/>
      <c r="G1" s="2998"/>
      <c r="H1" s="2998"/>
      <c r="I1" s="2998"/>
      <c r="J1" s="2998"/>
      <c r="K1" s="2998"/>
      <c r="L1" s="2998"/>
      <c r="M1" s="2998"/>
      <c r="N1" s="2998"/>
      <c r="O1" s="2998"/>
      <c r="P1" s="2998"/>
      <c r="Q1" s="2998"/>
      <c r="R1" s="2998"/>
      <c r="S1" s="2998"/>
      <c r="T1" s="2998"/>
      <c r="U1" s="2998"/>
      <c r="V1" s="2998"/>
      <c r="W1" s="2998"/>
      <c r="X1" s="2998"/>
      <c r="Y1" s="2998"/>
      <c r="Z1" s="2998"/>
      <c r="AA1" s="2998"/>
      <c r="AB1" s="2998"/>
      <c r="AC1" s="2998"/>
      <c r="AD1" s="2998"/>
      <c r="AE1" s="2998"/>
      <c r="AF1" s="2998"/>
      <c r="AG1" s="2998"/>
      <c r="AH1" s="2998"/>
      <c r="AI1" s="2998"/>
      <c r="AJ1" s="2998"/>
      <c r="AK1" s="2998"/>
      <c r="AL1" s="2998"/>
      <c r="AM1" s="2998"/>
      <c r="AN1" s="2998"/>
      <c r="AO1" s="2998"/>
      <c r="AP1" s="2998"/>
      <c r="AQ1" s="2998"/>
      <c r="AR1" s="2998"/>
      <c r="AS1" s="2998"/>
      <c r="AT1" s="2998"/>
      <c r="AU1" s="2998"/>
      <c r="AV1" s="2998"/>
      <c r="AW1" s="2998"/>
      <c r="AX1" s="2998"/>
      <c r="AY1" s="2998"/>
      <c r="AZ1" s="2998"/>
      <c r="BA1" s="2998"/>
      <c r="BB1" s="2998"/>
      <c r="BC1" s="2998"/>
      <c r="BD1" s="2998"/>
      <c r="BE1" s="2998"/>
      <c r="BF1" s="2998"/>
      <c r="BG1" s="2998"/>
      <c r="BH1" s="2998"/>
      <c r="BI1" s="2998"/>
      <c r="BJ1" s="2998"/>
      <c r="BK1" s="2998"/>
      <c r="BL1" s="2998"/>
      <c r="BM1" s="2998"/>
      <c r="BN1" s="2998"/>
      <c r="BO1" s="2998"/>
      <c r="BP1" s="2999"/>
      <c r="BQ1" s="288" t="s">
        <v>199</v>
      </c>
      <c r="BR1" s="289" t="s">
        <v>1</v>
      </c>
    </row>
    <row r="2" spans="1:70" ht="24.75" customHeight="1" x14ac:dyDescent="0.2">
      <c r="A2" s="3000"/>
      <c r="B2" s="3001"/>
      <c r="C2" s="3001"/>
      <c r="D2" s="3001"/>
      <c r="E2" s="3001"/>
      <c r="F2" s="3001"/>
      <c r="G2" s="3001"/>
      <c r="H2" s="3001"/>
      <c r="I2" s="3001"/>
      <c r="J2" s="3001"/>
      <c r="K2" s="3001"/>
      <c r="L2" s="3001"/>
      <c r="M2" s="3001"/>
      <c r="N2" s="3001"/>
      <c r="O2" s="3001"/>
      <c r="P2" s="3001"/>
      <c r="Q2" s="3001"/>
      <c r="R2" s="3001"/>
      <c r="S2" s="3001"/>
      <c r="T2" s="3001"/>
      <c r="U2" s="3001"/>
      <c r="V2" s="3001"/>
      <c r="W2" s="3001"/>
      <c r="X2" s="3001"/>
      <c r="Y2" s="3001"/>
      <c r="Z2" s="3001"/>
      <c r="AA2" s="3001"/>
      <c r="AB2" s="3001"/>
      <c r="AC2" s="3001"/>
      <c r="AD2" s="3001"/>
      <c r="AE2" s="3001"/>
      <c r="AF2" s="3001"/>
      <c r="AG2" s="3001"/>
      <c r="AH2" s="3001"/>
      <c r="AI2" s="3001"/>
      <c r="AJ2" s="3001"/>
      <c r="AK2" s="3001"/>
      <c r="AL2" s="3001"/>
      <c r="AM2" s="3001"/>
      <c r="AN2" s="3001"/>
      <c r="AO2" s="3001"/>
      <c r="AP2" s="3001"/>
      <c r="AQ2" s="3001"/>
      <c r="AR2" s="3001"/>
      <c r="AS2" s="3001"/>
      <c r="AT2" s="3001"/>
      <c r="AU2" s="3001"/>
      <c r="AV2" s="3001"/>
      <c r="AW2" s="3001"/>
      <c r="AX2" s="3001"/>
      <c r="AY2" s="3001"/>
      <c r="AZ2" s="3001"/>
      <c r="BA2" s="3001"/>
      <c r="BB2" s="3001"/>
      <c r="BC2" s="3001"/>
      <c r="BD2" s="3001"/>
      <c r="BE2" s="3001"/>
      <c r="BF2" s="3001"/>
      <c r="BG2" s="3001"/>
      <c r="BH2" s="3001"/>
      <c r="BI2" s="3001"/>
      <c r="BJ2" s="3001"/>
      <c r="BK2" s="3001"/>
      <c r="BL2" s="3001"/>
      <c r="BM2" s="3001"/>
      <c r="BN2" s="3001"/>
      <c r="BO2" s="3001"/>
      <c r="BP2" s="3002"/>
      <c r="BQ2" s="290" t="s">
        <v>2</v>
      </c>
      <c r="BR2" s="1487" t="s">
        <v>499</v>
      </c>
    </row>
    <row r="3" spans="1:70" ht="24.75" customHeight="1" x14ac:dyDescent="0.2">
      <c r="A3" s="3000"/>
      <c r="B3" s="3001"/>
      <c r="C3" s="3001"/>
      <c r="D3" s="3001"/>
      <c r="E3" s="3001"/>
      <c r="F3" s="3001"/>
      <c r="G3" s="3001"/>
      <c r="H3" s="3001"/>
      <c r="I3" s="3001"/>
      <c r="J3" s="3001"/>
      <c r="K3" s="3001"/>
      <c r="L3" s="3001"/>
      <c r="M3" s="3001"/>
      <c r="N3" s="3001"/>
      <c r="O3" s="3001"/>
      <c r="P3" s="3001"/>
      <c r="Q3" s="3001"/>
      <c r="R3" s="3001"/>
      <c r="S3" s="3001"/>
      <c r="T3" s="3001"/>
      <c r="U3" s="3001"/>
      <c r="V3" s="3001"/>
      <c r="W3" s="3001"/>
      <c r="X3" s="3001"/>
      <c r="Y3" s="3001"/>
      <c r="Z3" s="3001"/>
      <c r="AA3" s="3001"/>
      <c r="AB3" s="3001"/>
      <c r="AC3" s="3001"/>
      <c r="AD3" s="3001"/>
      <c r="AE3" s="3001"/>
      <c r="AF3" s="3001"/>
      <c r="AG3" s="3001"/>
      <c r="AH3" s="3001"/>
      <c r="AI3" s="3001"/>
      <c r="AJ3" s="3001"/>
      <c r="AK3" s="3001"/>
      <c r="AL3" s="3001"/>
      <c r="AM3" s="3001"/>
      <c r="AN3" s="3001"/>
      <c r="AO3" s="3001"/>
      <c r="AP3" s="3001"/>
      <c r="AQ3" s="3001"/>
      <c r="AR3" s="3001"/>
      <c r="AS3" s="3001"/>
      <c r="AT3" s="3001"/>
      <c r="AU3" s="3001"/>
      <c r="AV3" s="3001"/>
      <c r="AW3" s="3001"/>
      <c r="AX3" s="3001"/>
      <c r="AY3" s="3001"/>
      <c r="AZ3" s="3001"/>
      <c r="BA3" s="3001"/>
      <c r="BB3" s="3001"/>
      <c r="BC3" s="3001"/>
      <c r="BD3" s="3001"/>
      <c r="BE3" s="3001"/>
      <c r="BF3" s="3001"/>
      <c r="BG3" s="3001"/>
      <c r="BH3" s="3001"/>
      <c r="BI3" s="3001"/>
      <c r="BJ3" s="3001"/>
      <c r="BK3" s="3001"/>
      <c r="BL3" s="3001"/>
      <c r="BM3" s="3001"/>
      <c r="BN3" s="3001"/>
      <c r="BO3" s="3001"/>
      <c r="BP3" s="3002"/>
      <c r="BQ3" s="292" t="s">
        <v>3</v>
      </c>
      <c r="BR3" s="1488" t="s">
        <v>4</v>
      </c>
    </row>
    <row r="4" spans="1:70" ht="24.75" customHeight="1" x14ac:dyDescent="0.2">
      <c r="A4" s="3003"/>
      <c r="B4" s="3004"/>
      <c r="C4" s="3004"/>
      <c r="D4" s="3004"/>
      <c r="E4" s="3004"/>
      <c r="F4" s="3004"/>
      <c r="G4" s="3004"/>
      <c r="H4" s="3004"/>
      <c r="I4" s="3004"/>
      <c r="J4" s="3004"/>
      <c r="K4" s="3004"/>
      <c r="L4" s="3004"/>
      <c r="M4" s="3004"/>
      <c r="N4" s="3004"/>
      <c r="O4" s="3004"/>
      <c r="P4" s="3004"/>
      <c r="Q4" s="3004"/>
      <c r="R4" s="3004"/>
      <c r="S4" s="3004"/>
      <c r="T4" s="3004"/>
      <c r="U4" s="3004"/>
      <c r="V4" s="3004"/>
      <c r="W4" s="3004"/>
      <c r="X4" s="3004"/>
      <c r="Y4" s="3004"/>
      <c r="Z4" s="3004"/>
      <c r="AA4" s="3004"/>
      <c r="AB4" s="3004"/>
      <c r="AC4" s="3004"/>
      <c r="AD4" s="3004"/>
      <c r="AE4" s="3004"/>
      <c r="AF4" s="3004"/>
      <c r="AG4" s="3004"/>
      <c r="AH4" s="3004"/>
      <c r="AI4" s="3004"/>
      <c r="AJ4" s="3004"/>
      <c r="AK4" s="3004"/>
      <c r="AL4" s="3004"/>
      <c r="AM4" s="3004"/>
      <c r="AN4" s="3004"/>
      <c r="AO4" s="3004"/>
      <c r="AP4" s="3004"/>
      <c r="AQ4" s="3004"/>
      <c r="AR4" s="3004"/>
      <c r="AS4" s="3004"/>
      <c r="AT4" s="3004"/>
      <c r="AU4" s="3004"/>
      <c r="AV4" s="3004"/>
      <c r="AW4" s="3004"/>
      <c r="AX4" s="3004"/>
      <c r="AY4" s="3004"/>
      <c r="AZ4" s="3004"/>
      <c r="BA4" s="3004"/>
      <c r="BB4" s="3004"/>
      <c r="BC4" s="3004"/>
      <c r="BD4" s="3004"/>
      <c r="BE4" s="3004"/>
      <c r="BF4" s="3004"/>
      <c r="BG4" s="3004"/>
      <c r="BH4" s="3004"/>
      <c r="BI4" s="3004"/>
      <c r="BJ4" s="3004"/>
      <c r="BK4" s="3004"/>
      <c r="BL4" s="3004"/>
      <c r="BM4" s="3004"/>
      <c r="BN4" s="3004"/>
      <c r="BO4" s="3004"/>
      <c r="BP4" s="3005"/>
      <c r="BQ4" s="292" t="s">
        <v>5</v>
      </c>
      <c r="BR4" s="1489" t="s">
        <v>500</v>
      </c>
    </row>
    <row r="5" spans="1:70" ht="24.75" customHeight="1" thickBot="1" x14ac:dyDescent="0.25">
      <c r="A5" s="3006" t="s">
        <v>7</v>
      </c>
      <c r="B5" s="3007"/>
      <c r="C5" s="3007"/>
      <c r="D5" s="3007"/>
      <c r="E5" s="3007"/>
      <c r="F5" s="3007"/>
      <c r="G5" s="3007"/>
      <c r="H5" s="3007"/>
      <c r="I5" s="3007"/>
      <c r="J5" s="3007"/>
      <c r="K5" s="3007"/>
      <c r="L5" s="3007"/>
      <c r="M5" s="3007"/>
      <c r="N5" s="1408"/>
      <c r="O5" s="3008" t="s">
        <v>8</v>
      </c>
      <c r="P5" s="3008"/>
      <c r="Q5" s="3008"/>
      <c r="R5" s="3008"/>
      <c r="S5" s="3008"/>
      <c r="T5" s="3008"/>
      <c r="U5" s="3008"/>
      <c r="V5" s="3008"/>
      <c r="W5" s="3008"/>
      <c r="X5" s="3008"/>
      <c r="Y5" s="3008"/>
      <c r="Z5" s="3008"/>
      <c r="AA5" s="3008"/>
      <c r="AB5" s="3008"/>
      <c r="AC5" s="3008"/>
      <c r="AD5" s="3008"/>
      <c r="AE5" s="3008"/>
      <c r="AF5" s="3008"/>
      <c r="AG5" s="3008"/>
      <c r="AH5" s="3008"/>
      <c r="AI5" s="3008"/>
      <c r="AJ5" s="3008"/>
      <c r="AK5" s="3008"/>
      <c r="AL5" s="3008"/>
      <c r="AM5" s="3008"/>
      <c r="AN5" s="3008"/>
      <c r="AO5" s="3008"/>
      <c r="AP5" s="3008"/>
      <c r="AQ5" s="3008"/>
      <c r="AR5" s="3008"/>
      <c r="AS5" s="3008"/>
      <c r="AT5" s="3008"/>
      <c r="AU5" s="3008"/>
      <c r="AV5" s="3008"/>
      <c r="AW5" s="3008"/>
      <c r="AX5" s="3008"/>
      <c r="AY5" s="3008"/>
      <c r="AZ5" s="3008"/>
      <c r="BA5" s="3008"/>
      <c r="BB5" s="3008"/>
      <c r="BC5" s="3008"/>
      <c r="BD5" s="3008"/>
      <c r="BE5" s="3008"/>
      <c r="BF5" s="3008"/>
      <c r="BG5" s="3008"/>
      <c r="BH5" s="3008"/>
      <c r="BI5" s="3008"/>
      <c r="BJ5" s="3008"/>
      <c r="BK5" s="3008"/>
      <c r="BL5" s="3008"/>
      <c r="BM5" s="3008"/>
      <c r="BN5" s="3008"/>
      <c r="BO5" s="3008"/>
      <c r="BP5" s="3009"/>
      <c r="BQ5" s="3008"/>
      <c r="BR5" s="3010"/>
    </row>
    <row r="6" spans="1:70" ht="24.75" customHeight="1" x14ac:dyDescent="0.2">
      <c r="A6" s="3011" t="s">
        <v>0</v>
      </c>
      <c r="B6" s="3012" t="s">
        <v>9</v>
      </c>
      <c r="C6" s="3012"/>
      <c r="D6" s="3012" t="s">
        <v>0</v>
      </c>
      <c r="E6" s="3012" t="s">
        <v>10</v>
      </c>
      <c r="F6" s="3012"/>
      <c r="G6" s="3012" t="s">
        <v>0</v>
      </c>
      <c r="H6" s="3012" t="s">
        <v>11</v>
      </c>
      <c r="I6" s="3012"/>
      <c r="J6" s="3012" t="s">
        <v>0</v>
      </c>
      <c r="K6" s="3012" t="s">
        <v>12</v>
      </c>
      <c r="L6" s="3012" t="s">
        <v>13</v>
      </c>
      <c r="M6" s="3012" t="s">
        <v>1015</v>
      </c>
      <c r="N6" s="3012"/>
      <c r="O6" s="3012" t="s">
        <v>15</v>
      </c>
      <c r="P6" s="3012" t="s">
        <v>108</v>
      </c>
      <c r="Q6" s="3012" t="s">
        <v>8</v>
      </c>
      <c r="R6" s="3013" t="s">
        <v>17</v>
      </c>
      <c r="S6" s="3014" t="s">
        <v>18</v>
      </c>
      <c r="T6" s="3012" t="s">
        <v>19</v>
      </c>
      <c r="U6" s="3012" t="s">
        <v>20</v>
      </c>
      <c r="V6" s="3012" t="s">
        <v>21</v>
      </c>
      <c r="W6" s="3015" t="s">
        <v>18</v>
      </c>
      <c r="X6" s="3015"/>
      <c r="Y6" s="3015"/>
      <c r="Z6" s="3026" t="s">
        <v>0</v>
      </c>
      <c r="AA6" s="3029" t="s">
        <v>22</v>
      </c>
      <c r="AB6" s="3032" t="s">
        <v>23</v>
      </c>
      <c r="AC6" s="3033"/>
      <c r="AD6" s="3033"/>
      <c r="AE6" s="3034"/>
      <c r="AF6" s="3035" t="s">
        <v>24</v>
      </c>
      <c r="AG6" s="3036"/>
      <c r="AH6" s="3036"/>
      <c r="AI6" s="3036"/>
      <c r="AJ6" s="3036"/>
      <c r="AK6" s="3036"/>
      <c r="AL6" s="3036"/>
      <c r="AM6" s="3037"/>
      <c r="AN6" s="3038" t="s">
        <v>25</v>
      </c>
      <c r="AO6" s="3039"/>
      <c r="AP6" s="3039"/>
      <c r="AQ6" s="3039"/>
      <c r="AR6" s="3039"/>
      <c r="AS6" s="3039"/>
      <c r="AT6" s="3039"/>
      <c r="AU6" s="3039"/>
      <c r="AV6" s="3039"/>
      <c r="AW6" s="3039"/>
      <c r="AX6" s="3039"/>
      <c r="AY6" s="3040"/>
      <c r="AZ6" s="3041" t="s">
        <v>26</v>
      </c>
      <c r="BA6" s="3042"/>
      <c r="BB6" s="3042"/>
      <c r="BC6" s="3042"/>
      <c r="BD6" s="3042"/>
      <c r="BE6" s="3043"/>
      <c r="BF6" s="3016" t="s">
        <v>27</v>
      </c>
      <c r="BG6" s="3016"/>
      <c r="BH6" s="3017" t="s">
        <v>28</v>
      </c>
      <c r="BI6" s="3018"/>
      <c r="BJ6" s="3018"/>
      <c r="BK6" s="3018"/>
      <c r="BL6" s="3018"/>
      <c r="BM6" s="3019"/>
      <c r="BN6" s="3020" t="s">
        <v>29</v>
      </c>
      <c r="BO6" s="3020"/>
      <c r="BP6" s="3020" t="s">
        <v>30</v>
      </c>
      <c r="BQ6" s="3020"/>
      <c r="BR6" s="3021" t="s">
        <v>31</v>
      </c>
    </row>
    <row r="7" spans="1:70" s="1490" customFormat="1" ht="144.75" customHeight="1" x14ac:dyDescent="0.25">
      <c r="A7" s="3011"/>
      <c r="B7" s="3012"/>
      <c r="C7" s="3012"/>
      <c r="D7" s="3012"/>
      <c r="E7" s="3012"/>
      <c r="F7" s="3012"/>
      <c r="G7" s="3012"/>
      <c r="H7" s="3012"/>
      <c r="I7" s="3012"/>
      <c r="J7" s="3012"/>
      <c r="K7" s="3012"/>
      <c r="L7" s="3012"/>
      <c r="M7" s="3012"/>
      <c r="N7" s="3012"/>
      <c r="O7" s="3012"/>
      <c r="P7" s="3012"/>
      <c r="Q7" s="3012"/>
      <c r="R7" s="3013"/>
      <c r="S7" s="3014"/>
      <c r="T7" s="3012"/>
      <c r="U7" s="3012"/>
      <c r="V7" s="3012"/>
      <c r="W7" s="3015" t="s">
        <v>1016</v>
      </c>
      <c r="X7" s="3015" t="s">
        <v>35</v>
      </c>
      <c r="Y7" s="3015" t="s">
        <v>36</v>
      </c>
      <c r="Z7" s="3027"/>
      <c r="AA7" s="3030"/>
      <c r="AB7" s="3022" t="s">
        <v>37</v>
      </c>
      <c r="AC7" s="3023"/>
      <c r="AD7" s="3024" t="s">
        <v>38</v>
      </c>
      <c r="AE7" s="3025"/>
      <c r="AF7" s="3022" t="s">
        <v>39</v>
      </c>
      <c r="AG7" s="3023"/>
      <c r="AH7" s="3022" t="s">
        <v>40</v>
      </c>
      <c r="AI7" s="3023"/>
      <c r="AJ7" s="3022" t="s">
        <v>201</v>
      </c>
      <c r="AK7" s="3023"/>
      <c r="AL7" s="3022" t="s">
        <v>42</v>
      </c>
      <c r="AM7" s="3023"/>
      <c r="AN7" s="3022" t="s">
        <v>43</v>
      </c>
      <c r="AO7" s="3023"/>
      <c r="AP7" s="3022" t="s">
        <v>44</v>
      </c>
      <c r="AQ7" s="3023"/>
      <c r="AR7" s="3022" t="s">
        <v>45</v>
      </c>
      <c r="AS7" s="3023"/>
      <c r="AT7" s="3022" t="s">
        <v>46</v>
      </c>
      <c r="AU7" s="3023"/>
      <c r="AV7" s="3022" t="s">
        <v>47</v>
      </c>
      <c r="AW7" s="3023"/>
      <c r="AX7" s="3022" t="s">
        <v>1017</v>
      </c>
      <c r="AY7" s="3023"/>
      <c r="AZ7" s="3022" t="s">
        <v>49</v>
      </c>
      <c r="BA7" s="3023"/>
      <c r="BB7" s="3022" t="s">
        <v>50</v>
      </c>
      <c r="BC7" s="3023"/>
      <c r="BD7" s="3055" t="s">
        <v>51</v>
      </c>
      <c r="BE7" s="3056"/>
      <c r="BF7" s="3016"/>
      <c r="BG7" s="3016"/>
      <c r="BH7" s="3049" t="s">
        <v>112</v>
      </c>
      <c r="BI7" s="3057" t="s">
        <v>53</v>
      </c>
      <c r="BJ7" s="3049" t="s">
        <v>54</v>
      </c>
      <c r="BK7" s="3048" t="s">
        <v>55</v>
      </c>
      <c r="BL7" s="3049" t="s">
        <v>56</v>
      </c>
      <c r="BM7" s="3050" t="s">
        <v>57</v>
      </c>
      <c r="BN7" s="3020"/>
      <c r="BO7" s="3020"/>
      <c r="BP7" s="3020"/>
      <c r="BQ7" s="3020"/>
      <c r="BR7" s="3021"/>
    </row>
    <row r="8" spans="1:70" s="1490" customFormat="1" ht="26.25" customHeight="1" x14ac:dyDescent="0.25">
      <c r="A8" s="3011"/>
      <c r="B8" s="3012"/>
      <c r="C8" s="3012"/>
      <c r="D8" s="3012"/>
      <c r="E8" s="3012"/>
      <c r="F8" s="3012"/>
      <c r="G8" s="3012"/>
      <c r="H8" s="3012"/>
      <c r="I8" s="3012"/>
      <c r="J8" s="3012"/>
      <c r="K8" s="3012"/>
      <c r="L8" s="3012"/>
      <c r="M8" s="1409" t="s">
        <v>32</v>
      </c>
      <c r="N8" s="1409" t="s">
        <v>33</v>
      </c>
      <c r="O8" s="3012"/>
      <c r="P8" s="3012"/>
      <c r="Q8" s="3012"/>
      <c r="R8" s="3013"/>
      <c r="S8" s="3014"/>
      <c r="T8" s="3012"/>
      <c r="U8" s="3012"/>
      <c r="V8" s="3012"/>
      <c r="W8" s="3015"/>
      <c r="X8" s="3015"/>
      <c r="Y8" s="3015"/>
      <c r="Z8" s="3028"/>
      <c r="AA8" s="3031"/>
      <c r="AB8" s="1491" t="s">
        <v>32</v>
      </c>
      <c r="AC8" s="1491" t="s">
        <v>33</v>
      </c>
      <c r="AD8" s="1491" t="s">
        <v>32</v>
      </c>
      <c r="AE8" s="1491" t="s">
        <v>33</v>
      </c>
      <c r="AF8" s="1491" t="s">
        <v>32</v>
      </c>
      <c r="AG8" s="1491" t="s">
        <v>33</v>
      </c>
      <c r="AH8" s="1491" t="s">
        <v>32</v>
      </c>
      <c r="AI8" s="1491" t="s">
        <v>33</v>
      </c>
      <c r="AJ8" s="1491" t="s">
        <v>32</v>
      </c>
      <c r="AK8" s="1491" t="s">
        <v>33</v>
      </c>
      <c r="AL8" s="1491" t="s">
        <v>32</v>
      </c>
      <c r="AM8" s="1491" t="s">
        <v>33</v>
      </c>
      <c r="AN8" s="1491" t="s">
        <v>32</v>
      </c>
      <c r="AO8" s="1491" t="s">
        <v>33</v>
      </c>
      <c r="AP8" s="1491" t="s">
        <v>32</v>
      </c>
      <c r="AQ8" s="1491" t="s">
        <v>33</v>
      </c>
      <c r="AR8" s="1491" t="s">
        <v>32</v>
      </c>
      <c r="AS8" s="1491" t="s">
        <v>33</v>
      </c>
      <c r="AT8" s="1491" t="s">
        <v>32</v>
      </c>
      <c r="AU8" s="1491" t="s">
        <v>33</v>
      </c>
      <c r="AV8" s="1491" t="s">
        <v>32</v>
      </c>
      <c r="AW8" s="1491" t="s">
        <v>33</v>
      </c>
      <c r="AX8" s="1491" t="s">
        <v>32</v>
      </c>
      <c r="AY8" s="1491" t="s">
        <v>33</v>
      </c>
      <c r="AZ8" s="1491" t="s">
        <v>32</v>
      </c>
      <c r="BA8" s="1491" t="s">
        <v>33</v>
      </c>
      <c r="BB8" s="1491" t="s">
        <v>32</v>
      </c>
      <c r="BC8" s="1491" t="s">
        <v>33</v>
      </c>
      <c r="BD8" s="1491" t="s">
        <v>32</v>
      </c>
      <c r="BE8" s="1491" t="s">
        <v>33</v>
      </c>
      <c r="BF8" s="1492" t="s">
        <v>32</v>
      </c>
      <c r="BG8" s="1492" t="s">
        <v>33</v>
      </c>
      <c r="BH8" s="3049"/>
      <c r="BI8" s="3057"/>
      <c r="BJ8" s="3049"/>
      <c r="BK8" s="3048"/>
      <c r="BL8" s="3049"/>
      <c r="BM8" s="3051"/>
      <c r="BN8" s="1491" t="s">
        <v>32</v>
      </c>
      <c r="BO8" s="1491" t="s">
        <v>33</v>
      </c>
      <c r="BP8" s="1491" t="s">
        <v>32</v>
      </c>
      <c r="BQ8" s="1491" t="s">
        <v>33</v>
      </c>
      <c r="BR8" s="1493"/>
    </row>
    <row r="9" spans="1:70" ht="24.75" customHeight="1" x14ac:dyDescent="0.2">
      <c r="A9" s="1494">
        <v>5</v>
      </c>
      <c r="B9" s="3052" t="s">
        <v>58</v>
      </c>
      <c r="C9" s="3052"/>
      <c r="D9" s="3052"/>
      <c r="E9" s="3052"/>
      <c r="F9" s="3052"/>
      <c r="G9" s="3052"/>
      <c r="H9" s="3052"/>
      <c r="I9" s="3052"/>
      <c r="J9" s="3052"/>
      <c r="K9" s="3052"/>
      <c r="L9" s="791"/>
      <c r="M9" s="791"/>
      <c r="N9" s="791"/>
      <c r="O9" s="792"/>
      <c r="P9" s="792"/>
      <c r="Q9" s="791"/>
      <c r="R9" s="1495"/>
      <c r="S9" s="1496"/>
      <c r="T9" s="791"/>
      <c r="U9" s="791"/>
      <c r="V9" s="1497"/>
      <c r="W9" s="1498"/>
      <c r="X9" s="1498"/>
      <c r="Y9" s="1498"/>
      <c r="Z9" s="796"/>
      <c r="AA9" s="792"/>
      <c r="AB9" s="789"/>
      <c r="AC9" s="789"/>
      <c r="AD9" s="789"/>
      <c r="AE9" s="789"/>
      <c r="AF9" s="789"/>
      <c r="AG9" s="789"/>
      <c r="AH9" s="789"/>
      <c r="AI9" s="789"/>
      <c r="AJ9" s="789"/>
      <c r="AK9" s="789"/>
      <c r="AL9" s="789"/>
      <c r="AM9" s="789"/>
      <c r="AN9" s="789"/>
      <c r="AO9" s="789"/>
      <c r="AP9" s="789"/>
      <c r="AQ9" s="789"/>
      <c r="AR9" s="789"/>
      <c r="AS9" s="789"/>
      <c r="AT9" s="789"/>
      <c r="AU9" s="789"/>
      <c r="AV9" s="789"/>
      <c r="AW9" s="789"/>
      <c r="AX9" s="789"/>
      <c r="AY9" s="789"/>
      <c r="AZ9" s="789"/>
      <c r="BA9" s="789"/>
      <c r="BB9" s="789"/>
      <c r="BC9" s="789"/>
      <c r="BD9" s="789"/>
      <c r="BE9" s="789"/>
      <c r="BF9" s="789"/>
      <c r="BG9" s="789"/>
      <c r="BH9" s="789"/>
      <c r="BI9" s="789"/>
      <c r="BJ9" s="789"/>
      <c r="BK9" s="789"/>
      <c r="BL9" s="789"/>
      <c r="BM9" s="789"/>
      <c r="BN9" s="1499"/>
      <c r="BO9" s="1499"/>
      <c r="BP9" s="1499"/>
      <c r="BQ9" s="1499"/>
      <c r="BR9" s="798"/>
    </row>
    <row r="10" spans="1:70" s="48" customFormat="1" ht="24.75" customHeight="1" x14ac:dyDescent="0.2">
      <c r="A10" s="1500"/>
      <c r="B10" s="1501"/>
      <c r="C10" s="1502"/>
      <c r="D10" s="1503">
        <v>26</v>
      </c>
      <c r="E10" s="3053" t="s">
        <v>59</v>
      </c>
      <c r="F10" s="3053"/>
      <c r="G10" s="3053"/>
      <c r="H10" s="3053"/>
      <c r="I10" s="3053"/>
      <c r="J10" s="3053"/>
      <c r="K10" s="3053"/>
      <c r="L10" s="803"/>
      <c r="M10" s="803"/>
      <c r="N10" s="803"/>
      <c r="O10" s="804"/>
      <c r="P10" s="804"/>
      <c r="Q10" s="803"/>
      <c r="R10" s="1504"/>
      <c r="S10" s="1505"/>
      <c r="T10" s="803"/>
      <c r="U10" s="803"/>
      <c r="V10" s="1506"/>
      <c r="W10" s="1507"/>
      <c r="X10" s="1507"/>
      <c r="Y10" s="1507"/>
      <c r="Z10" s="810"/>
      <c r="AA10" s="804"/>
      <c r="AB10" s="802"/>
      <c r="AC10" s="802"/>
      <c r="AD10" s="802"/>
      <c r="AE10" s="802"/>
      <c r="AF10" s="802"/>
      <c r="AG10" s="802"/>
      <c r="AH10" s="802"/>
      <c r="AI10" s="802"/>
      <c r="AJ10" s="802"/>
      <c r="AK10" s="802"/>
      <c r="AL10" s="802"/>
      <c r="AM10" s="802"/>
      <c r="AN10" s="802"/>
      <c r="AO10" s="802"/>
      <c r="AP10" s="802"/>
      <c r="AQ10" s="802"/>
      <c r="AR10" s="802"/>
      <c r="AS10" s="802"/>
      <c r="AT10" s="802"/>
      <c r="AU10" s="802"/>
      <c r="AV10" s="802"/>
      <c r="AW10" s="802"/>
      <c r="AX10" s="802"/>
      <c r="AY10" s="802"/>
      <c r="AZ10" s="802"/>
      <c r="BA10" s="802"/>
      <c r="BB10" s="802"/>
      <c r="BC10" s="802"/>
      <c r="BD10" s="802"/>
      <c r="BE10" s="802"/>
      <c r="BF10" s="802"/>
      <c r="BG10" s="802"/>
      <c r="BH10" s="802"/>
      <c r="BI10" s="802"/>
      <c r="BJ10" s="802"/>
      <c r="BK10" s="802"/>
      <c r="BL10" s="802"/>
      <c r="BM10" s="802"/>
      <c r="BN10" s="811"/>
      <c r="BO10" s="811"/>
      <c r="BP10" s="811"/>
      <c r="BQ10" s="811"/>
      <c r="BR10" s="812"/>
    </row>
    <row r="11" spans="1:70" s="48" customFormat="1" ht="24.75" customHeight="1" thickBot="1" x14ac:dyDescent="0.25">
      <c r="A11" s="1508"/>
      <c r="B11" s="1509"/>
      <c r="C11" s="1509"/>
      <c r="D11" s="1510"/>
      <c r="E11" s="1501"/>
      <c r="F11" s="1502"/>
      <c r="G11" s="1511">
        <v>83</v>
      </c>
      <c r="H11" s="3054" t="s">
        <v>314</v>
      </c>
      <c r="I11" s="3054"/>
      <c r="J11" s="3054"/>
      <c r="K11" s="3054"/>
      <c r="L11" s="815"/>
      <c r="M11" s="815"/>
      <c r="N11" s="815"/>
      <c r="O11" s="816"/>
      <c r="P11" s="816"/>
      <c r="Q11" s="815"/>
      <c r="R11" s="1512"/>
      <c r="S11" s="1513"/>
      <c r="T11" s="815"/>
      <c r="U11" s="815"/>
      <c r="V11" s="1514"/>
      <c r="W11" s="1515"/>
      <c r="X11" s="1515"/>
      <c r="Y11" s="1515"/>
      <c r="Z11" s="821"/>
      <c r="AA11" s="816"/>
      <c r="AB11" s="822"/>
      <c r="AC11" s="822"/>
      <c r="AD11" s="822"/>
      <c r="AE11" s="822"/>
      <c r="AF11" s="822"/>
      <c r="AG11" s="822"/>
      <c r="AH11" s="822"/>
      <c r="AI11" s="822"/>
      <c r="AJ11" s="822"/>
      <c r="AK11" s="822"/>
      <c r="AL11" s="822"/>
      <c r="AM11" s="822"/>
      <c r="AN11" s="822"/>
      <c r="AO11" s="822"/>
      <c r="AP11" s="822"/>
      <c r="AQ11" s="822"/>
      <c r="AR11" s="822"/>
      <c r="AS11" s="822"/>
      <c r="AT11" s="822"/>
      <c r="AU11" s="822"/>
      <c r="AV11" s="822"/>
      <c r="AW11" s="822"/>
      <c r="AX11" s="822"/>
      <c r="AY11" s="822"/>
      <c r="AZ11" s="822"/>
      <c r="BA11" s="822"/>
      <c r="BB11" s="822"/>
      <c r="BC11" s="822"/>
      <c r="BD11" s="822"/>
      <c r="BE11" s="822"/>
      <c r="BF11" s="822"/>
      <c r="BG11" s="822"/>
      <c r="BH11" s="822"/>
      <c r="BI11" s="822"/>
      <c r="BJ11" s="822"/>
      <c r="BK11" s="822"/>
      <c r="BL11" s="822"/>
      <c r="BM11" s="822"/>
      <c r="BN11" s="823"/>
      <c r="BO11" s="823"/>
      <c r="BP11" s="823"/>
      <c r="BQ11" s="823"/>
      <c r="BR11" s="824"/>
    </row>
    <row r="12" spans="1:70" ht="201" customHeight="1" x14ac:dyDescent="0.2">
      <c r="A12" s="1516"/>
      <c r="B12" s="1517"/>
      <c r="C12" s="1517"/>
      <c r="D12" s="1518"/>
      <c r="E12" s="1519"/>
      <c r="F12" s="1520"/>
      <c r="G12" s="1518"/>
      <c r="H12" s="1519"/>
      <c r="I12" s="1519"/>
      <c r="J12" s="3044">
        <v>246</v>
      </c>
      <c r="K12" s="3046" t="s">
        <v>1018</v>
      </c>
      <c r="L12" s="3046" t="s">
        <v>1019</v>
      </c>
      <c r="M12" s="3044">
        <v>13</v>
      </c>
      <c r="N12" s="3044">
        <v>13</v>
      </c>
      <c r="O12" s="3044" t="s">
        <v>1020</v>
      </c>
      <c r="P12" s="3044" t="s">
        <v>1021</v>
      </c>
      <c r="Q12" s="3046" t="s">
        <v>1022</v>
      </c>
      <c r="R12" s="3062">
        <v>1</v>
      </c>
      <c r="S12" s="3064">
        <f>SUM(W12:W33)</f>
        <v>17500000</v>
      </c>
      <c r="T12" s="3066" t="s">
        <v>1023</v>
      </c>
      <c r="U12" s="1521" t="s">
        <v>1024</v>
      </c>
      <c r="V12" s="1522" t="s">
        <v>1025</v>
      </c>
      <c r="W12" s="1523">
        <v>1200000</v>
      </c>
      <c r="X12" s="1523"/>
      <c r="Y12" s="1523"/>
      <c r="Z12" s="1524">
        <v>20</v>
      </c>
      <c r="AA12" s="1525" t="s">
        <v>1026</v>
      </c>
      <c r="AB12" s="3058">
        <v>294321</v>
      </c>
      <c r="AC12" s="3058">
        <v>294321</v>
      </c>
      <c r="AD12" s="3060">
        <v>283947</v>
      </c>
      <c r="AE12" s="3060">
        <v>283947</v>
      </c>
      <c r="AF12" s="3058">
        <v>135754</v>
      </c>
      <c r="AG12" s="3058">
        <v>135754</v>
      </c>
      <c r="AH12" s="3058">
        <v>44640</v>
      </c>
      <c r="AI12" s="3058">
        <v>44640</v>
      </c>
      <c r="AJ12" s="3058">
        <v>308178</v>
      </c>
      <c r="AK12" s="3058">
        <v>308178</v>
      </c>
      <c r="AL12" s="3058">
        <v>89696</v>
      </c>
      <c r="AM12" s="3058">
        <v>89696</v>
      </c>
      <c r="AN12" s="3058">
        <v>2145</v>
      </c>
      <c r="AO12" s="3058">
        <v>2145</v>
      </c>
      <c r="AP12" s="3058">
        <v>12718</v>
      </c>
      <c r="AQ12" s="3058">
        <v>12718</v>
      </c>
      <c r="AR12" s="3058">
        <v>26</v>
      </c>
      <c r="AS12" s="3058">
        <v>26</v>
      </c>
      <c r="AT12" s="3058">
        <v>37</v>
      </c>
      <c r="AU12" s="3058">
        <v>37</v>
      </c>
      <c r="AV12" s="3058"/>
      <c r="AW12" s="3058"/>
      <c r="AX12" s="3058"/>
      <c r="AY12" s="3058"/>
      <c r="AZ12" s="3058">
        <v>54612</v>
      </c>
      <c r="BA12" s="3058">
        <v>54612</v>
      </c>
      <c r="BB12" s="3058">
        <v>21944</v>
      </c>
      <c r="BC12" s="3058">
        <v>21944</v>
      </c>
      <c r="BD12" s="3058">
        <v>1010</v>
      </c>
      <c r="BE12" s="3058">
        <v>1010</v>
      </c>
      <c r="BF12" s="3058">
        <f>+AB12+AD12</f>
        <v>578268</v>
      </c>
      <c r="BG12" s="3058">
        <f>+AC12+AE12</f>
        <v>578268</v>
      </c>
      <c r="BH12" s="3058">
        <v>1</v>
      </c>
      <c r="BI12" s="3073">
        <f>SUM(X12:X33)</f>
        <v>13990000</v>
      </c>
      <c r="BJ12" s="3075">
        <f>SUM(Y12:Y33)</f>
        <v>13990000</v>
      </c>
      <c r="BK12" s="3076">
        <f>BJ12/BI12</f>
        <v>1</v>
      </c>
      <c r="BL12" s="3078" t="s">
        <v>656</v>
      </c>
      <c r="BM12" s="3082" t="s">
        <v>1027</v>
      </c>
      <c r="BN12" s="3070">
        <v>43467</v>
      </c>
      <c r="BO12" s="3070">
        <v>43486</v>
      </c>
      <c r="BP12" s="3070">
        <v>43830</v>
      </c>
      <c r="BQ12" s="3070">
        <v>43636</v>
      </c>
      <c r="BR12" s="3071" t="s">
        <v>1028</v>
      </c>
    </row>
    <row r="13" spans="1:70" ht="45.75" customHeight="1" x14ac:dyDescent="0.2">
      <c r="A13" s="1516"/>
      <c r="B13" s="1517"/>
      <c r="C13" s="1517"/>
      <c r="D13" s="1526"/>
      <c r="E13" s="1517"/>
      <c r="F13" s="1527"/>
      <c r="G13" s="1526"/>
      <c r="H13" s="1517"/>
      <c r="I13" s="1517"/>
      <c r="J13" s="3045"/>
      <c r="K13" s="3047"/>
      <c r="L13" s="3047"/>
      <c r="M13" s="3045"/>
      <c r="N13" s="3045"/>
      <c r="O13" s="3045"/>
      <c r="P13" s="3045"/>
      <c r="Q13" s="3047"/>
      <c r="R13" s="3063"/>
      <c r="S13" s="3065"/>
      <c r="T13" s="3067"/>
      <c r="U13" s="3069" t="s">
        <v>1029</v>
      </c>
      <c r="V13" s="1528" t="s">
        <v>1030</v>
      </c>
      <c r="W13" s="1529">
        <v>360000</v>
      </c>
      <c r="X13" s="1529">
        <v>360000</v>
      </c>
      <c r="Y13" s="1529">
        <v>360000</v>
      </c>
      <c r="Z13" s="1530">
        <v>20</v>
      </c>
      <c r="AA13" s="1531" t="s">
        <v>1026</v>
      </c>
      <c r="AB13" s="3059"/>
      <c r="AC13" s="3059"/>
      <c r="AD13" s="3061"/>
      <c r="AE13" s="3061"/>
      <c r="AF13" s="3059"/>
      <c r="AG13" s="3059"/>
      <c r="AH13" s="3059"/>
      <c r="AI13" s="3059"/>
      <c r="AJ13" s="3059"/>
      <c r="AK13" s="3059"/>
      <c r="AL13" s="3059"/>
      <c r="AM13" s="3059"/>
      <c r="AN13" s="3059"/>
      <c r="AO13" s="3059"/>
      <c r="AP13" s="3059"/>
      <c r="AQ13" s="3059"/>
      <c r="AR13" s="3059"/>
      <c r="AS13" s="3059"/>
      <c r="AT13" s="3059"/>
      <c r="AU13" s="3059"/>
      <c r="AV13" s="3059"/>
      <c r="AW13" s="3059"/>
      <c r="AX13" s="3059"/>
      <c r="AY13" s="3059"/>
      <c r="AZ13" s="3059"/>
      <c r="BA13" s="3059"/>
      <c r="BB13" s="3059"/>
      <c r="BC13" s="3059"/>
      <c r="BD13" s="3059"/>
      <c r="BE13" s="3059"/>
      <c r="BF13" s="3059"/>
      <c r="BG13" s="3059"/>
      <c r="BH13" s="3059"/>
      <c r="BI13" s="3074"/>
      <c r="BJ13" s="3059"/>
      <c r="BK13" s="3077"/>
      <c r="BL13" s="3079"/>
      <c r="BM13" s="3083"/>
      <c r="BN13" s="3070"/>
      <c r="BO13" s="3070"/>
      <c r="BP13" s="3070"/>
      <c r="BQ13" s="3070"/>
      <c r="BR13" s="3072"/>
    </row>
    <row r="14" spans="1:70" ht="45.75" customHeight="1" x14ac:dyDescent="0.2">
      <c r="A14" s="1516"/>
      <c r="B14" s="1517"/>
      <c r="C14" s="1517"/>
      <c r="D14" s="1526"/>
      <c r="E14" s="1517"/>
      <c r="F14" s="1527"/>
      <c r="G14" s="1526"/>
      <c r="H14" s="1517"/>
      <c r="I14" s="1517"/>
      <c r="J14" s="3045"/>
      <c r="K14" s="3047"/>
      <c r="L14" s="3047"/>
      <c r="M14" s="3045"/>
      <c r="N14" s="3045"/>
      <c r="O14" s="3045"/>
      <c r="P14" s="3045"/>
      <c r="Q14" s="3047"/>
      <c r="R14" s="3063"/>
      <c r="S14" s="3065"/>
      <c r="T14" s="3067"/>
      <c r="U14" s="3069"/>
      <c r="V14" s="1528" t="s">
        <v>1031</v>
      </c>
      <c r="W14" s="1529">
        <v>300000</v>
      </c>
      <c r="X14" s="1529">
        <v>300000</v>
      </c>
      <c r="Y14" s="1529">
        <v>300000</v>
      </c>
      <c r="Z14" s="1530">
        <v>20</v>
      </c>
      <c r="AA14" s="1531" t="s">
        <v>1026</v>
      </c>
      <c r="AB14" s="3059"/>
      <c r="AC14" s="3059"/>
      <c r="AD14" s="3061"/>
      <c r="AE14" s="3061"/>
      <c r="AF14" s="3059"/>
      <c r="AG14" s="3059"/>
      <c r="AH14" s="3059"/>
      <c r="AI14" s="3059"/>
      <c r="AJ14" s="3059"/>
      <c r="AK14" s="3059"/>
      <c r="AL14" s="3059"/>
      <c r="AM14" s="3059"/>
      <c r="AN14" s="3059"/>
      <c r="AO14" s="3059"/>
      <c r="AP14" s="3059"/>
      <c r="AQ14" s="3059"/>
      <c r="AR14" s="3059"/>
      <c r="AS14" s="3059"/>
      <c r="AT14" s="3059"/>
      <c r="AU14" s="3059"/>
      <c r="AV14" s="3059"/>
      <c r="AW14" s="3059"/>
      <c r="AX14" s="3059"/>
      <c r="AY14" s="3059"/>
      <c r="AZ14" s="3059"/>
      <c r="BA14" s="3059"/>
      <c r="BB14" s="3059"/>
      <c r="BC14" s="3059"/>
      <c r="BD14" s="3059"/>
      <c r="BE14" s="3059"/>
      <c r="BF14" s="3059"/>
      <c r="BG14" s="3059"/>
      <c r="BH14" s="3059"/>
      <c r="BI14" s="3074"/>
      <c r="BJ14" s="3059"/>
      <c r="BK14" s="3077"/>
      <c r="BL14" s="3079"/>
      <c r="BM14" s="3083"/>
      <c r="BN14" s="3070"/>
      <c r="BO14" s="3070"/>
      <c r="BP14" s="3070"/>
      <c r="BQ14" s="3070"/>
      <c r="BR14" s="3072"/>
    </row>
    <row r="15" spans="1:70" ht="70.5" customHeight="1" x14ac:dyDescent="0.2">
      <c r="A15" s="1516"/>
      <c r="B15" s="1517"/>
      <c r="C15" s="1517"/>
      <c r="D15" s="1526"/>
      <c r="E15" s="1517"/>
      <c r="F15" s="1527"/>
      <c r="G15" s="1526"/>
      <c r="H15" s="1517"/>
      <c r="I15" s="1517"/>
      <c r="J15" s="3045"/>
      <c r="K15" s="3047"/>
      <c r="L15" s="3047"/>
      <c r="M15" s="3045"/>
      <c r="N15" s="3045"/>
      <c r="O15" s="3045"/>
      <c r="P15" s="3045"/>
      <c r="Q15" s="3047"/>
      <c r="R15" s="3063"/>
      <c r="S15" s="3065"/>
      <c r="T15" s="3067"/>
      <c r="U15" s="3069"/>
      <c r="V15" s="1532" t="s">
        <v>1032</v>
      </c>
      <c r="W15" s="1529">
        <v>360000</v>
      </c>
      <c r="X15" s="1529">
        <v>360000</v>
      </c>
      <c r="Y15" s="1529">
        <v>360000</v>
      </c>
      <c r="Z15" s="1530">
        <v>20</v>
      </c>
      <c r="AA15" s="1531" t="s">
        <v>1026</v>
      </c>
      <c r="AB15" s="3059"/>
      <c r="AC15" s="3059"/>
      <c r="AD15" s="3061"/>
      <c r="AE15" s="3061"/>
      <c r="AF15" s="3059"/>
      <c r="AG15" s="3059"/>
      <c r="AH15" s="3059"/>
      <c r="AI15" s="3059"/>
      <c r="AJ15" s="3059"/>
      <c r="AK15" s="3059"/>
      <c r="AL15" s="3059"/>
      <c r="AM15" s="3059"/>
      <c r="AN15" s="3059"/>
      <c r="AO15" s="3059"/>
      <c r="AP15" s="3059"/>
      <c r="AQ15" s="3059"/>
      <c r="AR15" s="3059"/>
      <c r="AS15" s="3059"/>
      <c r="AT15" s="3059"/>
      <c r="AU15" s="3059"/>
      <c r="AV15" s="3059"/>
      <c r="AW15" s="3059"/>
      <c r="AX15" s="3059"/>
      <c r="AY15" s="3059"/>
      <c r="AZ15" s="3059"/>
      <c r="BA15" s="3059"/>
      <c r="BB15" s="3059"/>
      <c r="BC15" s="3059"/>
      <c r="BD15" s="3059"/>
      <c r="BE15" s="3059"/>
      <c r="BF15" s="3059"/>
      <c r="BG15" s="3059"/>
      <c r="BH15" s="3059"/>
      <c r="BI15" s="3074"/>
      <c r="BJ15" s="3059"/>
      <c r="BK15" s="3077"/>
      <c r="BL15" s="3079"/>
      <c r="BM15" s="3083"/>
      <c r="BN15" s="3070"/>
      <c r="BO15" s="3070"/>
      <c r="BP15" s="3070"/>
      <c r="BQ15" s="3070"/>
      <c r="BR15" s="3072"/>
    </row>
    <row r="16" spans="1:70" ht="45.75" customHeight="1" x14ac:dyDescent="0.2">
      <c r="A16" s="1516"/>
      <c r="B16" s="1517"/>
      <c r="C16" s="1517"/>
      <c r="D16" s="1526"/>
      <c r="E16" s="1517"/>
      <c r="F16" s="1527"/>
      <c r="G16" s="1526"/>
      <c r="H16" s="1517"/>
      <c r="I16" s="1517"/>
      <c r="J16" s="3045"/>
      <c r="K16" s="3047"/>
      <c r="L16" s="3047"/>
      <c r="M16" s="3045"/>
      <c r="N16" s="3045"/>
      <c r="O16" s="3045"/>
      <c r="P16" s="3045"/>
      <c r="Q16" s="3047"/>
      <c r="R16" s="3063"/>
      <c r="S16" s="3065"/>
      <c r="T16" s="3067"/>
      <c r="U16" s="3069"/>
      <c r="V16" s="1532" t="s">
        <v>1033</v>
      </c>
      <c r="W16" s="1529">
        <v>360000</v>
      </c>
      <c r="X16" s="1529">
        <v>360000</v>
      </c>
      <c r="Y16" s="1529">
        <v>360000</v>
      </c>
      <c r="Z16" s="1530">
        <v>20</v>
      </c>
      <c r="AA16" s="1531" t="s">
        <v>1026</v>
      </c>
      <c r="AB16" s="3059"/>
      <c r="AC16" s="3059"/>
      <c r="AD16" s="3061"/>
      <c r="AE16" s="3061"/>
      <c r="AF16" s="3059"/>
      <c r="AG16" s="3059"/>
      <c r="AH16" s="3059"/>
      <c r="AI16" s="3059"/>
      <c r="AJ16" s="3059"/>
      <c r="AK16" s="3059"/>
      <c r="AL16" s="3059"/>
      <c r="AM16" s="3059"/>
      <c r="AN16" s="3059"/>
      <c r="AO16" s="3059"/>
      <c r="AP16" s="3059"/>
      <c r="AQ16" s="3059"/>
      <c r="AR16" s="3059"/>
      <c r="AS16" s="3059"/>
      <c r="AT16" s="3059"/>
      <c r="AU16" s="3059"/>
      <c r="AV16" s="3059"/>
      <c r="AW16" s="3059"/>
      <c r="AX16" s="3059"/>
      <c r="AY16" s="3059"/>
      <c r="AZ16" s="3059"/>
      <c r="BA16" s="3059"/>
      <c r="BB16" s="3059"/>
      <c r="BC16" s="3059"/>
      <c r="BD16" s="3059"/>
      <c r="BE16" s="3059"/>
      <c r="BF16" s="3059"/>
      <c r="BG16" s="3059"/>
      <c r="BH16" s="3059"/>
      <c r="BI16" s="3074"/>
      <c r="BJ16" s="3059"/>
      <c r="BK16" s="3077"/>
      <c r="BL16" s="3079"/>
      <c r="BM16" s="3083"/>
      <c r="BN16" s="3070"/>
      <c r="BO16" s="3070"/>
      <c r="BP16" s="3070"/>
      <c r="BQ16" s="3070"/>
      <c r="BR16" s="3072"/>
    </row>
    <row r="17" spans="1:70" ht="156" customHeight="1" x14ac:dyDescent="0.2">
      <c r="A17" s="1516"/>
      <c r="B17" s="1517"/>
      <c r="C17" s="1517"/>
      <c r="D17" s="1526"/>
      <c r="E17" s="1517"/>
      <c r="F17" s="1527"/>
      <c r="G17" s="1526"/>
      <c r="H17" s="1517"/>
      <c r="I17" s="1517"/>
      <c r="J17" s="3045"/>
      <c r="K17" s="3047"/>
      <c r="L17" s="3047"/>
      <c r="M17" s="3045"/>
      <c r="N17" s="3045"/>
      <c r="O17" s="3045"/>
      <c r="P17" s="3045"/>
      <c r="Q17" s="3047"/>
      <c r="R17" s="3063"/>
      <c r="S17" s="3065"/>
      <c r="T17" s="3067"/>
      <c r="U17" s="3069"/>
      <c r="V17" s="1532" t="s">
        <v>1034</v>
      </c>
      <c r="W17" s="1529">
        <v>360000</v>
      </c>
      <c r="X17" s="1529">
        <v>360000</v>
      </c>
      <c r="Y17" s="1529">
        <v>360000</v>
      </c>
      <c r="Z17" s="1530">
        <v>20</v>
      </c>
      <c r="AA17" s="1531" t="s">
        <v>1026</v>
      </c>
      <c r="AB17" s="3059"/>
      <c r="AC17" s="3059"/>
      <c r="AD17" s="3061"/>
      <c r="AE17" s="3061"/>
      <c r="AF17" s="3059"/>
      <c r="AG17" s="3059"/>
      <c r="AH17" s="3059"/>
      <c r="AI17" s="3059"/>
      <c r="AJ17" s="3059"/>
      <c r="AK17" s="3059"/>
      <c r="AL17" s="3059"/>
      <c r="AM17" s="3059"/>
      <c r="AN17" s="3059"/>
      <c r="AO17" s="3059"/>
      <c r="AP17" s="3059"/>
      <c r="AQ17" s="3059"/>
      <c r="AR17" s="3059"/>
      <c r="AS17" s="3059"/>
      <c r="AT17" s="3059"/>
      <c r="AU17" s="3059"/>
      <c r="AV17" s="3059"/>
      <c r="AW17" s="3059"/>
      <c r="AX17" s="3059"/>
      <c r="AY17" s="3059"/>
      <c r="AZ17" s="3059"/>
      <c r="BA17" s="3059"/>
      <c r="BB17" s="3059"/>
      <c r="BC17" s="3059"/>
      <c r="BD17" s="3059"/>
      <c r="BE17" s="3059"/>
      <c r="BF17" s="3059"/>
      <c r="BG17" s="3059"/>
      <c r="BH17" s="3059"/>
      <c r="BI17" s="3074"/>
      <c r="BJ17" s="3059"/>
      <c r="BK17" s="3077"/>
      <c r="BL17" s="3079"/>
      <c r="BM17" s="3083"/>
      <c r="BN17" s="3070"/>
      <c r="BO17" s="3070"/>
      <c r="BP17" s="3070"/>
      <c r="BQ17" s="3070"/>
      <c r="BR17" s="3072"/>
    </row>
    <row r="18" spans="1:70" ht="45.75" customHeight="1" x14ac:dyDescent="0.2">
      <c r="A18" s="1516"/>
      <c r="B18" s="1517"/>
      <c r="C18" s="1517"/>
      <c r="D18" s="1526"/>
      <c r="E18" s="1517"/>
      <c r="F18" s="1527"/>
      <c r="G18" s="1526"/>
      <c r="H18" s="1517"/>
      <c r="I18" s="1517"/>
      <c r="J18" s="3045"/>
      <c r="K18" s="3047"/>
      <c r="L18" s="3047"/>
      <c r="M18" s="3045"/>
      <c r="N18" s="3045"/>
      <c r="O18" s="3045"/>
      <c r="P18" s="3045"/>
      <c r="Q18" s="3047"/>
      <c r="R18" s="3063"/>
      <c r="S18" s="3065"/>
      <c r="T18" s="3067"/>
      <c r="U18" s="3069"/>
      <c r="V18" s="1532" t="s">
        <v>1035</v>
      </c>
      <c r="W18" s="1529">
        <v>360000</v>
      </c>
      <c r="X18" s="1529">
        <v>360000</v>
      </c>
      <c r="Y18" s="1529">
        <v>360000</v>
      </c>
      <c r="Z18" s="1530">
        <v>20</v>
      </c>
      <c r="AA18" s="1531" t="s">
        <v>1026</v>
      </c>
      <c r="AB18" s="3059"/>
      <c r="AC18" s="3059"/>
      <c r="AD18" s="3061"/>
      <c r="AE18" s="3061"/>
      <c r="AF18" s="3059"/>
      <c r="AG18" s="3059"/>
      <c r="AH18" s="3059"/>
      <c r="AI18" s="3059"/>
      <c r="AJ18" s="3059"/>
      <c r="AK18" s="3059"/>
      <c r="AL18" s="3059"/>
      <c r="AM18" s="3059"/>
      <c r="AN18" s="3059"/>
      <c r="AO18" s="3059"/>
      <c r="AP18" s="3059"/>
      <c r="AQ18" s="3059"/>
      <c r="AR18" s="3059"/>
      <c r="AS18" s="3059"/>
      <c r="AT18" s="3059"/>
      <c r="AU18" s="3059"/>
      <c r="AV18" s="3059"/>
      <c r="AW18" s="3059"/>
      <c r="AX18" s="3059"/>
      <c r="AY18" s="3059"/>
      <c r="AZ18" s="3059"/>
      <c r="BA18" s="3059"/>
      <c r="BB18" s="3059"/>
      <c r="BC18" s="3059"/>
      <c r="BD18" s="3059"/>
      <c r="BE18" s="3059"/>
      <c r="BF18" s="3059"/>
      <c r="BG18" s="3059"/>
      <c r="BH18" s="3059"/>
      <c r="BI18" s="3074"/>
      <c r="BJ18" s="3059"/>
      <c r="BK18" s="3077"/>
      <c r="BL18" s="3079"/>
      <c r="BM18" s="3083"/>
      <c r="BN18" s="3070"/>
      <c r="BO18" s="3070"/>
      <c r="BP18" s="3070"/>
      <c r="BQ18" s="3070"/>
      <c r="BR18" s="3072"/>
    </row>
    <row r="19" spans="1:70" ht="45.75" customHeight="1" x14ac:dyDescent="0.2">
      <c r="A19" s="1516"/>
      <c r="B19" s="1517"/>
      <c r="C19" s="1517"/>
      <c r="D19" s="1526"/>
      <c r="E19" s="1517"/>
      <c r="F19" s="1527"/>
      <c r="G19" s="1526"/>
      <c r="H19" s="1517"/>
      <c r="I19" s="1517"/>
      <c r="J19" s="3045"/>
      <c r="K19" s="3047"/>
      <c r="L19" s="3047"/>
      <c r="M19" s="3045"/>
      <c r="N19" s="3045"/>
      <c r="O19" s="3045"/>
      <c r="P19" s="3045"/>
      <c r="Q19" s="3047"/>
      <c r="R19" s="3063"/>
      <c r="S19" s="3065"/>
      <c r="T19" s="3067"/>
      <c r="U19" s="3069"/>
      <c r="V19" s="1532" t="s">
        <v>1036</v>
      </c>
      <c r="W19" s="1529">
        <v>360000</v>
      </c>
      <c r="X19" s="1529">
        <v>360000</v>
      </c>
      <c r="Y19" s="1529">
        <v>360000</v>
      </c>
      <c r="Z19" s="1530">
        <v>20</v>
      </c>
      <c r="AA19" s="1531" t="s">
        <v>1026</v>
      </c>
      <c r="AB19" s="3059"/>
      <c r="AC19" s="3059"/>
      <c r="AD19" s="3061"/>
      <c r="AE19" s="3061"/>
      <c r="AF19" s="3059"/>
      <c r="AG19" s="3059"/>
      <c r="AH19" s="3059"/>
      <c r="AI19" s="3059"/>
      <c r="AJ19" s="3059"/>
      <c r="AK19" s="3059"/>
      <c r="AL19" s="3059"/>
      <c r="AM19" s="3059"/>
      <c r="AN19" s="3059"/>
      <c r="AO19" s="3059"/>
      <c r="AP19" s="3059"/>
      <c r="AQ19" s="3059"/>
      <c r="AR19" s="3059"/>
      <c r="AS19" s="3059"/>
      <c r="AT19" s="3059"/>
      <c r="AU19" s="3059"/>
      <c r="AV19" s="3059"/>
      <c r="AW19" s="3059"/>
      <c r="AX19" s="3059"/>
      <c r="AY19" s="3059"/>
      <c r="AZ19" s="3059"/>
      <c r="BA19" s="3059"/>
      <c r="BB19" s="3059"/>
      <c r="BC19" s="3059"/>
      <c r="BD19" s="3059"/>
      <c r="BE19" s="3059"/>
      <c r="BF19" s="3059"/>
      <c r="BG19" s="3059"/>
      <c r="BH19" s="3059"/>
      <c r="BI19" s="3074"/>
      <c r="BJ19" s="3059"/>
      <c r="BK19" s="3077"/>
      <c r="BL19" s="3079"/>
      <c r="BM19" s="3083"/>
      <c r="BN19" s="3070"/>
      <c r="BO19" s="3070"/>
      <c r="BP19" s="3070"/>
      <c r="BQ19" s="3070"/>
      <c r="BR19" s="3072"/>
    </row>
    <row r="20" spans="1:70" ht="45.75" customHeight="1" x14ac:dyDescent="0.2">
      <c r="A20" s="1516"/>
      <c r="B20" s="1517"/>
      <c r="C20" s="1517"/>
      <c r="D20" s="1526"/>
      <c r="E20" s="1517"/>
      <c r="F20" s="1527"/>
      <c r="G20" s="1526"/>
      <c r="H20" s="1517"/>
      <c r="I20" s="1517"/>
      <c r="J20" s="3045"/>
      <c r="K20" s="3047"/>
      <c r="L20" s="3047"/>
      <c r="M20" s="3045"/>
      <c r="N20" s="3045"/>
      <c r="O20" s="3045"/>
      <c r="P20" s="3045"/>
      <c r="Q20" s="3047"/>
      <c r="R20" s="3063"/>
      <c r="S20" s="3065"/>
      <c r="T20" s="3067"/>
      <c r="U20" s="3069"/>
      <c r="V20" s="1532" t="s">
        <v>1037</v>
      </c>
      <c r="W20" s="1529">
        <v>360000</v>
      </c>
      <c r="X20" s="1529">
        <v>360000</v>
      </c>
      <c r="Y20" s="1529">
        <v>360000</v>
      </c>
      <c r="Z20" s="1530">
        <v>20</v>
      </c>
      <c r="AA20" s="1531" t="s">
        <v>1026</v>
      </c>
      <c r="AB20" s="3059"/>
      <c r="AC20" s="3059"/>
      <c r="AD20" s="3061"/>
      <c r="AE20" s="3061"/>
      <c r="AF20" s="3059"/>
      <c r="AG20" s="3059"/>
      <c r="AH20" s="3059"/>
      <c r="AI20" s="3059"/>
      <c r="AJ20" s="3059"/>
      <c r="AK20" s="3059"/>
      <c r="AL20" s="3059"/>
      <c r="AM20" s="3059"/>
      <c r="AN20" s="3059"/>
      <c r="AO20" s="3059"/>
      <c r="AP20" s="3059"/>
      <c r="AQ20" s="3059"/>
      <c r="AR20" s="3059"/>
      <c r="AS20" s="3059"/>
      <c r="AT20" s="3059"/>
      <c r="AU20" s="3059"/>
      <c r="AV20" s="3059"/>
      <c r="AW20" s="3059"/>
      <c r="AX20" s="3059"/>
      <c r="AY20" s="3059"/>
      <c r="AZ20" s="3059"/>
      <c r="BA20" s="3059"/>
      <c r="BB20" s="3059"/>
      <c r="BC20" s="3059"/>
      <c r="BD20" s="3059"/>
      <c r="BE20" s="3059"/>
      <c r="BF20" s="3059"/>
      <c r="BG20" s="3059"/>
      <c r="BH20" s="3059"/>
      <c r="BI20" s="3074"/>
      <c r="BJ20" s="3059"/>
      <c r="BK20" s="3077"/>
      <c r="BL20" s="3079"/>
      <c r="BM20" s="3083"/>
      <c r="BN20" s="3070"/>
      <c r="BO20" s="3070"/>
      <c r="BP20" s="3070"/>
      <c r="BQ20" s="3070"/>
      <c r="BR20" s="3072"/>
    </row>
    <row r="21" spans="1:70" ht="45.75" customHeight="1" x14ac:dyDescent="0.2">
      <c r="A21" s="1516"/>
      <c r="B21" s="1517"/>
      <c r="C21" s="1517"/>
      <c r="D21" s="1526"/>
      <c r="E21" s="1517"/>
      <c r="F21" s="1527"/>
      <c r="G21" s="1526"/>
      <c r="H21" s="1517"/>
      <c r="I21" s="1517"/>
      <c r="J21" s="3045"/>
      <c r="K21" s="3047"/>
      <c r="L21" s="3047"/>
      <c r="M21" s="3045"/>
      <c r="N21" s="3045"/>
      <c r="O21" s="3045"/>
      <c r="P21" s="3045"/>
      <c r="Q21" s="3047"/>
      <c r="R21" s="3063"/>
      <c r="S21" s="3065"/>
      <c r="T21" s="3067"/>
      <c r="U21" s="3069"/>
      <c r="V21" s="1532" t="s">
        <v>1038</v>
      </c>
      <c r="W21" s="1529">
        <v>360000</v>
      </c>
      <c r="X21" s="1529">
        <v>360000</v>
      </c>
      <c r="Y21" s="1529">
        <v>360000</v>
      </c>
      <c r="Z21" s="1530">
        <v>20</v>
      </c>
      <c r="AA21" s="1531" t="s">
        <v>1026</v>
      </c>
      <c r="AB21" s="3059"/>
      <c r="AC21" s="3059"/>
      <c r="AD21" s="3061"/>
      <c r="AE21" s="3061"/>
      <c r="AF21" s="3059"/>
      <c r="AG21" s="3059"/>
      <c r="AH21" s="3059"/>
      <c r="AI21" s="3059"/>
      <c r="AJ21" s="3059"/>
      <c r="AK21" s="3059"/>
      <c r="AL21" s="3059"/>
      <c r="AM21" s="3059"/>
      <c r="AN21" s="3059"/>
      <c r="AO21" s="3059"/>
      <c r="AP21" s="3059"/>
      <c r="AQ21" s="3059"/>
      <c r="AR21" s="3059"/>
      <c r="AS21" s="3059"/>
      <c r="AT21" s="3059"/>
      <c r="AU21" s="3059"/>
      <c r="AV21" s="3059"/>
      <c r="AW21" s="3059"/>
      <c r="AX21" s="3059"/>
      <c r="AY21" s="3059"/>
      <c r="AZ21" s="3059"/>
      <c r="BA21" s="3059"/>
      <c r="BB21" s="3059"/>
      <c r="BC21" s="3059"/>
      <c r="BD21" s="3059"/>
      <c r="BE21" s="3059"/>
      <c r="BF21" s="3059"/>
      <c r="BG21" s="3059"/>
      <c r="BH21" s="3059"/>
      <c r="BI21" s="3074"/>
      <c r="BJ21" s="3059"/>
      <c r="BK21" s="3077"/>
      <c r="BL21" s="3079"/>
      <c r="BM21" s="3083"/>
      <c r="BN21" s="3070"/>
      <c r="BO21" s="3070"/>
      <c r="BP21" s="3070"/>
      <c r="BQ21" s="3070"/>
      <c r="BR21" s="3072"/>
    </row>
    <row r="22" spans="1:70" ht="74.25" customHeight="1" x14ac:dyDescent="0.2">
      <c r="A22" s="1516"/>
      <c r="B22" s="1517"/>
      <c r="C22" s="1517"/>
      <c r="D22" s="1526"/>
      <c r="E22" s="1517"/>
      <c r="F22" s="1527"/>
      <c r="G22" s="1526"/>
      <c r="H22" s="1517"/>
      <c r="I22" s="1517"/>
      <c r="J22" s="3045"/>
      <c r="K22" s="3047"/>
      <c r="L22" s="3047"/>
      <c r="M22" s="3045"/>
      <c r="N22" s="3045"/>
      <c r="O22" s="3045"/>
      <c r="P22" s="3045"/>
      <c r="Q22" s="3047"/>
      <c r="R22" s="3063"/>
      <c r="S22" s="3065"/>
      <c r="T22" s="3067"/>
      <c r="U22" s="3069"/>
      <c r="V22" s="1532" t="s">
        <v>1039</v>
      </c>
      <c r="W22" s="1529">
        <v>360000</v>
      </c>
      <c r="X22" s="1529">
        <v>360000</v>
      </c>
      <c r="Y22" s="1529">
        <v>360000</v>
      </c>
      <c r="Z22" s="1530">
        <v>20</v>
      </c>
      <c r="AA22" s="1531" t="s">
        <v>1026</v>
      </c>
      <c r="AB22" s="3059"/>
      <c r="AC22" s="3059"/>
      <c r="AD22" s="3061"/>
      <c r="AE22" s="3061"/>
      <c r="AF22" s="3059"/>
      <c r="AG22" s="3059"/>
      <c r="AH22" s="3059"/>
      <c r="AI22" s="3059"/>
      <c r="AJ22" s="3059"/>
      <c r="AK22" s="3059"/>
      <c r="AL22" s="3059"/>
      <c r="AM22" s="3059"/>
      <c r="AN22" s="3059"/>
      <c r="AO22" s="3059"/>
      <c r="AP22" s="3059"/>
      <c r="AQ22" s="3059"/>
      <c r="AR22" s="3059"/>
      <c r="AS22" s="3059"/>
      <c r="AT22" s="3059"/>
      <c r="AU22" s="3059"/>
      <c r="AV22" s="3059"/>
      <c r="AW22" s="3059"/>
      <c r="AX22" s="3059"/>
      <c r="AY22" s="3059"/>
      <c r="AZ22" s="3059"/>
      <c r="BA22" s="3059"/>
      <c r="BB22" s="3059"/>
      <c r="BC22" s="3059"/>
      <c r="BD22" s="3059"/>
      <c r="BE22" s="3059"/>
      <c r="BF22" s="3059"/>
      <c r="BG22" s="3059"/>
      <c r="BH22" s="3059"/>
      <c r="BI22" s="3074"/>
      <c r="BJ22" s="3059"/>
      <c r="BK22" s="3077"/>
      <c r="BL22" s="3079"/>
      <c r="BM22" s="3083"/>
      <c r="BN22" s="3070"/>
      <c r="BO22" s="3070"/>
      <c r="BP22" s="3070"/>
      <c r="BQ22" s="3070"/>
      <c r="BR22" s="3072"/>
    </row>
    <row r="23" spans="1:70" ht="45.75" customHeight="1" x14ac:dyDescent="0.2">
      <c r="A23" s="1516"/>
      <c r="B23" s="1517"/>
      <c r="C23" s="1517"/>
      <c r="D23" s="1526"/>
      <c r="E23" s="1517"/>
      <c r="F23" s="1527"/>
      <c r="G23" s="1526"/>
      <c r="H23" s="1517"/>
      <c r="I23" s="1517"/>
      <c r="J23" s="3045"/>
      <c r="K23" s="3047"/>
      <c r="L23" s="3047"/>
      <c r="M23" s="3045"/>
      <c r="N23" s="3045"/>
      <c r="O23" s="3045"/>
      <c r="P23" s="3045"/>
      <c r="Q23" s="3047"/>
      <c r="R23" s="3063"/>
      <c r="S23" s="3065"/>
      <c r="T23" s="3067"/>
      <c r="U23" s="3069"/>
      <c r="V23" s="1532" t="s">
        <v>1040</v>
      </c>
      <c r="W23" s="1533">
        <v>360000</v>
      </c>
      <c r="X23" s="1533">
        <v>360000</v>
      </c>
      <c r="Y23" s="1533">
        <v>360000</v>
      </c>
      <c r="Z23" s="1530">
        <v>20</v>
      </c>
      <c r="AA23" s="1531" t="s">
        <v>1026</v>
      </c>
      <c r="AB23" s="3059"/>
      <c r="AC23" s="3059"/>
      <c r="AD23" s="3061"/>
      <c r="AE23" s="3061"/>
      <c r="AF23" s="3059"/>
      <c r="AG23" s="3059"/>
      <c r="AH23" s="3059"/>
      <c r="AI23" s="3059"/>
      <c r="AJ23" s="3059"/>
      <c r="AK23" s="3059"/>
      <c r="AL23" s="3059"/>
      <c r="AM23" s="3059"/>
      <c r="AN23" s="3059"/>
      <c r="AO23" s="3059"/>
      <c r="AP23" s="3059"/>
      <c r="AQ23" s="3059"/>
      <c r="AR23" s="3059"/>
      <c r="AS23" s="3059"/>
      <c r="AT23" s="3059"/>
      <c r="AU23" s="3059"/>
      <c r="AV23" s="3059"/>
      <c r="AW23" s="3059"/>
      <c r="AX23" s="3059"/>
      <c r="AY23" s="3059"/>
      <c r="AZ23" s="3059"/>
      <c r="BA23" s="3059"/>
      <c r="BB23" s="3059"/>
      <c r="BC23" s="3059"/>
      <c r="BD23" s="3059"/>
      <c r="BE23" s="3059"/>
      <c r="BF23" s="3059"/>
      <c r="BG23" s="3059"/>
      <c r="BH23" s="3059"/>
      <c r="BI23" s="3074"/>
      <c r="BJ23" s="3059"/>
      <c r="BK23" s="3077"/>
      <c r="BL23" s="3079"/>
      <c r="BM23" s="3083"/>
      <c r="BN23" s="3070"/>
      <c r="BO23" s="3070"/>
      <c r="BP23" s="3070"/>
      <c r="BQ23" s="3070"/>
      <c r="BR23" s="3072"/>
    </row>
    <row r="24" spans="1:70" ht="45.75" customHeight="1" x14ac:dyDescent="0.2">
      <c r="A24" s="1516"/>
      <c r="B24" s="1517"/>
      <c r="C24" s="1517"/>
      <c r="D24" s="1526"/>
      <c r="E24" s="1517"/>
      <c r="F24" s="1527"/>
      <c r="G24" s="1526"/>
      <c r="H24" s="1517"/>
      <c r="I24" s="1517"/>
      <c r="J24" s="3045"/>
      <c r="K24" s="3047"/>
      <c r="L24" s="3047"/>
      <c r="M24" s="3045"/>
      <c r="N24" s="3045"/>
      <c r="O24" s="3045"/>
      <c r="P24" s="3045"/>
      <c r="Q24" s="3047"/>
      <c r="R24" s="3063"/>
      <c r="S24" s="3065"/>
      <c r="T24" s="3067"/>
      <c r="U24" s="3069"/>
      <c r="V24" s="1532" t="s">
        <v>1041</v>
      </c>
      <c r="W24" s="1533">
        <v>360000</v>
      </c>
      <c r="X24" s="1533">
        <v>360000</v>
      </c>
      <c r="Y24" s="1533">
        <v>360000</v>
      </c>
      <c r="Z24" s="1530">
        <v>20</v>
      </c>
      <c r="AA24" s="1531" t="s">
        <v>1026</v>
      </c>
      <c r="AB24" s="3059"/>
      <c r="AC24" s="3059"/>
      <c r="AD24" s="3061"/>
      <c r="AE24" s="3061"/>
      <c r="AF24" s="3059"/>
      <c r="AG24" s="3059"/>
      <c r="AH24" s="3059"/>
      <c r="AI24" s="3059"/>
      <c r="AJ24" s="3059"/>
      <c r="AK24" s="3059"/>
      <c r="AL24" s="3059"/>
      <c r="AM24" s="3059"/>
      <c r="AN24" s="3059"/>
      <c r="AO24" s="3059"/>
      <c r="AP24" s="3059"/>
      <c r="AQ24" s="3059"/>
      <c r="AR24" s="3059"/>
      <c r="AS24" s="3059"/>
      <c r="AT24" s="3059"/>
      <c r="AU24" s="3059"/>
      <c r="AV24" s="3059"/>
      <c r="AW24" s="3059"/>
      <c r="AX24" s="3059"/>
      <c r="AY24" s="3059"/>
      <c r="AZ24" s="3059"/>
      <c r="BA24" s="3059"/>
      <c r="BB24" s="3059"/>
      <c r="BC24" s="3059"/>
      <c r="BD24" s="3059"/>
      <c r="BE24" s="3059"/>
      <c r="BF24" s="3059"/>
      <c r="BG24" s="3059"/>
      <c r="BH24" s="3059"/>
      <c r="BI24" s="3074"/>
      <c r="BJ24" s="3059"/>
      <c r="BK24" s="3077"/>
      <c r="BL24" s="3079"/>
      <c r="BM24" s="3083"/>
      <c r="BN24" s="3070"/>
      <c r="BO24" s="3070"/>
      <c r="BP24" s="3070"/>
      <c r="BQ24" s="3070"/>
      <c r="BR24" s="3072"/>
    </row>
    <row r="25" spans="1:70" ht="45.75" customHeight="1" x14ac:dyDescent="0.2">
      <c r="A25" s="1516"/>
      <c r="B25" s="1517"/>
      <c r="C25" s="1517"/>
      <c r="D25" s="1526"/>
      <c r="E25" s="1517"/>
      <c r="F25" s="1527"/>
      <c r="G25" s="1526"/>
      <c r="H25" s="1517"/>
      <c r="I25" s="1517"/>
      <c r="J25" s="3045"/>
      <c r="K25" s="3047"/>
      <c r="L25" s="3047"/>
      <c r="M25" s="3045"/>
      <c r="N25" s="3045"/>
      <c r="O25" s="3045"/>
      <c r="P25" s="3045"/>
      <c r="Q25" s="3047"/>
      <c r="R25" s="3063"/>
      <c r="S25" s="3065"/>
      <c r="T25" s="3067"/>
      <c r="U25" s="3069"/>
      <c r="V25" s="1532" t="s">
        <v>1042</v>
      </c>
      <c r="W25" s="1533">
        <v>360000</v>
      </c>
      <c r="X25" s="1533">
        <v>360000</v>
      </c>
      <c r="Y25" s="1533">
        <v>360000</v>
      </c>
      <c r="Z25" s="1530">
        <v>20</v>
      </c>
      <c r="AA25" s="1531" t="s">
        <v>1026</v>
      </c>
      <c r="AB25" s="3059"/>
      <c r="AC25" s="3059"/>
      <c r="AD25" s="3061"/>
      <c r="AE25" s="3061"/>
      <c r="AF25" s="3059"/>
      <c r="AG25" s="3059"/>
      <c r="AH25" s="3059"/>
      <c r="AI25" s="3059"/>
      <c r="AJ25" s="3059"/>
      <c r="AK25" s="3059"/>
      <c r="AL25" s="3059"/>
      <c r="AM25" s="3059"/>
      <c r="AN25" s="3059"/>
      <c r="AO25" s="3059"/>
      <c r="AP25" s="3059"/>
      <c r="AQ25" s="3059"/>
      <c r="AR25" s="3059"/>
      <c r="AS25" s="3059"/>
      <c r="AT25" s="3059"/>
      <c r="AU25" s="3059"/>
      <c r="AV25" s="3059"/>
      <c r="AW25" s="3059"/>
      <c r="AX25" s="3059"/>
      <c r="AY25" s="3059"/>
      <c r="AZ25" s="3059"/>
      <c r="BA25" s="3059"/>
      <c r="BB25" s="3059"/>
      <c r="BC25" s="3059"/>
      <c r="BD25" s="3059"/>
      <c r="BE25" s="3059"/>
      <c r="BF25" s="3059"/>
      <c r="BG25" s="3059"/>
      <c r="BH25" s="3059"/>
      <c r="BI25" s="3074"/>
      <c r="BJ25" s="3059"/>
      <c r="BK25" s="3077"/>
      <c r="BL25" s="3079"/>
      <c r="BM25" s="3083"/>
      <c r="BN25" s="3070"/>
      <c r="BO25" s="3070"/>
      <c r="BP25" s="3070"/>
      <c r="BQ25" s="3070"/>
      <c r="BR25" s="3072"/>
    </row>
    <row r="26" spans="1:70" ht="45.75" customHeight="1" x14ac:dyDescent="0.2">
      <c r="A26" s="1516"/>
      <c r="B26" s="1517"/>
      <c r="C26" s="1517"/>
      <c r="D26" s="1526"/>
      <c r="E26" s="1517"/>
      <c r="F26" s="1527"/>
      <c r="G26" s="1526"/>
      <c r="H26" s="1517"/>
      <c r="I26" s="1517"/>
      <c r="J26" s="3045"/>
      <c r="K26" s="3047"/>
      <c r="L26" s="3047"/>
      <c r="M26" s="3045"/>
      <c r="N26" s="3045"/>
      <c r="O26" s="3045"/>
      <c r="P26" s="3045"/>
      <c r="Q26" s="3047"/>
      <c r="R26" s="3063"/>
      <c r="S26" s="3065"/>
      <c r="T26" s="3067"/>
      <c r="U26" s="3069"/>
      <c r="V26" s="1532" t="s">
        <v>1043</v>
      </c>
      <c r="W26" s="1533">
        <v>360000</v>
      </c>
      <c r="X26" s="1533">
        <v>360000</v>
      </c>
      <c r="Y26" s="1533">
        <v>360000</v>
      </c>
      <c r="Z26" s="1530">
        <v>20</v>
      </c>
      <c r="AA26" s="1531" t="s">
        <v>1026</v>
      </c>
      <c r="AB26" s="3059"/>
      <c r="AC26" s="3059"/>
      <c r="AD26" s="3061"/>
      <c r="AE26" s="3061"/>
      <c r="AF26" s="3059"/>
      <c r="AG26" s="3059"/>
      <c r="AH26" s="3059"/>
      <c r="AI26" s="3059"/>
      <c r="AJ26" s="3059"/>
      <c r="AK26" s="3059"/>
      <c r="AL26" s="3059"/>
      <c r="AM26" s="3059"/>
      <c r="AN26" s="3059"/>
      <c r="AO26" s="3059"/>
      <c r="AP26" s="3059"/>
      <c r="AQ26" s="3059"/>
      <c r="AR26" s="3059"/>
      <c r="AS26" s="3059"/>
      <c r="AT26" s="3059"/>
      <c r="AU26" s="3059"/>
      <c r="AV26" s="3059"/>
      <c r="AW26" s="3059"/>
      <c r="AX26" s="3059"/>
      <c r="AY26" s="3059"/>
      <c r="AZ26" s="3059"/>
      <c r="BA26" s="3059"/>
      <c r="BB26" s="3059"/>
      <c r="BC26" s="3059"/>
      <c r="BD26" s="3059"/>
      <c r="BE26" s="3059"/>
      <c r="BF26" s="3059"/>
      <c r="BG26" s="3059"/>
      <c r="BH26" s="3059"/>
      <c r="BI26" s="3074"/>
      <c r="BJ26" s="3059"/>
      <c r="BK26" s="3077"/>
      <c r="BL26" s="3079"/>
      <c r="BM26" s="3083"/>
      <c r="BN26" s="3070"/>
      <c r="BO26" s="3070"/>
      <c r="BP26" s="3070"/>
      <c r="BQ26" s="3070"/>
      <c r="BR26" s="3072"/>
    </row>
    <row r="27" spans="1:70" ht="45.75" customHeight="1" x14ac:dyDescent="0.2">
      <c r="A27" s="1516"/>
      <c r="B27" s="1517"/>
      <c r="C27" s="1517"/>
      <c r="D27" s="1526"/>
      <c r="E27" s="1517"/>
      <c r="F27" s="1527"/>
      <c r="G27" s="1526"/>
      <c r="H27" s="1517"/>
      <c r="I27" s="1517"/>
      <c r="J27" s="3045"/>
      <c r="K27" s="3047"/>
      <c r="L27" s="3047"/>
      <c r="M27" s="3045"/>
      <c r="N27" s="3045"/>
      <c r="O27" s="3045"/>
      <c r="P27" s="3045"/>
      <c r="Q27" s="3047"/>
      <c r="R27" s="3063"/>
      <c r="S27" s="3065"/>
      <c r="T27" s="3067"/>
      <c r="U27" s="3069"/>
      <c r="V27" s="1532" t="s">
        <v>1044</v>
      </c>
      <c r="W27" s="1533">
        <v>360000</v>
      </c>
      <c r="X27" s="1533">
        <v>360000</v>
      </c>
      <c r="Y27" s="1533">
        <v>360000</v>
      </c>
      <c r="Z27" s="1530">
        <v>20</v>
      </c>
      <c r="AA27" s="1531" t="s">
        <v>1026</v>
      </c>
      <c r="AB27" s="3059"/>
      <c r="AC27" s="3059"/>
      <c r="AD27" s="3061"/>
      <c r="AE27" s="3061"/>
      <c r="AF27" s="3059"/>
      <c r="AG27" s="3059"/>
      <c r="AH27" s="3059"/>
      <c r="AI27" s="3059"/>
      <c r="AJ27" s="3059"/>
      <c r="AK27" s="3059"/>
      <c r="AL27" s="3059"/>
      <c r="AM27" s="3059"/>
      <c r="AN27" s="3059"/>
      <c r="AO27" s="3059"/>
      <c r="AP27" s="3059"/>
      <c r="AQ27" s="3059"/>
      <c r="AR27" s="3059"/>
      <c r="AS27" s="3059"/>
      <c r="AT27" s="3059"/>
      <c r="AU27" s="3059"/>
      <c r="AV27" s="3059"/>
      <c r="AW27" s="3059"/>
      <c r="AX27" s="3059"/>
      <c r="AY27" s="3059"/>
      <c r="AZ27" s="3059"/>
      <c r="BA27" s="3059"/>
      <c r="BB27" s="3059"/>
      <c r="BC27" s="3059"/>
      <c r="BD27" s="3059"/>
      <c r="BE27" s="3059"/>
      <c r="BF27" s="3059"/>
      <c r="BG27" s="3059"/>
      <c r="BH27" s="3059"/>
      <c r="BI27" s="3074"/>
      <c r="BJ27" s="3059"/>
      <c r="BK27" s="3077"/>
      <c r="BL27" s="3079"/>
      <c r="BM27" s="3083"/>
      <c r="BN27" s="3070"/>
      <c r="BO27" s="3070"/>
      <c r="BP27" s="3070"/>
      <c r="BQ27" s="3070"/>
      <c r="BR27" s="3072"/>
    </row>
    <row r="28" spans="1:70" ht="96" customHeight="1" x14ac:dyDescent="0.2">
      <c r="A28" s="1516"/>
      <c r="B28" s="1517"/>
      <c r="C28" s="1517"/>
      <c r="D28" s="1526"/>
      <c r="E28" s="1517"/>
      <c r="F28" s="1527"/>
      <c r="G28" s="1526"/>
      <c r="H28" s="1517"/>
      <c r="I28" s="1517"/>
      <c r="J28" s="3045"/>
      <c r="K28" s="3047"/>
      <c r="L28" s="3047"/>
      <c r="M28" s="3045"/>
      <c r="N28" s="3045"/>
      <c r="O28" s="3045"/>
      <c r="P28" s="3045"/>
      <c r="Q28" s="3047"/>
      <c r="R28" s="3063"/>
      <c r="S28" s="3065"/>
      <c r="T28" s="3067"/>
      <c r="U28" s="3069"/>
      <c r="V28" s="1532" t="s">
        <v>1045</v>
      </c>
      <c r="W28" s="1533">
        <v>360000</v>
      </c>
      <c r="X28" s="1533">
        <v>360000</v>
      </c>
      <c r="Y28" s="1533">
        <v>360000</v>
      </c>
      <c r="Z28" s="1530">
        <v>20</v>
      </c>
      <c r="AA28" s="1531" t="s">
        <v>1026</v>
      </c>
      <c r="AB28" s="3059"/>
      <c r="AC28" s="3059"/>
      <c r="AD28" s="3061"/>
      <c r="AE28" s="3061"/>
      <c r="AF28" s="3059"/>
      <c r="AG28" s="3059"/>
      <c r="AH28" s="3059"/>
      <c r="AI28" s="3059"/>
      <c r="AJ28" s="3059"/>
      <c r="AK28" s="3059"/>
      <c r="AL28" s="3059"/>
      <c r="AM28" s="3059"/>
      <c r="AN28" s="3059"/>
      <c r="AO28" s="3059"/>
      <c r="AP28" s="3059"/>
      <c r="AQ28" s="3059"/>
      <c r="AR28" s="3059"/>
      <c r="AS28" s="3059"/>
      <c r="AT28" s="3059"/>
      <c r="AU28" s="3059"/>
      <c r="AV28" s="3059"/>
      <c r="AW28" s="3059"/>
      <c r="AX28" s="3059"/>
      <c r="AY28" s="3059"/>
      <c r="AZ28" s="3059"/>
      <c r="BA28" s="3059"/>
      <c r="BB28" s="3059"/>
      <c r="BC28" s="3059"/>
      <c r="BD28" s="3059"/>
      <c r="BE28" s="3059"/>
      <c r="BF28" s="3059"/>
      <c r="BG28" s="3059"/>
      <c r="BH28" s="3059"/>
      <c r="BI28" s="3074"/>
      <c r="BJ28" s="3059"/>
      <c r="BK28" s="3077"/>
      <c r="BL28" s="3079"/>
      <c r="BM28" s="3083"/>
      <c r="BN28" s="3070"/>
      <c r="BO28" s="3070"/>
      <c r="BP28" s="3070"/>
      <c r="BQ28" s="3070"/>
      <c r="BR28" s="3072"/>
    </row>
    <row r="29" spans="1:70" ht="73.5" customHeight="1" x14ac:dyDescent="0.2">
      <c r="A29" s="1516"/>
      <c r="B29" s="1517"/>
      <c r="C29" s="1517"/>
      <c r="D29" s="1526"/>
      <c r="E29" s="1517"/>
      <c r="F29" s="1527"/>
      <c r="G29" s="1526"/>
      <c r="H29" s="1517"/>
      <c r="I29" s="1517"/>
      <c r="J29" s="3045"/>
      <c r="K29" s="3047"/>
      <c r="L29" s="3047"/>
      <c r="M29" s="3045"/>
      <c r="N29" s="3045"/>
      <c r="O29" s="3045"/>
      <c r="P29" s="3045"/>
      <c r="Q29" s="3047"/>
      <c r="R29" s="3063"/>
      <c r="S29" s="3065"/>
      <c r="T29" s="3067"/>
      <c r="U29" s="3069"/>
      <c r="V29" s="1532" t="s">
        <v>1046</v>
      </c>
      <c r="W29" s="1533">
        <v>360000</v>
      </c>
      <c r="X29" s="1533">
        <v>360000</v>
      </c>
      <c r="Y29" s="1533">
        <v>360000</v>
      </c>
      <c r="Z29" s="1530">
        <v>20</v>
      </c>
      <c r="AA29" s="1531" t="s">
        <v>1026</v>
      </c>
      <c r="AB29" s="3059"/>
      <c r="AC29" s="3059"/>
      <c r="AD29" s="3061"/>
      <c r="AE29" s="3061"/>
      <c r="AF29" s="3059"/>
      <c r="AG29" s="3059"/>
      <c r="AH29" s="3059"/>
      <c r="AI29" s="3059"/>
      <c r="AJ29" s="3059"/>
      <c r="AK29" s="3059"/>
      <c r="AL29" s="3059"/>
      <c r="AM29" s="3059"/>
      <c r="AN29" s="3059"/>
      <c r="AO29" s="3059"/>
      <c r="AP29" s="3059"/>
      <c r="AQ29" s="3059"/>
      <c r="AR29" s="3059"/>
      <c r="AS29" s="3059"/>
      <c r="AT29" s="3059"/>
      <c r="AU29" s="3059"/>
      <c r="AV29" s="3059"/>
      <c r="AW29" s="3059"/>
      <c r="AX29" s="3059"/>
      <c r="AY29" s="3059"/>
      <c r="AZ29" s="3059"/>
      <c r="BA29" s="3059"/>
      <c r="BB29" s="3059"/>
      <c r="BC29" s="3059"/>
      <c r="BD29" s="3059"/>
      <c r="BE29" s="3059"/>
      <c r="BF29" s="3059"/>
      <c r="BG29" s="3059"/>
      <c r="BH29" s="3059"/>
      <c r="BI29" s="3074"/>
      <c r="BJ29" s="3059"/>
      <c r="BK29" s="3077"/>
      <c r="BL29" s="3079"/>
      <c r="BM29" s="3083"/>
      <c r="BN29" s="3070"/>
      <c r="BO29" s="3070"/>
      <c r="BP29" s="3070"/>
      <c r="BQ29" s="3070"/>
      <c r="BR29" s="3072"/>
    </row>
    <row r="30" spans="1:70" ht="52.5" customHeight="1" x14ac:dyDescent="0.2">
      <c r="A30" s="1516"/>
      <c r="B30" s="1517"/>
      <c r="C30" s="1517"/>
      <c r="D30" s="1526"/>
      <c r="E30" s="1517"/>
      <c r="F30" s="1527"/>
      <c r="G30" s="1526"/>
      <c r="H30" s="1517"/>
      <c r="I30" s="1517"/>
      <c r="J30" s="3045"/>
      <c r="K30" s="3047"/>
      <c r="L30" s="3047"/>
      <c r="M30" s="3045"/>
      <c r="N30" s="3045"/>
      <c r="O30" s="3045"/>
      <c r="P30" s="3045"/>
      <c r="Q30" s="3047"/>
      <c r="R30" s="3063"/>
      <c r="S30" s="3065"/>
      <c r="T30" s="3067"/>
      <c r="U30" s="3069"/>
      <c r="V30" s="1532" t="s">
        <v>1047</v>
      </c>
      <c r="W30" s="1534">
        <v>5400000</v>
      </c>
      <c r="X30" s="1534">
        <v>4330000</v>
      </c>
      <c r="Y30" s="1534">
        <v>4330000</v>
      </c>
      <c r="Z30" s="1530">
        <v>20</v>
      </c>
      <c r="AA30" s="1531" t="s">
        <v>1026</v>
      </c>
      <c r="AB30" s="3059"/>
      <c r="AC30" s="3059"/>
      <c r="AD30" s="3061"/>
      <c r="AE30" s="3061"/>
      <c r="AF30" s="3059"/>
      <c r="AG30" s="3059"/>
      <c r="AH30" s="3059"/>
      <c r="AI30" s="3059"/>
      <c r="AJ30" s="3059"/>
      <c r="AK30" s="3059"/>
      <c r="AL30" s="3059"/>
      <c r="AM30" s="3059"/>
      <c r="AN30" s="3059"/>
      <c r="AO30" s="3059"/>
      <c r="AP30" s="3059"/>
      <c r="AQ30" s="3059"/>
      <c r="AR30" s="3059"/>
      <c r="AS30" s="3059"/>
      <c r="AT30" s="3059"/>
      <c r="AU30" s="3059"/>
      <c r="AV30" s="3059"/>
      <c r="AW30" s="3059"/>
      <c r="AX30" s="3059"/>
      <c r="AY30" s="3059"/>
      <c r="AZ30" s="3059"/>
      <c r="BA30" s="3059"/>
      <c r="BB30" s="3059"/>
      <c r="BC30" s="3059"/>
      <c r="BD30" s="3059"/>
      <c r="BE30" s="3059"/>
      <c r="BF30" s="3059"/>
      <c r="BG30" s="3059"/>
      <c r="BH30" s="3059"/>
      <c r="BI30" s="3074"/>
      <c r="BJ30" s="3059"/>
      <c r="BK30" s="3077"/>
      <c r="BL30" s="3079"/>
      <c r="BM30" s="3083"/>
      <c r="BN30" s="3070"/>
      <c r="BO30" s="3070"/>
      <c r="BP30" s="3070"/>
      <c r="BQ30" s="3070"/>
      <c r="BR30" s="3072"/>
    </row>
    <row r="31" spans="1:70" ht="124.5" customHeight="1" x14ac:dyDescent="0.2">
      <c r="A31" s="1516"/>
      <c r="B31" s="1517"/>
      <c r="C31" s="1517"/>
      <c r="D31" s="1526"/>
      <c r="E31" s="1517"/>
      <c r="F31" s="1527"/>
      <c r="G31" s="1526"/>
      <c r="H31" s="1517"/>
      <c r="I31" s="1517"/>
      <c r="J31" s="3045"/>
      <c r="K31" s="3047"/>
      <c r="L31" s="3047"/>
      <c r="M31" s="3045"/>
      <c r="N31" s="3045"/>
      <c r="O31" s="3045"/>
      <c r="P31" s="3045"/>
      <c r="Q31" s="3047"/>
      <c r="R31" s="3063"/>
      <c r="S31" s="3065"/>
      <c r="T31" s="3067"/>
      <c r="U31" s="3069"/>
      <c r="V31" s="1532" t="s">
        <v>1048</v>
      </c>
      <c r="W31" s="1534">
        <v>3600000</v>
      </c>
      <c r="X31" s="1534">
        <v>3600000</v>
      </c>
      <c r="Y31" s="1534">
        <v>3600000</v>
      </c>
      <c r="Z31" s="1530">
        <v>20</v>
      </c>
      <c r="AA31" s="1531" t="s">
        <v>1026</v>
      </c>
      <c r="AB31" s="3059"/>
      <c r="AC31" s="3059"/>
      <c r="AD31" s="3061"/>
      <c r="AE31" s="3061"/>
      <c r="AF31" s="3059"/>
      <c r="AG31" s="3059"/>
      <c r="AH31" s="3059"/>
      <c r="AI31" s="3059"/>
      <c r="AJ31" s="3059"/>
      <c r="AK31" s="3059"/>
      <c r="AL31" s="3059"/>
      <c r="AM31" s="3059"/>
      <c r="AN31" s="3059"/>
      <c r="AO31" s="3059"/>
      <c r="AP31" s="3059"/>
      <c r="AQ31" s="3059"/>
      <c r="AR31" s="3059"/>
      <c r="AS31" s="3059"/>
      <c r="AT31" s="3059"/>
      <c r="AU31" s="3059"/>
      <c r="AV31" s="3059"/>
      <c r="AW31" s="3059"/>
      <c r="AX31" s="3059"/>
      <c r="AY31" s="3059"/>
      <c r="AZ31" s="3059"/>
      <c r="BA31" s="3059"/>
      <c r="BB31" s="3059"/>
      <c r="BC31" s="3059"/>
      <c r="BD31" s="3059"/>
      <c r="BE31" s="3059"/>
      <c r="BF31" s="3059"/>
      <c r="BG31" s="3059"/>
      <c r="BH31" s="3059"/>
      <c r="BI31" s="3074"/>
      <c r="BJ31" s="3059"/>
      <c r="BK31" s="3077"/>
      <c r="BL31" s="3079"/>
      <c r="BM31" s="3083"/>
      <c r="BN31" s="3070"/>
      <c r="BO31" s="3070"/>
      <c r="BP31" s="3070"/>
      <c r="BQ31" s="3070"/>
      <c r="BR31" s="3072"/>
    </row>
    <row r="32" spans="1:70" ht="45.75" customHeight="1" x14ac:dyDescent="0.2">
      <c r="A32" s="1516"/>
      <c r="B32" s="1517"/>
      <c r="C32" s="1517"/>
      <c r="D32" s="1526"/>
      <c r="E32" s="1517"/>
      <c r="F32" s="1527"/>
      <c r="G32" s="1526"/>
      <c r="H32" s="1517"/>
      <c r="I32" s="1517"/>
      <c r="J32" s="3045"/>
      <c r="K32" s="3047"/>
      <c r="L32" s="3047"/>
      <c r="M32" s="3045"/>
      <c r="N32" s="3045"/>
      <c r="O32" s="3045"/>
      <c r="P32" s="3045"/>
      <c r="Q32" s="3047"/>
      <c r="R32" s="3063"/>
      <c r="S32" s="3065"/>
      <c r="T32" s="3067"/>
      <c r="U32" s="3069"/>
      <c r="V32" s="1532" t="s">
        <v>1049</v>
      </c>
      <c r="W32" s="1534">
        <v>1200000</v>
      </c>
      <c r="X32" s="1534"/>
      <c r="Y32" s="1534"/>
      <c r="Z32" s="1530">
        <v>20</v>
      </c>
      <c r="AA32" s="1531" t="s">
        <v>1026</v>
      </c>
      <c r="AB32" s="3059"/>
      <c r="AC32" s="3059"/>
      <c r="AD32" s="3061"/>
      <c r="AE32" s="3061"/>
      <c r="AF32" s="3059"/>
      <c r="AG32" s="3059"/>
      <c r="AH32" s="3059"/>
      <c r="AI32" s="3059"/>
      <c r="AJ32" s="3059"/>
      <c r="AK32" s="3059"/>
      <c r="AL32" s="3059"/>
      <c r="AM32" s="3059"/>
      <c r="AN32" s="3059"/>
      <c r="AO32" s="3059"/>
      <c r="AP32" s="3059"/>
      <c r="AQ32" s="3059"/>
      <c r="AR32" s="3059"/>
      <c r="AS32" s="3059"/>
      <c r="AT32" s="3059"/>
      <c r="AU32" s="3059"/>
      <c r="AV32" s="3059"/>
      <c r="AW32" s="3059"/>
      <c r="AX32" s="3059"/>
      <c r="AY32" s="3059"/>
      <c r="AZ32" s="3059"/>
      <c r="BA32" s="3059"/>
      <c r="BB32" s="3059"/>
      <c r="BC32" s="3059"/>
      <c r="BD32" s="3059"/>
      <c r="BE32" s="3059"/>
      <c r="BF32" s="3059"/>
      <c r="BG32" s="3059"/>
      <c r="BH32" s="3059"/>
      <c r="BI32" s="3074"/>
      <c r="BJ32" s="3059"/>
      <c r="BK32" s="3077"/>
      <c r="BL32" s="3079"/>
      <c r="BM32" s="3083"/>
      <c r="BN32" s="3070"/>
      <c r="BO32" s="3070"/>
      <c r="BP32" s="3070"/>
      <c r="BQ32" s="3070"/>
      <c r="BR32" s="3072"/>
    </row>
    <row r="33" spans="1:70" ht="45.75" customHeight="1" x14ac:dyDescent="0.2">
      <c r="A33" s="1516"/>
      <c r="B33" s="1517"/>
      <c r="C33" s="1517"/>
      <c r="D33" s="1526"/>
      <c r="E33" s="1517"/>
      <c r="F33" s="1527"/>
      <c r="G33" s="1535"/>
      <c r="H33" s="1517"/>
      <c r="I33" s="1517"/>
      <c r="J33" s="3045"/>
      <c r="K33" s="3047"/>
      <c r="L33" s="3047"/>
      <c r="M33" s="3045"/>
      <c r="N33" s="3045"/>
      <c r="O33" s="3045"/>
      <c r="P33" s="3045"/>
      <c r="Q33" s="3047"/>
      <c r="R33" s="3063"/>
      <c r="S33" s="3065"/>
      <c r="T33" s="3068"/>
      <c r="U33" s="3069"/>
      <c r="V33" s="1532" t="s">
        <v>1050</v>
      </c>
      <c r="W33" s="1534">
        <v>40000</v>
      </c>
      <c r="X33" s="1534"/>
      <c r="Y33" s="1534"/>
      <c r="Z33" s="1530">
        <v>20</v>
      </c>
      <c r="AA33" s="1531" t="s">
        <v>1026</v>
      </c>
      <c r="AB33" s="3059"/>
      <c r="AC33" s="3059"/>
      <c r="AD33" s="3061"/>
      <c r="AE33" s="3061"/>
      <c r="AF33" s="3059"/>
      <c r="AG33" s="3059"/>
      <c r="AH33" s="3059"/>
      <c r="AI33" s="3059"/>
      <c r="AJ33" s="3059"/>
      <c r="AK33" s="3059"/>
      <c r="AL33" s="3059"/>
      <c r="AM33" s="3059"/>
      <c r="AN33" s="3059"/>
      <c r="AO33" s="3059"/>
      <c r="AP33" s="3059"/>
      <c r="AQ33" s="3059"/>
      <c r="AR33" s="3059"/>
      <c r="AS33" s="3059"/>
      <c r="AT33" s="3059"/>
      <c r="AU33" s="3059"/>
      <c r="AV33" s="3059"/>
      <c r="AW33" s="3059"/>
      <c r="AX33" s="3059"/>
      <c r="AY33" s="3059"/>
      <c r="AZ33" s="3059"/>
      <c r="BA33" s="3059"/>
      <c r="BB33" s="3059"/>
      <c r="BC33" s="3059"/>
      <c r="BD33" s="3059"/>
      <c r="BE33" s="3059"/>
      <c r="BF33" s="3059"/>
      <c r="BG33" s="3059"/>
      <c r="BH33" s="3059"/>
      <c r="BI33" s="3074"/>
      <c r="BJ33" s="3059"/>
      <c r="BK33" s="3077"/>
      <c r="BL33" s="3079"/>
      <c r="BM33" s="3083"/>
      <c r="BN33" s="3070"/>
      <c r="BO33" s="3070"/>
      <c r="BP33" s="3070"/>
      <c r="BQ33" s="3070"/>
      <c r="BR33" s="3072"/>
    </row>
    <row r="34" spans="1:70" ht="45.75" customHeight="1" x14ac:dyDescent="0.2">
      <c r="A34" s="1536"/>
      <c r="B34" s="1537"/>
      <c r="C34" s="1537"/>
      <c r="D34" s="1538"/>
      <c r="E34" s="1537"/>
      <c r="F34" s="1539"/>
      <c r="G34" s="1540">
        <v>84</v>
      </c>
      <c r="H34" s="3080" t="s">
        <v>1051</v>
      </c>
      <c r="I34" s="3080"/>
      <c r="J34" s="3080"/>
      <c r="K34" s="3080"/>
      <c r="L34" s="1541"/>
      <c r="M34" s="1542"/>
      <c r="N34" s="1542"/>
      <c r="O34" s="1542"/>
      <c r="P34" s="1542"/>
      <c r="Q34" s="1541"/>
      <c r="R34" s="1543"/>
      <c r="S34" s="1544"/>
      <c r="T34" s="1545"/>
      <c r="U34" s="1545"/>
      <c r="V34" s="315"/>
      <c r="W34" s="1546"/>
      <c r="X34" s="1547"/>
      <c r="Y34" s="1547"/>
      <c r="Z34" s="1548"/>
      <c r="AA34" s="1549"/>
      <c r="AB34" s="1550"/>
      <c r="AC34" s="1550"/>
      <c r="AD34" s="1551"/>
      <c r="AE34" s="1551"/>
      <c r="AF34" s="1550"/>
      <c r="AG34" s="1550"/>
      <c r="AH34" s="1550"/>
      <c r="AI34" s="1550"/>
      <c r="AJ34" s="1550"/>
      <c r="AK34" s="1550"/>
      <c r="AL34" s="1550"/>
      <c r="AM34" s="1550"/>
      <c r="AN34" s="1550"/>
      <c r="AO34" s="1550"/>
      <c r="AP34" s="1550"/>
      <c r="AQ34" s="1550"/>
      <c r="AR34" s="1550"/>
      <c r="AS34" s="1550"/>
      <c r="AT34" s="1550"/>
      <c r="AU34" s="1550"/>
      <c r="AV34" s="1550"/>
      <c r="AW34" s="1550"/>
      <c r="AX34" s="1550"/>
      <c r="AY34" s="1550"/>
      <c r="AZ34" s="1550"/>
      <c r="BA34" s="1550"/>
      <c r="BB34" s="1550"/>
      <c r="BC34" s="1550"/>
      <c r="BD34" s="1550"/>
      <c r="BE34" s="1550"/>
      <c r="BF34" s="1550"/>
      <c r="BG34" s="1550"/>
      <c r="BH34" s="1550"/>
      <c r="BI34" s="1550"/>
      <c r="BJ34" s="1550"/>
      <c r="BK34" s="1552"/>
      <c r="BL34" s="1550"/>
      <c r="BM34" s="1550"/>
      <c r="BN34" s="1553"/>
      <c r="BO34" s="1553"/>
      <c r="BP34" s="1554"/>
      <c r="BQ34" s="1554"/>
      <c r="BR34" s="1555"/>
    </row>
    <row r="35" spans="1:70" ht="45.75" customHeight="1" x14ac:dyDescent="0.2">
      <c r="A35" s="1556"/>
      <c r="B35" s="1539"/>
      <c r="C35" s="1539"/>
      <c r="D35" s="1557"/>
      <c r="E35" s="1539"/>
      <c r="F35" s="1539"/>
      <c r="G35" s="1557"/>
      <c r="H35" s="1539"/>
      <c r="I35" s="1539"/>
      <c r="J35" s="3045">
        <v>248</v>
      </c>
      <c r="K35" s="3047" t="s">
        <v>1052</v>
      </c>
      <c r="L35" s="3047" t="s">
        <v>1053</v>
      </c>
      <c r="M35" s="3081">
        <v>12</v>
      </c>
      <c r="N35" s="3081">
        <v>12</v>
      </c>
      <c r="O35" s="3045" t="s">
        <v>1054</v>
      </c>
      <c r="P35" s="3045" t="s">
        <v>1055</v>
      </c>
      <c r="Q35" s="3047" t="s">
        <v>1056</v>
      </c>
      <c r="R35" s="3086">
        <v>1</v>
      </c>
      <c r="S35" s="3087">
        <f>SUM(W35:W50)</f>
        <v>58500000</v>
      </c>
      <c r="T35" s="3088" t="s">
        <v>1057</v>
      </c>
      <c r="U35" s="3084" t="s">
        <v>1058</v>
      </c>
      <c r="V35" s="1407" t="s">
        <v>1059</v>
      </c>
      <c r="W35" s="1529">
        <v>500000</v>
      </c>
      <c r="X35" s="1529"/>
      <c r="Y35" s="1529"/>
      <c r="Z35" s="1530">
        <v>20</v>
      </c>
      <c r="AA35" s="1531" t="s">
        <v>1026</v>
      </c>
      <c r="AB35" s="3059">
        <v>294321</v>
      </c>
      <c r="AC35" s="3059">
        <v>294321</v>
      </c>
      <c r="AD35" s="3061">
        <v>283947</v>
      </c>
      <c r="AE35" s="3061">
        <v>283947</v>
      </c>
      <c r="AF35" s="3059">
        <v>135754</v>
      </c>
      <c r="AG35" s="3059">
        <v>135754</v>
      </c>
      <c r="AH35" s="3059">
        <v>44640</v>
      </c>
      <c r="AI35" s="3059">
        <v>44640</v>
      </c>
      <c r="AJ35" s="3059">
        <v>308178</v>
      </c>
      <c r="AK35" s="3059">
        <v>308178</v>
      </c>
      <c r="AL35" s="3059">
        <v>89696</v>
      </c>
      <c r="AM35" s="3059">
        <v>89696</v>
      </c>
      <c r="AN35" s="3059">
        <v>2145</v>
      </c>
      <c r="AO35" s="3059">
        <v>2145</v>
      </c>
      <c r="AP35" s="3059">
        <v>12718</v>
      </c>
      <c r="AQ35" s="3059">
        <v>12718</v>
      </c>
      <c r="AR35" s="3059">
        <v>26</v>
      </c>
      <c r="AS35" s="3059">
        <v>26</v>
      </c>
      <c r="AT35" s="3059">
        <v>37</v>
      </c>
      <c r="AU35" s="3059">
        <v>37</v>
      </c>
      <c r="AV35" s="3059"/>
      <c r="AW35" s="3059"/>
      <c r="AX35" s="3059"/>
      <c r="AY35" s="3059"/>
      <c r="AZ35" s="3059">
        <v>54612</v>
      </c>
      <c r="BA35" s="3059">
        <v>54612</v>
      </c>
      <c r="BB35" s="3059">
        <v>16982</v>
      </c>
      <c r="BC35" s="3059">
        <v>16982</v>
      </c>
      <c r="BD35" s="3059">
        <v>1010</v>
      </c>
      <c r="BE35" s="3059">
        <v>1010</v>
      </c>
      <c r="BF35" s="3059">
        <f>AB35+AD35</f>
        <v>578268</v>
      </c>
      <c r="BG35" s="3059">
        <f>AC35+AE35</f>
        <v>578268</v>
      </c>
      <c r="BH35" s="3099">
        <v>3</v>
      </c>
      <c r="BI35" s="3100">
        <f>SUM(X35:X50)</f>
        <v>40500000</v>
      </c>
      <c r="BJ35" s="3100">
        <f>SUM(Y35:Y50)</f>
        <v>7070400</v>
      </c>
      <c r="BK35" s="3091">
        <f>BJ35/BI35</f>
        <v>0.17457777777777778</v>
      </c>
      <c r="BL35" s="3094" t="s">
        <v>1060</v>
      </c>
      <c r="BM35" s="3094" t="s">
        <v>1061</v>
      </c>
      <c r="BN35" s="3089">
        <v>43467</v>
      </c>
      <c r="BO35" s="3089">
        <v>43537</v>
      </c>
      <c r="BP35" s="3089">
        <v>43830</v>
      </c>
      <c r="BQ35" s="3089">
        <v>43466</v>
      </c>
      <c r="BR35" s="3072" t="s">
        <v>1028</v>
      </c>
    </row>
    <row r="36" spans="1:70" ht="45.75" customHeight="1" x14ac:dyDescent="0.2">
      <c r="A36" s="1556"/>
      <c r="B36" s="1539"/>
      <c r="C36" s="1539"/>
      <c r="D36" s="1557"/>
      <c r="E36" s="1539"/>
      <c r="F36" s="1539"/>
      <c r="G36" s="1557"/>
      <c r="H36" s="1539"/>
      <c r="I36" s="1539"/>
      <c r="J36" s="3045"/>
      <c r="K36" s="3047"/>
      <c r="L36" s="3047"/>
      <c r="M36" s="3081"/>
      <c r="N36" s="3081"/>
      <c r="O36" s="3045"/>
      <c r="P36" s="3045"/>
      <c r="Q36" s="3047"/>
      <c r="R36" s="3086"/>
      <c r="S36" s="3087"/>
      <c r="T36" s="3088"/>
      <c r="U36" s="3067"/>
      <c r="V36" s="1407" t="s">
        <v>1062</v>
      </c>
      <c r="W36" s="1558">
        <v>500000</v>
      </c>
      <c r="X36" s="1558"/>
      <c r="Y36" s="1558"/>
      <c r="Z36" s="1559">
        <v>88</v>
      </c>
      <c r="AA36" s="1560" t="s">
        <v>451</v>
      </c>
      <c r="AB36" s="3059"/>
      <c r="AC36" s="3059"/>
      <c r="AD36" s="3061"/>
      <c r="AE36" s="3061"/>
      <c r="AF36" s="3059"/>
      <c r="AG36" s="3059"/>
      <c r="AH36" s="3059"/>
      <c r="AI36" s="3059"/>
      <c r="AJ36" s="3059"/>
      <c r="AK36" s="3059"/>
      <c r="AL36" s="3059"/>
      <c r="AM36" s="3059"/>
      <c r="AN36" s="3059"/>
      <c r="AO36" s="3059"/>
      <c r="AP36" s="3059"/>
      <c r="AQ36" s="3059"/>
      <c r="AR36" s="3059"/>
      <c r="AS36" s="3059"/>
      <c r="AT36" s="3059"/>
      <c r="AU36" s="3059"/>
      <c r="AV36" s="3059"/>
      <c r="AW36" s="3059"/>
      <c r="AX36" s="3059"/>
      <c r="AY36" s="3059"/>
      <c r="AZ36" s="3059"/>
      <c r="BA36" s="3059"/>
      <c r="BB36" s="3059"/>
      <c r="BC36" s="3059"/>
      <c r="BD36" s="3059"/>
      <c r="BE36" s="3059"/>
      <c r="BF36" s="3059"/>
      <c r="BG36" s="3059"/>
      <c r="BH36" s="3097"/>
      <c r="BI36" s="3097"/>
      <c r="BJ36" s="3097"/>
      <c r="BK36" s="3092"/>
      <c r="BL36" s="3095"/>
      <c r="BM36" s="3097"/>
      <c r="BN36" s="3089"/>
      <c r="BO36" s="3089"/>
      <c r="BP36" s="3089"/>
      <c r="BQ36" s="3089"/>
      <c r="BR36" s="3072"/>
    </row>
    <row r="37" spans="1:70" ht="45.75" customHeight="1" x14ac:dyDescent="0.2">
      <c r="A37" s="1556"/>
      <c r="B37" s="1539"/>
      <c r="C37" s="1539"/>
      <c r="D37" s="1557"/>
      <c r="E37" s="1539"/>
      <c r="F37" s="1539"/>
      <c r="G37" s="1557"/>
      <c r="H37" s="1539"/>
      <c r="I37" s="1539"/>
      <c r="J37" s="3045"/>
      <c r="K37" s="3047"/>
      <c r="L37" s="3047"/>
      <c r="M37" s="3081"/>
      <c r="N37" s="3081"/>
      <c r="O37" s="3045"/>
      <c r="P37" s="3045"/>
      <c r="Q37" s="3047"/>
      <c r="R37" s="3086"/>
      <c r="S37" s="3087"/>
      <c r="T37" s="3088"/>
      <c r="U37" s="3067"/>
      <c r="V37" s="1407" t="s">
        <v>1063</v>
      </c>
      <c r="W37" s="1561">
        <v>500000</v>
      </c>
      <c r="X37" s="1561"/>
      <c r="Y37" s="1561"/>
      <c r="Z37" s="1562">
        <v>20</v>
      </c>
      <c r="AA37" s="1563" t="s">
        <v>1026</v>
      </c>
      <c r="AB37" s="3059"/>
      <c r="AC37" s="3059"/>
      <c r="AD37" s="3061"/>
      <c r="AE37" s="3061"/>
      <c r="AF37" s="3059"/>
      <c r="AG37" s="3059"/>
      <c r="AH37" s="3059"/>
      <c r="AI37" s="3059"/>
      <c r="AJ37" s="3059"/>
      <c r="AK37" s="3059"/>
      <c r="AL37" s="3059"/>
      <c r="AM37" s="3059"/>
      <c r="AN37" s="3059"/>
      <c r="AO37" s="3059"/>
      <c r="AP37" s="3059"/>
      <c r="AQ37" s="3059"/>
      <c r="AR37" s="3059"/>
      <c r="AS37" s="3059"/>
      <c r="AT37" s="3059"/>
      <c r="AU37" s="3059"/>
      <c r="AV37" s="3059"/>
      <c r="AW37" s="3059"/>
      <c r="AX37" s="3059"/>
      <c r="AY37" s="3059"/>
      <c r="AZ37" s="3059"/>
      <c r="BA37" s="3059"/>
      <c r="BB37" s="3059"/>
      <c r="BC37" s="3059"/>
      <c r="BD37" s="3059"/>
      <c r="BE37" s="3059"/>
      <c r="BF37" s="3059"/>
      <c r="BG37" s="3059"/>
      <c r="BH37" s="3097"/>
      <c r="BI37" s="3097"/>
      <c r="BJ37" s="3097"/>
      <c r="BK37" s="3092"/>
      <c r="BL37" s="3095"/>
      <c r="BM37" s="3097"/>
      <c r="BN37" s="3089"/>
      <c r="BO37" s="3089"/>
      <c r="BP37" s="3089"/>
      <c r="BQ37" s="3089"/>
      <c r="BR37" s="3072"/>
    </row>
    <row r="38" spans="1:70" ht="45.75" customHeight="1" x14ac:dyDescent="0.2">
      <c r="A38" s="1556"/>
      <c r="B38" s="1539"/>
      <c r="C38" s="1539"/>
      <c r="D38" s="1557"/>
      <c r="E38" s="1539"/>
      <c r="F38" s="1539"/>
      <c r="G38" s="1557"/>
      <c r="H38" s="1539"/>
      <c r="I38" s="1539"/>
      <c r="J38" s="3045"/>
      <c r="K38" s="3047"/>
      <c r="L38" s="3047"/>
      <c r="M38" s="3081"/>
      <c r="N38" s="3081"/>
      <c r="O38" s="3045"/>
      <c r="P38" s="3045"/>
      <c r="Q38" s="3047"/>
      <c r="R38" s="3086"/>
      <c r="S38" s="3087"/>
      <c r="T38" s="3088"/>
      <c r="U38" s="3067"/>
      <c r="V38" s="1407" t="s">
        <v>1064</v>
      </c>
      <c r="W38" s="1558">
        <v>1000000</v>
      </c>
      <c r="X38" s="1558"/>
      <c r="Y38" s="1558"/>
      <c r="Z38" s="1559">
        <v>88</v>
      </c>
      <c r="AA38" s="1560" t="s">
        <v>451</v>
      </c>
      <c r="AB38" s="3059"/>
      <c r="AC38" s="3059"/>
      <c r="AD38" s="3061"/>
      <c r="AE38" s="3061"/>
      <c r="AF38" s="3059"/>
      <c r="AG38" s="3059"/>
      <c r="AH38" s="3059"/>
      <c r="AI38" s="3059"/>
      <c r="AJ38" s="3059"/>
      <c r="AK38" s="3059"/>
      <c r="AL38" s="3059"/>
      <c r="AM38" s="3059"/>
      <c r="AN38" s="3059"/>
      <c r="AO38" s="3059"/>
      <c r="AP38" s="3059"/>
      <c r="AQ38" s="3059"/>
      <c r="AR38" s="3059"/>
      <c r="AS38" s="3059"/>
      <c r="AT38" s="3059"/>
      <c r="AU38" s="3059"/>
      <c r="AV38" s="3059"/>
      <c r="AW38" s="3059"/>
      <c r="AX38" s="3059"/>
      <c r="AY38" s="3059"/>
      <c r="AZ38" s="3059"/>
      <c r="BA38" s="3059"/>
      <c r="BB38" s="3059"/>
      <c r="BC38" s="3059"/>
      <c r="BD38" s="3059"/>
      <c r="BE38" s="3059"/>
      <c r="BF38" s="3059"/>
      <c r="BG38" s="3059"/>
      <c r="BH38" s="3097"/>
      <c r="BI38" s="3097"/>
      <c r="BJ38" s="3097"/>
      <c r="BK38" s="3092"/>
      <c r="BL38" s="3095"/>
      <c r="BM38" s="3097"/>
      <c r="BN38" s="3089"/>
      <c r="BO38" s="3089"/>
      <c r="BP38" s="3089"/>
      <c r="BQ38" s="3089"/>
      <c r="BR38" s="3072"/>
    </row>
    <row r="39" spans="1:70" ht="45.75" customHeight="1" x14ac:dyDescent="0.2">
      <c r="A39" s="1556"/>
      <c r="B39" s="1539"/>
      <c r="C39" s="1539"/>
      <c r="D39" s="1557"/>
      <c r="E39" s="1539"/>
      <c r="F39" s="1539"/>
      <c r="G39" s="1557"/>
      <c r="H39" s="1539"/>
      <c r="I39" s="1539"/>
      <c r="J39" s="3045"/>
      <c r="K39" s="3047"/>
      <c r="L39" s="3047"/>
      <c r="M39" s="3081"/>
      <c r="N39" s="3081"/>
      <c r="O39" s="3045"/>
      <c r="P39" s="3045"/>
      <c r="Q39" s="3047"/>
      <c r="R39" s="3086"/>
      <c r="S39" s="3087"/>
      <c r="T39" s="3088"/>
      <c r="U39" s="3067"/>
      <c r="V39" s="1407" t="s">
        <v>1065</v>
      </c>
      <c r="W39" s="1561">
        <v>1000000</v>
      </c>
      <c r="X39" s="1561"/>
      <c r="Y39" s="1561"/>
      <c r="Z39" s="1562">
        <v>20</v>
      </c>
      <c r="AA39" s="1563" t="s">
        <v>1026</v>
      </c>
      <c r="AB39" s="3059"/>
      <c r="AC39" s="3059"/>
      <c r="AD39" s="3061"/>
      <c r="AE39" s="3061"/>
      <c r="AF39" s="3059"/>
      <c r="AG39" s="3059"/>
      <c r="AH39" s="3059"/>
      <c r="AI39" s="3059"/>
      <c r="AJ39" s="3059"/>
      <c r="AK39" s="3059"/>
      <c r="AL39" s="3059"/>
      <c r="AM39" s="3059"/>
      <c r="AN39" s="3059"/>
      <c r="AO39" s="3059"/>
      <c r="AP39" s="3059"/>
      <c r="AQ39" s="3059"/>
      <c r="AR39" s="3059"/>
      <c r="AS39" s="3059"/>
      <c r="AT39" s="3059"/>
      <c r="AU39" s="3059"/>
      <c r="AV39" s="3059"/>
      <c r="AW39" s="3059"/>
      <c r="AX39" s="3059"/>
      <c r="AY39" s="3059"/>
      <c r="AZ39" s="3059"/>
      <c r="BA39" s="3059"/>
      <c r="BB39" s="3059"/>
      <c r="BC39" s="3059"/>
      <c r="BD39" s="3059"/>
      <c r="BE39" s="3059"/>
      <c r="BF39" s="3059"/>
      <c r="BG39" s="3059"/>
      <c r="BH39" s="3097"/>
      <c r="BI39" s="3097"/>
      <c r="BJ39" s="3097"/>
      <c r="BK39" s="3092"/>
      <c r="BL39" s="3095"/>
      <c r="BM39" s="3097"/>
      <c r="BN39" s="3089"/>
      <c r="BO39" s="3089"/>
      <c r="BP39" s="3089"/>
      <c r="BQ39" s="3089"/>
      <c r="BR39" s="3072"/>
    </row>
    <row r="40" spans="1:70" ht="45.75" customHeight="1" x14ac:dyDescent="0.2">
      <c r="A40" s="1556"/>
      <c r="B40" s="1539"/>
      <c r="C40" s="1539"/>
      <c r="D40" s="1557"/>
      <c r="E40" s="1539"/>
      <c r="F40" s="1539"/>
      <c r="G40" s="1557"/>
      <c r="H40" s="1539"/>
      <c r="I40" s="1539"/>
      <c r="J40" s="3045"/>
      <c r="K40" s="3047"/>
      <c r="L40" s="3047"/>
      <c r="M40" s="3081"/>
      <c r="N40" s="3081"/>
      <c r="O40" s="3045"/>
      <c r="P40" s="3045"/>
      <c r="Q40" s="3047"/>
      <c r="R40" s="3086"/>
      <c r="S40" s="3087"/>
      <c r="T40" s="3088"/>
      <c r="U40" s="3067"/>
      <c r="V40" s="1407" t="s">
        <v>1066</v>
      </c>
      <c r="W40" s="1558">
        <v>1500000</v>
      </c>
      <c r="X40" s="1558"/>
      <c r="Y40" s="1558"/>
      <c r="Z40" s="1559">
        <v>88</v>
      </c>
      <c r="AA40" s="1560" t="s">
        <v>451</v>
      </c>
      <c r="AB40" s="3059"/>
      <c r="AC40" s="3059"/>
      <c r="AD40" s="3061"/>
      <c r="AE40" s="3061"/>
      <c r="AF40" s="3059"/>
      <c r="AG40" s="3059"/>
      <c r="AH40" s="3059"/>
      <c r="AI40" s="3059"/>
      <c r="AJ40" s="3059"/>
      <c r="AK40" s="3059"/>
      <c r="AL40" s="3059"/>
      <c r="AM40" s="3059"/>
      <c r="AN40" s="3059"/>
      <c r="AO40" s="3059"/>
      <c r="AP40" s="3059"/>
      <c r="AQ40" s="3059"/>
      <c r="AR40" s="3059"/>
      <c r="AS40" s="3059"/>
      <c r="AT40" s="3059"/>
      <c r="AU40" s="3059"/>
      <c r="AV40" s="3059"/>
      <c r="AW40" s="3059"/>
      <c r="AX40" s="3059"/>
      <c r="AY40" s="3059"/>
      <c r="AZ40" s="3059"/>
      <c r="BA40" s="3059"/>
      <c r="BB40" s="3059"/>
      <c r="BC40" s="3059"/>
      <c r="BD40" s="3059"/>
      <c r="BE40" s="3059"/>
      <c r="BF40" s="3059"/>
      <c r="BG40" s="3059"/>
      <c r="BH40" s="3097"/>
      <c r="BI40" s="3097"/>
      <c r="BJ40" s="3097"/>
      <c r="BK40" s="3092"/>
      <c r="BL40" s="3095"/>
      <c r="BM40" s="3097"/>
      <c r="BN40" s="3089"/>
      <c r="BO40" s="3089"/>
      <c r="BP40" s="3089"/>
      <c r="BQ40" s="3089"/>
      <c r="BR40" s="3072"/>
    </row>
    <row r="41" spans="1:70" ht="45.75" customHeight="1" x14ac:dyDescent="0.2">
      <c r="A41" s="1556"/>
      <c r="B41" s="1539"/>
      <c r="C41" s="1539"/>
      <c r="D41" s="1557"/>
      <c r="E41" s="1539"/>
      <c r="F41" s="1539"/>
      <c r="G41" s="1557"/>
      <c r="H41" s="1539"/>
      <c r="I41" s="1539"/>
      <c r="J41" s="3045"/>
      <c r="K41" s="3047"/>
      <c r="L41" s="3047"/>
      <c r="M41" s="3081"/>
      <c r="N41" s="3081"/>
      <c r="O41" s="3045"/>
      <c r="P41" s="3045"/>
      <c r="Q41" s="3047"/>
      <c r="R41" s="3086"/>
      <c r="S41" s="3087"/>
      <c r="T41" s="3088"/>
      <c r="U41" s="3067"/>
      <c r="V41" s="1407" t="s">
        <v>1067</v>
      </c>
      <c r="W41" s="1561">
        <v>500000</v>
      </c>
      <c r="X41" s="1561"/>
      <c r="Y41" s="1561"/>
      <c r="Z41" s="1562">
        <v>20</v>
      </c>
      <c r="AA41" s="1563" t="s">
        <v>1026</v>
      </c>
      <c r="AB41" s="3059"/>
      <c r="AC41" s="3059"/>
      <c r="AD41" s="3061"/>
      <c r="AE41" s="3061"/>
      <c r="AF41" s="3059"/>
      <c r="AG41" s="3059"/>
      <c r="AH41" s="3059"/>
      <c r="AI41" s="3059"/>
      <c r="AJ41" s="3059"/>
      <c r="AK41" s="3059"/>
      <c r="AL41" s="3059"/>
      <c r="AM41" s="3059"/>
      <c r="AN41" s="3059"/>
      <c r="AO41" s="3059"/>
      <c r="AP41" s="3059"/>
      <c r="AQ41" s="3059"/>
      <c r="AR41" s="3059"/>
      <c r="AS41" s="3059"/>
      <c r="AT41" s="3059"/>
      <c r="AU41" s="3059"/>
      <c r="AV41" s="3059"/>
      <c r="AW41" s="3059"/>
      <c r="AX41" s="3059"/>
      <c r="AY41" s="3059"/>
      <c r="AZ41" s="3059"/>
      <c r="BA41" s="3059"/>
      <c r="BB41" s="3059"/>
      <c r="BC41" s="3059"/>
      <c r="BD41" s="3059"/>
      <c r="BE41" s="3059"/>
      <c r="BF41" s="3059"/>
      <c r="BG41" s="3059"/>
      <c r="BH41" s="3097"/>
      <c r="BI41" s="3097"/>
      <c r="BJ41" s="3097"/>
      <c r="BK41" s="3092"/>
      <c r="BL41" s="3095"/>
      <c r="BM41" s="3097"/>
      <c r="BN41" s="3089"/>
      <c r="BO41" s="3089"/>
      <c r="BP41" s="3089"/>
      <c r="BQ41" s="3089"/>
      <c r="BR41" s="3072"/>
    </row>
    <row r="42" spans="1:70" ht="45.75" customHeight="1" x14ac:dyDescent="0.2">
      <c r="A42" s="1556"/>
      <c r="B42" s="1539"/>
      <c r="C42" s="1539"/>
      <c r="D42" s="1557"/>
      <c r="E42" s="1539"/>
      <c r="F42" s="1539"/>
      <c r="G42" s="1557"/>
      <c r="H42" s="1539"/>
      <c r="I42" s="1539"/>
      <c r="J42" s="3045"/>
      <c r="K42" s="3047"/>
      <c r="L42" s="3047"/>
      <c r="M42" s="3081"/>
      <c r="N42" s="3081"/>
      <c r="O42" s="3045"/>
      <c r="P42" s="3045"/>
      <c r="Q42" s="3047"/>
      <c r="R42" s="3086"/>
      <c r="S42" s="3087"/>
      <c r="T42" s="3088"/>
      <c r="U42" s="3067"/>
      <c r="V42" s="1407" t="s">
        <v>1068</v>
      </c>
      <c r="W42" s="1558">
        <v>1000000</v>
      </c>
      <c r="X42" s="1558"/>
      <c r="Y42" s="1558"/>
      <c r="Z42" s="1559">
        <v>88</v>
      </c>
      <c r="AA42" s="1560" t="s">
        <v>451</v>
      </c>
      <c r="AB42" s="3059"/>
      <c r="AC42" s="3059"/>
      <c r="AD42" s="3061"/>
      <c r="AE42" s="3061"/>
      <c r="AF42" s="3059"/>
      <c r="AG42" s="3059"/>
      <c r="AH42" s="3059"/>
      <c r="AI42" s="3059"/>
      <c r="AJ42" s="3059"/>
      <c r="AK42" s="3059"/>
      <c r="AL42" s="3059"/>
      <c r="AM42" s="3059"/>
      <c r="AN42" s="3059"/>
      <c r="AO42" s="3059"/>
      <c r="AP42" s="3059"/>
      <c r="AQ42" s="3059"/>
      <c r="AR42" s="3059"/>
      <c r="AS42" s="3059"/>
      <c r="AT42" s="3059"/>
      <c r="AU42" s="3059"/>
      <c r="AV42" s="3059"/>
      <c r="AW42" s="3059"/>
      <c r="AX42" s="3059"/>
      <c r="AY42" s="3059"/>
      <c r="AZ42" s="3059"/>
      <c r="BA42" s="3059"/>
      <c r="BB42" s="3059"/>
      <c r="BC42" s="3059"/>
      <c r="BD42" s="3059"/>
      <c r="BE42" s="3059"/>
      <c r="BF42" s="3059"/>
      <c r="BG42" s="3059"/>
      <c r="BH42" s="3097"/>
      <c r="BI42" s="3097"/>
      <c r="BJ42" s="3097"/>
      <c r="BK42" s="3092"/>
      <c r="BL42" s="3095"/>
      <c r="BM42" s="3097"/>
      <c r="BN42" s="3089"/>
      <c r="BO42" s="3089"/>
      <c r="BP42" s="3089"/>
      <c r="BQ42" s="3089"/>
      <c r="BR42" s="3072"/>
    </row>
    <row r="43" spans="1:70" ht="45.75" customHeight="1" x14ac:dyDescent="0.2">
      <c r="A43" s="1556"/>
      <c r="B43" s="1539"/>
      <c r="C43" s="1539"/>
      <c r="D43" s="1557"/>
      <c r="E43" s="1539"/>
      <c r="F43" s="1539"/>
      <c r="G43" s="1557"/>
      <c r="H43" s="1539"/>
      <c r="I43" s="1539"/>
      <c r="J43" s="3045"/>
      <c r="K43" s="3047"/>
      <c r="L43" s="3047"/>
      <c r="M43" s="3081"/>
      <c r="N43" s="3081"/>
      <c r="O43" s="3045"/>
      <c r="P43" s="3045"/>
      <c r="Q43" s="3047"/>
      <c r="R43" s="3086"/>
      <c r="S43" s="3087"/>
      <c r="T43" s="3088"/>
      <c r="U43" s="3067"/>
      <c r="V43" s="1407" t="s">
        <v>1069</v>
      </c>
      <c r="W43" s="1561">
        <v>500000</v>
      </c>
      <c r="X43" s="1561"/>
      <c r="Y43" s="1561"/>
      <c r="Z43" s="1562">
        <v>20</v>
      </c>
      <c r="AA43" s="1563" t="s">
        <v>1026</v>
      </c>
      <c r="AB43" s="3059"/>
      <c r="AC43" s="3059"/>
      <c r="AD43" s="3061"/>
      <c r="AE43" s="3061"/>
      <c r="AF43" s="3059"/>
      <c r="AG43" s="3059"/>
      <c r="AH43" s="3059"/>
      <c r="AI43" s="3059"/>
      <c r="AJ43" s="3059"/>
      <c r="AK43" s="3059"/>
      <c r="AL43" s="3059"/>
      <c r="AM43" s="3059"/>
      <c r="AN43" s="3059"/>
      <c r="AO43" s="3059"/>
      <c r="AP43" s="3059"/>
      <c r="AQ43" s="3059"/>
      <c r="AR43" s="3059"/>
      <c r="AS43" s="3059"/>
      <c r="AT43" s="3059"/>
      <c r="AU43" s="3059"/>
      <c r="AV43" s="3059"/>
      <c r="AW43" s="3059"/>
      <c r="AX43" s="3059"/>
      <c r="AY43" s="3059"/>
      <c r="AZ43" s="3059"/>
      <c r="BA43" s="3059"/>
      <c r="BB43" s="3059"/>
      <c r="BC43" s="3059"/>
      <c r="BD43" s="3059"/>
      <c r="BE43" s="3059"/>
      <c r="BF43" s="3059"/>
      <c r="BG43" s="3059"/>
      <c r="BH43" s="3097"/>
      <c r="BI43" s="3097"/>
      <c r="BJ43" s="3097"/>
      <c r="BK43" s="3092"/>
      <c r="BL43" s="3095"/>
      <c r="BM43" s="3097"/>
      <c r="BN43" s="3089"/>
      <c r="BO43" s="3089"/>
      <c r="BP43" s="3089"/>
      <c r="BQ43" s="3089"/>
      <c r="BR43" s="3072"/>
    </row>
    <row r="44" spans="1:70" ht="45.75" customHeight="1" x14ac:dyDescent="0.2">
      <c r="A44" s="1556"/>
      <c r="B44" s="1539"/>
      <c r="C44" s="1539"/>
      <c r="D44" s="1557"/>
      <c r="E44" s="1539"/>
      <c r="F44" s="1539"/>
      <c r="G44" s="1557"/>
      <c r="H44" s="1539"/>
      <c r="I44" s="1539"/>
      <c r="J44" s="3045"/>
      <c r="K44" s="3047"/>
      <c r="L44" s="3047"/>
      <c r="M44" s="3081"/>
      <c r="N44" s="3081"/>
      <c r="O44" s="3045"/>
      <c r="P44" s="3045"/>
      <c r="Q44" s="3047"/>
      <c r="R44" s="3086"/>
      <c r="S44" s="3087"/>
      <c r="T44" s="3088"/>
      <c r="U44" s="3068"/>
      <c r="V44" s="1407" t="s">
        <v>1070</v>
      </c>
      <c r="W44" s="1558">
        <v>500000</v>
      </c>
      <c r="X44" s="1558"/>
      <c r="Y44" s="1558"/>
      <c r="Z44" s="1559">
        <v>88</v>
      </c>
      <c r="AA44" s="1560" t="s">
        <v>451</v>
      </c>
      <c r="AB44" s="3059"/>
      <c r="AC44" s="3059"/>
      <c r="AD44" s="3061"/>
      <c r="AE44" s="3061"/>
      <c r="AF44" s="3059"/>
      <c r="AG44" s="3059"/>
      <c r="AH44" s="3059"/>
      <c r="AI44" s="3059"/>
      <c r="AJ44" s="3059"/>
      <c r="AK44" s="3059"/>
      <c r="AL44" s="3059"/>
      <c r="AM44" s="3059"/>
      <c r="AN44" s="3059"/>
      <c r="AO44" s="3059"/>
      <c r="AP44" s="3059"/>
      <c r="AQ44" s="3059"/>
      <c r="AR44" s="3059"/>
      <c r="AS44" s="3059"/>
      <c r="AT44" s="3059"/>
      <c r="AU44" s="3059"/>
      <c r="AV44" s="3059"/>
      <c r="AW44" s="3059"/>
      <c r="AX44" s="3059"/>
      <c r="AY44" s="3059"/>
      <c r="AZ44" s="3059"/>
      <c r="BA44" s="3059"/>
      <c r="BB44" s="3059"/>
      <c r="BC44" s="3059"/>
      <c r="BD44" s="3059"/>
      <c r="BE44" s="3059"/>
      <c r="BF44" s="3059"/>
      <c r="BG44" s="3059"/>
      <c r="BH44" s="3097"/>
      <c r="BI44" s="3097"/>
      <c r="BJ44" s="3097"/>
      <c r="BK44" s="3092"/>
      <c r="BL44" s="3095"/>
      <c r="BM44" s="3097"/>
      <c r="BN44" s="3089"/>
      <c r="BO44" s="3089"/>
      <c r="BP44" s="3089"/>
      <c r="BQ44" s="3089"/>
      <c r="BR44" s="3072"/>
    </row>
    <row r="45" spans="1:70" ht="53.25" customHeight="1" x14ac:dyDescent="0.2">
      <c r="A45" s="1556"/>
      <c r="B45" s="1539"/>
      <c r="C45" s="1539"/>
      <c r="D45" s="1557"/>
      <c r="E45" s="1539"/>
      <c r="F45" s="1539"/>
      <c r="G45" s="1557"/>
      <c r="H45" s="1539"/>
      <c r="I45" s="1539"/>
      <c r="J45" s="3045"/>
      <c r="K45" s="3047"/>
      <c r="L45" s="3047"/>
      <c r="M45" s="3081"/>
      <c r="N45" s="3081"/>
      <c r="O45" s="3045"/>
      <c r="P45" s="3045"/>
      <c r="Q45" s="3047"/>
      <c r="R45" s="3086"/>
      <c r="S45" s="3087"/>
      <c r="T45" s="3088"/>
      <c r="U45" s="3084" t="s">
        <v>1071</v>
      </c>
      <c r="V45" s="1407" t="s">
        <v>1072</v>
      </c>
      <c r="W45" s="1558">
        <v>15000000</v>
      </c>
      <c r="X45" s="1558">
        <v>15000000</v>
      </c>
      <c r="Y45" s="1558"/>
      <c r="Z45" s="1562">
        <v>20</v>
      </c>
      <c r="AA45" s="1563" t="s">
        <v>1026</v>
      </c>
      <c r="AB45" s="3059"/>
      <c r="AC45" s="3059"/>
      <c r="AD45" s="3061"/>
      <c r="AE45" s="3061"/>
      <c r="AF45" s="3059"/>
      <c r="AG45" s="3059"/>
      <c r="AH45" s="3059"/>
      <c r="AI45" s="3059"/>
      <c r="AJ45" s="3059"/>
      <c r="AK45" s="3059"/>
      <c r="AL45" s="3059"/>
      <c r="AM45" s="3059"/>
      <c r="AN45" s="3059"/>
      <c r="AO45" s="3059"/>
      <c r="AP45" s="3059"/>
      <c r="AQ45" s="3059"/>
      <c r="AR45" s="3059"/>
      <c r="AS45" s="3059"/>
      <c r="AT45" s="3059"/>
      <c r="AU45" s="3059"/>
      <c r="AV45" s="3059"/>
      <c r="AW45" s="3059"/>
      <c r="AX45" s="3059"/>
      <c r="AY45" s="3059"/>
      <c r="AZ45" s="3059"/>
      <c r="BA45" s="3059"/>
      <c r="BB45" s="3059"/>
      <c r="BC45" s="3059"/>
      <c r="BD45" s="3059"/>
      <c r="BE45" s="3059"/>
      <c r="BF45" s="3059"/>
      <c r="BG45" s="3059"/>
      <c r="BH45" s="3097"/>
      <c r="BI45" s="3097"/>
      <c r="BJ45" s="3097"/>
      <c r="BK45" s="3092"/>
      <c r="BL45" s="3095"/>
      <c r="BM45" s="3097"/>
      <c r="BN45" s="3089"/>
      <c r="BO45" s="3089"/>
      <c r="BP45" s="3089"/>
      <c r="BQ45" s="3089"/>
      <c r="BR45" s="3072"/>
    </row>
    <row r="46" spans="1:70" ht="53.25" customHeight="1" x14ac:dyDescent="0.2">
      <c r="A46" s="1556"/>
      <c r="B46" s="1539"/>
      <c r="C46" s="1539"/>
      <c r="D46" s="1557"/>
      <c r="E46" s="1539"/>
      <c r="F46" s="1539"/>
      <c r="G46" s="1557"/>
      <c r="H46" s="1539"/>
      <c r="I46" s="1539"/>
      <c r="J46" s="3045"/>
      <c r="K46" s="3047"/>
      <c r="L46" s="3047"/>
      <c r="M46" s="3081"/>
      <c r="N46" s="3081"/>
      <c r="O46" s="3045"/>
      <c r="P46" s="3045"/>
      <c r="Q46" s="3047"/>
      <c r="R46" s="3086"/>
      <c r="S46" s="3087"/>
      <c r="T46" s="3088"/>
      <c r="U46" s="3068"/>
      <c r="V46" s="1407" t="s">
        <v>1073</v>
      </c>
      <c r="W46" s="1558">
        <v>15000000</v>
      </c>
      <c r="X46" s="1558">
        <v>15000000</v>
      </c>
      <c r="Y46" s="1558"/>
      <c r="Z46" s="1559">
        <v>88</v>
      </c>
      <c r="AA46" s="1560" t="s">
        <v>451</v>
      </c>
      <c r="AB46" s="3059"/>
      <c r="AC46" s="3059"/>
      <c r="AD46" s="3061"/>
      <c r="AE46" s="3061"/>
      <c r="AF46" s="3059"/>
      <c r="AG46" s="3059"/>
      <c r="AH46" s="3059"/>
      <c r="AI46" s="3059"/>
      <c r="AJ46" s="3059"/>
      <c r="AK46" s="3059"/>
      <c r="AL46" s="3059"/>
      <c r="AM46" s="3059"/>
      <c r="AN46" s="3059"/>
      <c r="AO46" s="3059"/>
      <c r="AP46" s="3059"/>
      <c r="AQ46" s="3059"/>
      <c r="AR46" s="3059"/>
      <c r="AS46" s="3059"/>
      <c r="AT46" s="3059"/>
      <c r="AU46" s="3059"/>
      <c r="AV46" s="3059"/>
      <c r="AW46" s="3059"/>
      <c r="AX46" s="3059"/>
      <c r="AY46" s="3059"/>
      <c r="AZ46" s="3059"/>
      <c r="BA46" s="3059"/>
      <c r="BB46" s="3059"/>
      <c r="BC46" s="3059"/>
      <c r="BD46" s="3059"/>
      <c r="BE46" s="3059"/>
      <c r="BF46" s="3059"/>
      <c r="BG46" s="3059"/>
      <c r="BH46" s="3097"/>
      <c r="BI46" s="3097"/>
      <c r="BJ46" s="3097"/>
      <c r="BK46" s="3092"/>
      <c r="BL46" s="3095"/>
      <c r="BM46" s="3097"/>
      <c r="BN46" s="3089"/>
      <c r="BO46" s="3089"/>
      <c r="BP46" s="3089"/>
      <c r="BQ46" s="3089"/>
      <c r="BR46" s="3072"/>
    </row>
    <row r="47" spans="1:70" ht="45.75" customHeight="1" x14ac:dyDescent="0.2">
      <c r="A47" s="1556"/>
      <c r="B47" s="1539"/>
      <c r="C47" s="1539"/>
      <c r="D47" s="1557"/>
      <c r="E47" s="1539"/>
      <c r="F47" s="1539"/>
      <c r="G47" s="1557"/>
      <c r="H47" s="1539"/>
      <c r="I47" s="1539"/>
      <c r="J47" s="3045"/>
      <c r="K47" s="3047"/>
      <c r="L47" s="3047"/>
      <c r="M47" s="3081"/>
      <c r="N47" s="3081"/>
      <c r="O47" s="3045"/>
      <c r="P47" s="3045"/>
      <c r="Q47" s="3047"/>
      <c r="R47" s="3086"/>
      <c r="S47" s="3087"/>
      <c r="T47" s="3088"/>
      <c r="U47" s="3047" t="s">
        <v>1074</v>
      </c>
      <c r="V47" s="1407" t="s">
        <v>1075</v>
      </c>
      <c r="W47" s="1558">
        <v>3500000</v>
      </c>
      <c r="X47" s="1558">
        <v>3500000</v>
      </c>
      <c r="Y47" s="1558">
        <v>300000</v>
      </c>
      <c r="Z47" s="1562">
        <v>20</v>
      </c>
      <c r="AA47" s="1563" t="s">
        <v>1026</v>
      </c>
      <c r="AB47" s="3059"/>
      <c r="AC47" s="3059"/>
      <c r="AD47" s="3061"/>
      <c r="AE47" s="3061"/>
      <c r="AF47" s="3059"/>
      <c r="AG47" s="3059"/>
      <c r="AH47" s="3059"/>
      <c r="AI47" s="3059"/>
      <c r="AJ47" s="3059"/>
      <c r="AK47" s="3059"/>
      <c r="AL47" s="3059"/>
      <c r="AM47" s="3059"/>
      <c r="AN47" s="3059"/>
      <c r="AO47" s="3059"/>
      <c r="AP47" s="3059"/>
      <c r="AQ47" s="3059"/>
      <c r="AR47" s="3059"/>
      <c r="AS47" s="3059"/>
      <c r="AT47" s="3059"/>
      <c r="AU47" s="3059"/>
      <c r="AV47" s="3059"/>
      <c r="AW47" s="3059"/>
      <c r="AX47" s="3059"/>
      <c r="AY47" s="3059"/>
      <c r="AZ47" s="3059"/>
      <c r="BA47" s="3059"/>
      <c r="BB47" s="3059"/>
      <c r="BC47" s="3059"/>
      <c r="BD47" s="3059"/>
      <c r="BE47" s="3059"/>
      <c r="BF47" s="3059"/>
      <c r="BG47" s="3059"/>
      <c r="BH47" s="3097"/>
      <c r="BI47" s="3097"/>
      <c r="BJ47" s="3097"/>
      <c r="BK47" s="3092"/>
      <c r="BL47" s="3095"/>
      <c r="BM47" s="3097"/>
      <c r="BN47" s="3089"/>
      <c r="BO47" s="3089"/>
      <c r="BP47" s="3089"/>
      <c r="BQ47" s="3089"/>
      <c r="BR47" s="3072"/>
    </row>
    <row r="48" spans="1:70" ht="45.75" customHeight="1" x14ac:dyDescent="0.2">
      <c r="A48" s="1556"/>
      <c r="B48" s="1539"/>
      <c r="C48" s="1539"/>
      <c r="D48" s="1557"/>
      <c r="E48" s="1539"/>
      <c r="F48" s="1539"/>
      <c r="G48" s="1557"/>
      <c r="H48" s="1539"/>
      <c r="I48" s="1539"/>
      <c r="J48" s="3045"/>
      <c r="K48" s="3047"/>
      <c r="L48" s="3047"/>
      <c r="M48" s="3081"/>
      <c r="N48" s="3081"/>
      <c r="O48" s="3045"/>
      <c r="P48" s="3045"/>
      <c r="Q48" s="3047"/>
      <c r="R48" s="3086"/>
      <c r="S48" s="3087"/>
      <c r="T48" s="3088"/>
      <c r="U48" s="3047"/>
      <c r="V48" s="1407" t="s">
        <v>1076</v>
      </c>
      <c r="W48" s="1558">
        <v>3500000</v>
      </c>
      <c r="X48" s="1558"/>
      <c r="Y48" s="1558"/>
      <c r="Z48" s="1559">
        <v>88</v>
      </c>
      <c r="AA48" s="1560" t="s">
        <v>451</v>
      </c>
      <c r="AB48" s="3059"/>
      <c r="AC48" s="3059"/>
      <c r="AD48" s="3061"/>
      <c r="AE48" s="3061"/>
      <c r="AF48" s="3059"/>
      <c r="AG48" s="3059"/>
      <c r="AH48" s="3059"/>
      <c r="AI48" s="3059"/>
      <c r="AJ48" s="3059"/>
      <c r="AK48" s="3059"/>
      <c r="AL48" s="3059"/>
      <c r="AM48" s="3059"/>
      <c r="AN48" s="3059"/>
      <c r="AO48" s="3059"/>
      <c r="AP48" s="3059"/>
      <c r="AQ48" s="3059"/>
      <c r="AR48" s="3059"/>
      <c r="AS48" s="3059"/>
      <c r="AT48" s="3059"/>
      <c r="AU48" s="3059"/>
      <c r="AV48" s="3059"/>
      <c r="AW48" s="3059"/>
      <c r="AX48" s="3059"/>
      <c r="AY48" s="3059"/>
      <c r="AZ48" s="3059"/>
      <c r="BA48" s="3059"/>
      <c r="BB48" s="3059"/>
      <c r="BC48" s="3059"/>
      <c r="BD48" s="3059"/>
      <c r="BE48" s="3059"/>
      <c r="BF48" s="3059"/>
      <c r="BG48" s="3059"/>
      <c r="BH48" s="3097"/>
      <c r="BI48" s="3097"/>
      <c r="BJ48" s="3097"/>
      <c r="BK48" s="3092"/>
      <c r="BL48" s="3095"/>
      <c r="BM48" s="3097"/>
      <c r="BN48" s="3089"/>
      <c r="BO48" s="3089"/>
      <c r="BP48" s="3089"/>
      <c r="BQ48" s="3089"/>
      <c r="BR48" s="3072"/>
    </row>
    <row r="49" spans="1:70" ht="45.75" customHeight="1" x14ac:dyDescent="0.2">
      <c r="A49" s="1556"/>
      <c r="B49" s="1539"/>
      <c r="C49" s="1539"/>
      <c r="D49" s="1557"/>
      <c r="E49" s="1539"/>
      <c r="F49" s="1539"/>
      <c r="G49" s="1557"/>
      <c r="H49" s="1539"/>
      <c r="I49" s="1539"/>
      <c r="J49" s="3045"/>
      <c r="K49" s="3047"/>
      <c r="L49" s="3047"/>
      <c r="M49" s="3081"/>
      <c r="N49" s="3081"/>
      <c r="O49" s="3045"/>
      <c r="P49" s="3045"/>
      <c r="Q49" s="3047"/>
      <c r="R49" s="3086"/>
      <c r="S49" s="3087"/>
      <c r="T49" s="3088"/>
      <c r="U49" s="3047"/>
      <c r="V49" s="1407" t="s">
        <v>1077</v>
      </c>
      <c r="W49" s="1558">
        <v>7000000</v>
      </c>
      <c r="X49" s="1558">
        <v>7000000</v>
      </c>
      <c r="Y49" s="1558">
        <v>6770400</v>
      </c>
      <c r="Z49" s="1564">
        <v>20</v>
      </c>
      <c r="AA49" s="1565" t="s">
        <v>1026</v>
      </c>
      <c r="AB49" s="3059"/>
      <c r="AC49" s="3059"/>
      <c r="AD49" s="3061"/>
      <c r="AE49" s="3061"/>
      <c r="AF49" s="3059"/>
      <c r="AG49" s="3059"/>
      <c r="AH49" s="3059"/>
      <c r="AI49" s="3059"/>
      <c r="AJ49" s="3059"/>
      <c r="AK49" s="3059"/>
      <c r="AL49" s="3059"/>
      <c r="AM49" s="3059"/>
      <c r="AN49" s="3059"/>
      <c r="AO49" s="3059"/>
      <c r="AP49" s="3059"/>
      <c r="AQ49" s="3059"/>
      <c r="AR49" s="3059"/>
      <c r="AS49" s="3059"/>
      <c r="AT49" s="3059"/>
      <c r="AU49" s="3059"/>
      <c r="AV49" s="3059"/>
      <c r="AW49" s="3059"/>
      <c r="AX49" s="3059"/>
      <c r="AY49" s="3059"/>
      <c r="AZ49" s="3059"/>
      <c r="BA49" s="3059"/>
      <c r="BB49" s="3059"/>
      <c r="BC49" s="3059"/>
      <c r="BD49" s="3059"/>
      <c r="BE49" s="3059"/>
      <c r="BF49" s="3059"/>
      <c r="BG49" s="3059"/>
      <c r="BH49" s="3097"/>
      <c r="BI49" s="3097"/>
      <c r="BJ49" s="3097"/>
      <c r="BK49" s="3092"/>
      <c r="BL49" s="3095"/>
      <c r="BM49" s="3097"/>
      <c r="BN49" s="3089"/>
      <c r="BO49" s="3089"/>
      <c r="BP49" s="3089"/>
      <c r="BQ49" s="3089"/>
      <c r="BR49" s="3072"/>
    </row>
    <row r="50" spans="1:70" ht="45.75" customHeight="1" x14ac:dyDescent="0.2">
      <c r="A50" s="1556"/>
      <c r="B50" s="1539"/>
      <c r="C50" s="1539"/>
      <c r="D50" s="1557"/>
      <c r="E50" s="1539"/>
      <c r="F50" s="1539"/>
      <c r="G50" s="1566"/>
      <c r="H50" s="1539"/>
      <c r="I50" s="1539"/>
      <c r="J50" s="3045"/>
      <c r="K50" s="3047"/>
      <c r="L50" s="3047"/>
      <c r="M50" s="3081"/>
      <c r="N50" s="3081"/>
      <c r="O50" s="3045"/>
      <c r="P50" s="3045"/>
      <c r="Q50" s="3047"/>
      <c r="R50" s="3086"/>
      <c r="S50" s="3087"/>
      <c r="T50" s="3088"/>
      <c r="U50" s="3047"/>
      <c r="V50" s="1567" t="s">
        <v>1078</v>
      </c>
      <c r="W50" s="1558">
        <v>7000000</v>
      </c>
      <c r="X50" s="1558"/>
      <c r="Y50" s="1558"/>
      <c r="Z50" s="1568">
        <v>88</v>
      </c>
      <c r="AA50" s="737" t="s">
        <v>451</v>
      </c>
      <c r="AB50" s="3085"/>
      <c r="AC50" s="3085"/>
      <c r="AD50" s="3061"/>
      <c r="AE50" s="3061"/>
      <c r="AF50" s="3059"/>
      <c r="AG50" s="3059"/>
      <c r="AH50" s="3059"/>
      <c r="AI50" s="3059"/>
      <c r="AJ50" s="3059"/>
      <c r="AK50" s="3059"/>
      <c r="AL50" s="3059"/>
      <c r="AM50" s="3059"/>
      <c r="AN50" s="3059"/>
      <c r="AO50" s="3059"/>
      <c r="AP50" s="3059"/>
      <c r="AQ50" s="3059"/>
      <c r="AR50" s="3059"/>
      <c r="AS50" s="3059"/>
      <c r="AT50" s="3059"/>
      <c r="AU50" s="3059"/>
      <c r="AV50" s="3059"/>
      <c r="AW50" s="3059"/>
      <c r="AX50" s="3059"/>
      <c r="AY50" s="3059"/>
      <c r="AZ50" s="3059"/>
      <c r="BA50" s="3059"/>
      <c r="BB50" s="3059"/>
      <c r="BC50" s="3059"/>
      <c r="BD50" s="3059"/>
      <c r="BE50" s="3059"/>
      <c r="BF50" s="3059"/>
      <c r="BG50" s="3059"/>
      <c r="BH50" s="3098"/>
      <c r="BI50" s="3098"/>
      <c r="BJ50" s="3098"/>
      <c r="BK50" s="3093"/>
      <c r="BL50" s="3096"/>
      <c r="BM50" s="3098"/>
      <c r="BN50" s="3089"/>
      <c r="BO50" s="3089"/>
      <c r="BP50" s="3089"/>
      <c r="BQ50" s="3089"/>
      <c r="BR50" s="3072"/>
    </row>
    <row r="51" spans="1:70" ht="24.75" customHeight="1" x14ac:dyDescent="0.2">
      <c r="A51" s="1536"/>
      <c r="B51" s="1537"/>
      <c r="C51" s="1537"/>
      <c r="D51" s="1569">
        <v>27</v>
      </c>
      <c r="E51" s="3090" t="s">
        <v>1079</v>
      </c>
      <c r="F51" s="3090"/>
      <c r="G51" s="3090"/>
      <c r="H51" s="3090"/>
      <c r="I51" s="3090"/>
      <c r="J51" s="3090"/>
      <c r="K51" s="3090"/>
      <c r="L51" s="1570"/>
      <c r="M51" s="1571"/>
      <c r="N51" s="1571"/>
      <c r="O51" s="1571"/>
      <c r="P51" s="1571"/>
      <c r="Q51" s="1570"/>
      <c r="R51" s="1572"/>
      <c r="S51" s="1573"/>
      <c r="T51" s="1574"/>
      <c r="U51" s="1574"/>
      <c r="V51" s="1575"/>
      <c r="W51" s="1576"/>
      <c r="X51" s="1576"/>
      <c r="Y51" s="1576"/>
      <c r="Z51" s="1577"/>
      <c r="AA51" s="1578"/>
      <c r="AB51" s="1579"/>
      <c r="AC51" s="1580"/>
      <c r="AD51" s="1581"/>
      <c r="AE51" s="1581"/>
      <c r="AF51" s="1580"/>
      <c r="AG51" s="1580"/>
      <c r="AH51" s="1580"/>
      <c r="AI51" s="1580"/>
      <c r="AJ51" s="1580"/>
      <c r="AK51" s="1580"/>
      <c r="AL51" s="1580"/>
      <c r="AM51" s="1580"/>
      <c r="AN51" s="1580"/>
      <c r="AO51" s="1580"/>
      <c r="AP51" s="1580"/>
      <c r="AQ51" s="1580"/>
      <c r="AR51" s="1580"/>
      <c r="AS51" s="1580"/>
      <c r="AT51" s="1580"/>
      <c r="AU51" s="1580"/>
      <c r="AV51" s="1580"/>
      <c r="AW51" s="1580"/>
      <c r="AX51" s="1580"/>
      <c r="AY51" s="1580"/>
      <c r="AZ51" s="1580"/>
      <c r="BA51" s="1580"/>
      <c r="BB51" s="1580"/>
      <c r="BC51" s="1580"/>
      <c r="BD51" s="1580"/>
      <c r="BE51" s="1580"/>
      <c r="BF51" s="1580"/>
      <c r="BG51" s="1580"/>
      <c r="BH51" s="1580"/>
      <c r="BI51" s="1580"/>
      <c r="BJ51" s="1580"/>
      <c r="BK51" s="1582"/>
      <c r="BL51" s="1580"/>
      <c r="BM51" s="1580"/>
      <c r="BN51" s="1583"/>
      <c r="BO51" s="1583"/>
      <c r="BP51" s="1584"/>
      <c r="BQ51" s="1584"/>
      <c r="BR51" s="1585"/>
    </row>
    <row r="52" spans="1:70" ht="24.75" customHeight="1" x14ac:dyDescent="0.2">
      <c r="A52" s="1536"/>
      <c r="B52" s="1537"/>
      <c r="C52" s="1537"/>
      <c r="D52" s="1538"/>
      <c r="E52" s="1537"/>
      <c r="F52" s="1586"/>
      <c r="G52" s="1540">
        <v>85</v>
      </c>
      <c r="H52" s="3080" t="s">
        <v>1080</v>
      </c>
      <c r="I52" s="3080"/>
      <c r="J52" s="3080"/>
      <c r="K52" s="3080"/>
      <c r="L52" s="1541"/>
      <c r="M52" s="1542"/>
      <c r="N52" s="1542"/>
      <c r="O52" s="1542"/>
      <c r="P52" s="1542"/>
      <c r="Q52" s="1541"/>
      <c r="R52" s="1543"/>
      <c r="S52" s="1587"/>
      <c r="T52" s="1545"/>
      <c r="U52" s="1545"/>
      <c r="V52" s="315"/>
      <c r="W52" s="1588"/>
      <c r="X52" s="1588"/>
      <c r="Y52" s="1588"/>
      <c r="Z52" s="1548"/>
      <c r="AA52" s="1549"/>
      <c r="AB52" s="1550"/>
      <c r="AC52" s="1550"/>
      <c r="AD52" s="1551"/>
      <c r="AE52" s="1551"/>
      <c r="AF52" s="1550"/>
      <c r="AG52" s="1550"/>
      <c r="AH52" s="1550"/>
      <c r="AI52" s="1550"/>
      <c r="AJ52" s="1550"/>
      <c r="AK52" s="1550"/>
      <c r="AL52" s="1550"/>
      <c r="AM52" s="1550"/>
      <c r="AN52" s="1550"/>
      <c r="AO52" s="1550"/>
      <c r="AP52" s="1550"/>
      <c r="AQ52" s="1550"/>
      <c r="AR52" s="1550"/>
      <c r="AS52" s="1550"/>
      <c r="AT52" s="1550"/>
      <c r="AU52" s="1550"/>
      <c r="AV52" s="1550"/>
      <c r="AW52" s="1550"/>
      <c r="AX52" s="1550"/>
      <c r="AY52" s="1550"/>
      <c r="AZ52" s="1550"/>
      <c r="BA52" s="1550"/>
      <c r="BB52" s="1550"/>
      <c r="BC52" s="1550"/>
      <c r="BD52" s="1550"/>
      <c r="BE52" s="1550"/>
      <c r="BF52" s="1550"/>
      <c r="BG52" s="1550"/>
      <c r="BH52" s="1550"/>
      <c r="BI52" s="1550"/>
      <c r="BJ52" s="1550"/>
      <c r="BK52" s="1552"/>
      <c r="BL52" s="1550"/>
      <c r="BM52" s="1550"/>
      <c r="BN52" s="1553"/>
      <c r="BO52" s="1553"/>
      <c r="BP52" s="1554"/>
      <c r="BQ52" s="1554"/>
      <c r="BR52" s="1555"/>
    </row>
    <row r="53" spans="1:70" ht="71.25" customHeight="1" x14ac:dyDescent="0.2">
      <c r="A53" s="1589"/>
      <c r="B53" s="1590"/>
      <c r="C53" s="1590"/>
      <c r="D53" s="1591"/>
      <c r="E53" s="1590"/>
      <c r="F53" s="1590"/>
      <c r="G53" s="1592"/>
      <c r="H53" s="1590"/>
      <c r="I53" s="1590"/>
      <c r="J53" s="3045">
        <v>249</v>
      </c>
      <c r="K53" s="3047" t="s">
        <v>1081</v>
      </c>
      <c r="L53" s="3088" t="s">
        <v>1082</v>
      </c>
      <c r="M53" s="3081">
        <v>1</v>
      </c>
      <c r="N53" s="3081">
        <v>0.67</v>
      </c>
      <c r="O53" s="3045" t="s">
        <v>1083</v>
      </c>
      <c r="P53" s="3045" t="s">
        <v>1084</v>
      </c>
      <c r="Q53" s="3047" t="s">
        <v>1085</v>
      </c>
      <c r="R53" s="3086">
        <v>1</v>
      </c>
      <c r="S53" s="3087">
        <f>SUM(W53:W65)</f>
        <v>120000000</v>
      </c>
      <c r="T53" s="3047" t="s">
        <v>1086</v>
      </c>
      <c r="U53" s="3047" t="s">
        <v>1087</v>
      </c>
      <c r="V53" s="1593" t="s">
        <v>1088</v>
      </c>
      <c r="W53" s="1529">
        <v>7354100</v>
      </c>
      <c r="X53" s="1529">
        <f>W53</f>
        <v>7354100</v>
      </c>
      <c r="Y53" s="1561">
        <v>1800000</v>
      </c>
      <c r="Z53" s="1530">
        <v>20</v>
      </c>
      <c r="AA53" s="1594" t="s">
        <v>124</v>
      </c>
      <c r="AB53" s="3101">
        <v>294321</v>
      </c>
      <c r="AC53" s="3101">
        <v>294321</v>
      </c>
      <c r="AD53" s="3102">
        <v>283947</v>
      </c>
      <c r="AE53" s="3102">
        <v>283947</v>
      </c>
      <c r="AF53" s="3103">
        <v>135754</v>
      </c>
      <c r="AG53" s="3103">
        <v>135754</v>
      </c>
      <c r="AH53" s="3103">
        <v>44640</v>
      </c>
      <c r="AI53" s="3103">
        <v>44640</v>
      </c>
      <c r="AJ53" s="3103">
        <v>308178</v>
      </c>
      <c r="AK53" s="3103">
        <v>308178</v>
      </c>
      <c r="AL53" s="3103">
        <v>89696</v>
      </c>
      <c r="AM53" s="3103">
        <v>89696</v>
      </c>
      <c r="AN53" s="3103">
        <v>2145</v>
      </c>
      <c r="AO53" s="3103">
        <v>2145</v>
      </c>
      <c r="AP53" s="3103">
        <v>12718</v>
      </c>
      <c r="AQ53" s="3103">
        <v>12718</v>
      </c>
      <c r="AR53" s="3103">
        <v>26</v>
      </c>
      <c r="AS53" s="3103">
        <v>26</v>
      </c>
      <c r="AT53" s="3103">
        <v>37</v>
      </c>
      <c r="AU53" s="3103">
        <v>37</v>
      </c>
      <c r="AV53" s="3103"/>
      <c r="AW53" s="3103"/>
      <c r="AX53" s="3103"/>
      <c r="AY53" s="3103"/>
      <c r="AZ53" s="3059">
        <v>54612</v>
      </c>
      <c r="BA53" s="3059">
        <v>54612</v>
      </c>
      <c r="BB53" s="3059">
        <v>16982</v>
      </c>
      <c r="BC53" s="3059">
        <v>16982</v>
      </c>
      <c r="BD53" s="3103">
        <v>1010</v>
      </c>
      <c r="BE53" s="3103">
        <v>1010</v>
      </c>
      <c r="BF53" s="3103">
        <f>AB53+AD53</f>
        <v>578268</v>
      </c>
      <c r="BG53" s="3103">
        <f>AC53+AE53</f>
        <v>578268</v>
      </c>
      <c r="BH53" s="3103">
        <v>8</v>
      </c>
      <c r="BI53" s="3103">
        <f>SUM(X53:X65)</f>
        <v>84493250</v>
      </c>
      <c r="BJ53" s="3103">
        <f>SUM(Y53:Y65)</f>
        <v>42636233</v>
      </c>
      <c r="BK53" s="3077">
        <f>BJ53/BI53</f>
        <v>0.50461111390554869</v>
      </c>
      <c r="BL53" s="3112" t="s">
        <v>656</v>
      </c>
      <c r="BM53" s="3112" t="s">
        <v>1089</v>
      </c>
      <c r="BN53" s="3089">
        <v>43467</v>
      </c>
      <c r="BO53" s="3089">
        <v>43537</v>
      </c>
      <c r="BP53" s="3089">
        <v>43830</v>
      </c>
      <c r="BQ53" s="3089">
        <v>43830</v>
      </c>
      <c r="BR53" s="3104" t="s">
        <v>1028</v>
      </c>
    </row>
    <row r="54" spans="1:70" ht="129" customHeight="1" x14ac:dyDescent="0.2">
      <c r="A54" s="1589"/>
      <c r="B54" s="1590"/>
      <c r="C54" s="1590"/>
      <c r="D54" s="1591"/>
      <c r="E54" s="1590"/>
      <c r="F54" s="1590"/>
      <c r="G54" s="1591"/>
      <c r="H54" s="1590"/>
      <c r="I54" s="1590"/>
      <c r="J54" s="3045"/>
      <c r="K54" s="3047"/>
      <c r="L54" s="3088"/>
      <c r="M54" s="3081"/>
      <c r="N54" s="3081"/>
      <c r="O54" s="3045"/>
      <c r="P54" s="3045"/>
      <c r="Q54" s="3047"/>
      <c r="R54" s="3086"/>
      <c r="S54" s="3087"/>
      <c r="T54" s="3047"/>
      <c r="U54" s="3047"/>
      <c r="V54" s="1593" t="s">
        <v>1090</v>
      </c>
      <c r="W54" s="1529">
        <v>11613500</v>
      </c>
      <c r="X54" s="1529">
        <f>W54</f>
        <v>11613500</v>
      </c>
      <c r="Y54" s="1561">
        <f>X54</f>
        <v>11613500</v>
      </c>
      <c r="Z54" s="1530">
        <v>20</v>
      </c>
      <c r="AA54" s="1594" t="s">
        <v>124</v>
      </c>
      <c r="AB54" s="3101"/>
      <c r="AC54" s="3101"/>
      <c r="AD54" s="3102"/>
      <c r="AE54" s="3102"/>
      <c r="AF54" s="3103"/>
      <c r="AG54" s="3103"/>
      <c r="AH54" s="3103"/>
      <c r="AI54" s="3103"/>
      <c r="AJ54" s="3103"/>
      <c r="AK54" s="3103"/>
      <c r="AL54" s="3103"/>
      <c r="AM54" s="3103"/>
      <c r="AN54" s="3103"/>
      <c r="AO54" s="3103"/>
      <c r="AP54" s="3103"/>
      <c r="AQ54" s="3103"/>
      <c r="AR54" s="3103"/>
      <c r="AS54" s="3103"/>
      <c r="AT54" s="3103"/>
      <c r="AU54" s="3103"/>
      <c r="AV54" s="3103"/>
      <c r="AW54" s="3103"/>
      <c r="AX54" s="3103"/>
      <c r="AY54" s="3103"/>
      <c r="AZ54" s="3059"/>
      <c r="BA54" s="3059"/>
      <c r="BB54" s="3059"/>
      <c r="BC54" s="3059"/>
      <c r="BD54" s="3103"/>
      <c r="BE54" s="3103"/>
      <c r="BF54" s="3103"/>
      <c r="BG54" s="3103"/>
      <c r="BH54" s="3103"/>
      <c r="BI54" s="3103"/>
      <c r="BJ54" s="3103"/>
      <c r="BK54" s="3077"/>
      <c r="BL54" s="3112"/>
      <c r="BM54" s="3103"/>
      <c r="BN54" s="3089"/>
      <c r="BO54" s="3089"/>
      <c r="BP54" s="3089"/>
      <c r="BQ54" s="3089"/>
      <c r="BR54" s="3104"/>
    </row>
    <row r="55" spans="1:70" ht="135" customHeight="1" x14ac:dyDescent="0.2">
      <c r="A55" s="1589"/>
      <c r="B55" s="1590"/>
      <c r="C55" s="1590"/>
      <c r="D55" s="1591"/>
      <c r="E55" s="1590"/>
      <c r="F55" s="1590"/>
      <c r="G55" s="1591"/>
      <c r="H55" s="1590"/>
      <c r="I55" s="1590"/>
      <c r="J55" s="3045"/>
      <c r="K55" s="3047"/>
      <c r="L55" s="3088"/>
      <c r="M55" s="3081"/>
      <c r="N55" s="3081"/>
      <c r="O55" s="3045"/>
      <c r="P55" s="3045"/>
      <c r="Q55" s="3047"/>
      <c r="R55" s="3086"/>
      <c r="S55" s="3087"/>
      <c r="T55" s="3047"/>
      <c r="U55" s="3047"/>
      <c r="V55" s="1593" t="s">
        <v>1091</v>
      </c>
      <c r="W55" s="1529">
        <v>17700000</v>
      </c>
      <c r="X55" s="1529">
        <v>17700000</v>
      </c>
      <c r="Y55" s="1561"/>
      <c r="Z55" s="1530">
        <v>20</v>
      </c>
      <c r="AA55" s="1594" t="s">
        <v>124</v>
      </c>
      <c r="AB55" s="3101"/>
      <c r="AC55" s="3101"/>
      <c r="AD55" s="3102"/>
      <c r="AE55" s="3102"/>
      <c r="AF55" s="3103"/>
      <c r="AG55" s="3103"/>
      <c r="AH55" s="3103"/>
      <c r="AI55" s="3103"/>
      <c r="AJ55" s="3103"/>
      <c r="AK55" s="3103"/>
      <c r="AL55" s="3103"/>
      <c r="AM55" s="3103"/>
      <c r="AN55" s="3103"/>
      <c r="AO55" s="3103"/>
      <c r="AP55" s="3103"/>
      <c r="AQ55" s="3103"/>
      <c r="AR55" s="3103"/>
      <c r="AS55" s="3103"/>
      <c r="AT55" s="3103"/>
      <c r="AU55" s="3103"/>
      <c r="AV55" s="3103"/>
      <c r="AW55" s="3103"/>
      <c r="AX55" s="3103"/>
      <c r="AY55" s="3103"/>
      <c r="AZ55" s="3059"/>
      <c r="BA55" s="3059"/>
      <c r="BB55" s="3059"/>
      <c r="BC55" s="3059"/>
      <c r="BD55" s="3103"/>
      <c r="BE55" s="3103"/>
      <c r="BF55" s="3103"/>
      <c r="BG55" s="3103"/>
      <c r="BH55" s="3103"/>
      <c r="BI55" s="3103"/>
      <c r="BJ55" s="3103"/>
      <c r="BK55" s="3077"/>
      <c r="BL55" s="3112"/>
      <c r="BM55" s="3103"/>
      <c r="BN55" s="3089"/>
      <c r="BO55" s="3089"/>
      <c r="BP55" s="3089"/>
      <c r="BQ55" s="3089"/>
      <c r="BR55" s="3104"/>
    </row>
    <row r="56" spans="1:70" ht="105" customHeight="1" x14ac:dyDescent="0.2">
      <c r="A56" s="1589"/>
      <c r="B56" s="1590"/>
      <c r="C56" s="1590"/>
      <c r="D56" s="1591"/>
      <c r="E56" s="1590"/>
      <c r="F56" s="1590"/>
      <c r="G56" s="1591"/>
      <c r="H56" s="1590"/>
      <c r="I56" s="1590"/>
      <c r="J56" s="3045"/>
      <c r="K56" s="3047"/>
      <c r="L56" s="3088"/>
      <c r="M56" s="3081"/>
      <c r="N56" s="3081"/>
      <c r="O56" s="3045"/>
      <c r="P56" s="3045"/>
      <c r="Q56" s="3047"/>
      <c r="R56" s="3086"/>
      <c r="S56" s="3087"/>
      <c r="T56" s="3047"/>
      <c r="U56" s="3047"/>
      <c r="V56" s="1593" t="s">
        <v>1092</v>
      </c>
      <c r="W56" s="1529">
        <v>10000000</v>
      </c>
      <c r="X56" s="1529">
        <f>W56</f>
        <v>10000000</v>
      </c>
      <c r="Y56" s="1561">
        <f>17030000-Y53-Y54</f>
        <v>3616500</v>
      </c>
      <c r="Z56" s="1530">
        <v>20</v>
      </c>
      <c r="AA56" s="1594" t="s">
        <v>124</v>
      </c>
      <c r="AB56" s="3101"/>
      <c r="AC56" s="3101"/>
      <c r="AD56" s="3102"/>
      <c r="AE56" s="3102"/>
      <c r="AF56" s="3103"/>
      <c r="AG56" s="3103"/>
      <c r="AH56" s="3103"/>
      <c r="AI56" s="3103"/>
      <c r="AJ56" s="3103"/>
      <c r="AK56" s="3103"/>
      <c r="AL56" s="3103"/>
      <c r="AM56" s="3103"/>
      <c r="AN56" s="3103"/>
      <c r="AO56" s="3103"/>
      <c r="AP56" s="3103"/>
      <c r="AQ56" s="3103"/>
      <c r="AR56" s="3103"/>
      <c r="AS56" s="3103"/>
      <c r="AT56" s="3103"/>
      <c r="AU56" s="3103"/>
      <c r="AV56" s="3103"/>
      <c r="AW56" s="3103"/>
      <c r="AX56" s="3103"/>
      <c r="AY56" s="3103"/>
      <c r="AZ56" s="3059"/>
      <c r="BA56" s="3059"/>
      <c r="BB56" s="3059"/>
      <c r="BC56" s="3059"/>
      <c r="BD56" s="3103"/>
      <c r="BE56" s="3103"/>
      <c r="BF56" s="3103"/>
      <c r="BG56" s="3103"/>
      <c r="BH56" s="3103"/>
      <c r="BI56" s="3103"/>
      <c r="BJ56" s="3103"/>
      <c r="BK56" s="3077"/>
      <c r="BL56" s="3112"/>
      <c r="BM56" s="3103"/>
      <c r="BN56" s="3089"/>
      <c r="BO56" s="3089"/>
      <c r="BP56" s="3089"/>
      <c r="BQ56" s="3089"/>
      <c r="BR56" s="3104"/>
    </row>
    <row r="57" spans="1:70" ht="58.5" customHeight="1" x14ac:dyDescent="0.2">
      <c r="A57" s="1589"/>
      <c r="B57" s="1590"/>
      <c r="C57" s="1590"/>
      <c r="D57" s="1591"/>
      <c r="E57" s="1590"/>
      <c r="F57" s="1590"/>
      <c r="G57" s="1591"/>
      <c r="H57" s="1590"/>
      <c r="I57" s="1590"/>
      <c r="J57" s="3045"/>
      <c r="K57" s="3047"/>
      <c r="L57" s="3088"/>
      <c r="M57" s="3081"/>
      <c r="N57" s="3081"/>
      <c r="O57" s="3045"/>
      <c r="P57" s="3045"/>
      <c r="Q57" s="3047"/>
      <c r="R57" s="3086"/>
      <c r="S57" s="3087"/>
      <c r="T57" s="3047"/>
      <c r="U57" s="3084" t="s">
        <v>1093</v>
      </c>
      <c r="V57" s="1593" t="s">
        <v>1094</v>
      </c>
      <c r="W57" s="1529">
        <f>17718900-7000000</f>
        <v>10718900</v>
      </c>
      <c r="X57" s="1529">
        <v>10718900</v>
      </c>
      <c r="Y57" s="1529">
        <v>10718900</v>
      </c>
      <c r="Z57" s="1530">
        <v>20</v>
      </c>
      <c r="AA57" s="1594" t="s">
        <v>124</v>
      </c>
      <c r="AB57" s="3101"/>
      <c r="AC57" s="3101"/>
      <c r="AD57" s="3102"/>
      <c r="AE57" s="3102"/>
      <c r="AF57" s="3103"/>
      <c r="AG57" s="3103"/>
      <c r="AH57" s="3103"/>
      <c r="AI57" s="3103"/>
      <c r="AJ57" s="3103"/>
      <c r="AK57" s="3103"/>
      <c r="AL57" s="3103"/>
      <c r="AM57" s="3103"/>
      <c r="AN57" s="3103"/>
      <c r="AO57" s="3103"/>
      <c r="AP57" s="3103"/>
      <c r="AQ57" s="3103"/>
      <c r="AR57" s="3103"/>
      <c r="AS57" s="3103"/>
      <c r="AT57" s="3103"/>
      <c r="AU57" s="3103"/>
      <c r="AV57" s="3103"/>
      <c r="AW57" s="3103"/>
      <c r="AX57" s="3103"/>
      <c r="AY57" s="3103"/>
      <c r="AZ57" s="3059"/>
      <c r="BA57" s="3059"/>
      <c r="BB57" s="3059"/>
      <c r="BC57" s="3059"/>
      <c r="BD57" s="3103"/>
      <c r="BE57" s="3103"/>
      <c r="BF57" s="3103"/>
      <c r="BG57" s="3103"/>
      <c r="BH57" s="3103"/>
      <c r="BI57" s="3103"/>
      <c r="BJ57" s="3103"/>
      <c r="BK57" s="3077"/>
      <c r="BL57" s="3112"/>
      <c r="BM57" s="3103"/>
      <c r="BN57" s="3089"/>
      <c r="BO57" s="3089"/>
      <c r="BP57" s="3089"/>
      <c r="BQ57" s="3089"/>
      <c r="BR57" s="3104"/>
    </row>
    <row r="58" spans="1:70" ht="58.5" customHeight="1" x14ac:dyDescent="0.2">
      <c r="A58" s="1589"/>
      <c r="B58" s="1590"/>
      <c r="C58" s="1590"/>
      <c r="D58" s="1591"/>
      <c r="E58" s="1590"/>
      <c r="F58" s="1590"/>
      <c r="G58" s="1591"/>
      <c r="H58" s="1590"/>
      <c r="I58" s="1590"/>
      <c r="J58" s="3045"/>
      <c r="K58" s="3047"/>
      <c r="L58" s="3088"/>
      <c r="M58" s="3081"/>
      <c r="N58" s="3081"/>
      <c r="O58" s="3045"/>
      <c r="P58" s="3045"/>
      <c r="Q58" s="3047"/>
      <c r="R58" s="3086"/>
      <c r="S58" s="3087"/>
      <c r="T58" s="3047"/>
      <c r="U58" s="3067"/>
      <c r="V58" s="1593" t="s">
        <v>1095</v>
      </c>
      <c r="W58" s="1561">
        <f>0+12000000+2000000+1000000</f>
        <v>15000000</v>
      </c>
      <c r="X58" s="1561">
        <v>14800000</v>
      </c>
      <c r="Y58" s="1561">
        <f>7533333+2000000</f>
        <v>9533333</v>
      </c>
      <c r="Z58" s="1530">
        <v>20</v>
      </c>
      <c r="AA58" s="1594" t="s">
        <v>124</v>
      </c>
      <c r="AB58" s="3101"/>
      <c r="AC58" s="3101"/>
      <c r="AD58" s="3102"/>
      <c r="AE58" s="3102"/>
      <c r="AF58" s="3103"/>
      <c r="AG58" s="3103"/>
      <c r="AH58" s="3103"/>
      <c r="AI58" s="3103"/>
      <c r="AJ58" s="3103"/>
      <c r="AK58" s="3103"/>
      <c r="AL58" s="3103"/>
      <c r="AM58" s="3103"/>
      <c r="AN58" s="3103"/>
      <c r="AO58" s="3103"/>
      <c r="AP58" s="3103"/>
      <c r="AQ58" s="3103"/>
      <c r="AR58" s="3103"/>
      <c r="AS58" s="3103"/>
      <c r="AT58" s="3103"/>
      <c r="AU58" s="3103"/>
      <c r="AV58" s="3103"/>
      <c r="AW58" s="3103"/>
      <c r="AX58" s="3103"/>
      <c r="AY58" s="3103"/>
      <c r="AZ58" s="3059"/>
      <c r="BA58" s="3059"/>
      <c r="BB58" s="3059"/>
      <c r="BC58" s="3059"/>
      <c r="BD58" s="3103"/>
      <c r="BE58" s="3103"/>
      <c r="BF58" s="3103"/>
      <c r="BG58" s="3103"/>
      <c r="BH58" s="3103"/>
      <c r="BI58" s="3103"/>
      <c r="BJ58" s="3103"/>
      <c r="BK58" s="3077"/>
      <c r="BL58" s="3112"/>
      <c r="BM58" s="3103"/>
      <c r="BN58" s="3089"/>
      <c r="BO58" s="3089"/>
      <c r="BP58" s="3089"/>
      <c r="BQ58" s="3089"/>
      <c r="BR58" s="3104"/>
    </row>
    <row r="59" spans="1:70" ht="58.5" customHeight="1" x14ac:dyDescent="0.2">
      <c r="A59" s="1589"/>
      <c r="B59" s="1590"/>
      <c r="C59" s="1590"/>
      <c r="D59" s="1591"/>
      <c r="E59" s="1590"/>
      <c r="F59" s="1590"/>
      <c r="G59" s="1591"/>
      <c r="H59" s="1590"/>
      <c r="I59" s="1590"/>
      <c r="J59" s="3045"/>
      <c r="K59" s="3047"/>
      <c r="L59" s="3088"/>
      <c r="M59" s="3081"/>
      <c r="N59" s="3081"/>
      <c r="O59" s="3045"/>
      <c r="P59" s="3045"/>
      <c r="Q59" s="3047"/>
      <c r="R59" s="3086"/>
      <c r="S59" s="3087"/>
      <c r="T59" s="3047"/>
      <c r="U59" s="3067"/>
      <c r="V59" s="1410" t="s">
        <v>1096</v>
      </c>
      <c r="W59" s="1561">
        <f>15613500-5306750</f>
        <v>10306750</v>
      </c>
      <c r="X59" s="1561">
        <v>10306750</v>
      </c>
      <c r="Y59" s="1561">
        <v>4354000</v>
      </c>
      <c r="Z59" s="1530">
        <v>20</v>
      </c>
      <c r="AA59" s="1594" t="s">
        <v>124</v>
      </c>
      <c r="AB59" s="3101"/>
      <c r="AC59" s="3101"/>
      <c r="AD59" s="3102"/>
      <c r="AE59" s="3102"/>
      <c r="AF59" s="3103"/>
      <c r="AG59" s="3103"/>
      <c r="AH59" s="3103"/>
      <c r="AI59" s="3103"/>
      <c r="AJ59" s="3103"/>
      <c r="AK59" s="3103"/>
      <c r="AL59" s="3103"/>
      <c r="AM59" s="3103"/>
      <c r="AN59" s="3103"/>
      <c r="AO59" s="3103"/>
      <c r="AP59" s="3103"/>
      <c r="AQ59" s="3103"/>
      <c r="AR59" s="3103"/>
      <c r="AS59" s="3103"/>
      <c r="AT59" s="3103"/>
      <c r="AU59" s="3103"/>
      <c r="AV59" s="3103"/>
      <c r="AW59" s="3103"/>
      <c r="AX59" s="3103"/>
      <c r="AY59" s="3103"/>
      <c r="AZ59" s="3059"/>
      <c r="BA59" s="3059"/>
      <c r="BB59" s="3059"/>
      <c r="BC59" s="3059"/>
      <c r="BD59" s="3103"/>
      <c r="BE59" s="3103"/>
      <c r="BF59" s="3103"/>
      <c r="BG59" s="3103"/>
      <c r="BH59" s="3103"/>
      <c r="BI59" s="3103"/>
      <c r="BJ59" s="3103"/>
      <c r="BK59" s="3077"/>
      <c r="BL59" s="3112"/>
      <c r="BM59" s="3103"/>
      <c r="BN59" s="3089"/>
      <c r="BO59" s="3089"/>
      <c r="BP59" s="3089"/>
      <c r="BQ59" s="3089"/>
      <c r="BR59" s="3104"/>
    </row>
    <row r="60" spans="1:70" ht="58.5" customHeight="1" x14ac:dyDescent="0.2">
      <c r="A60" s="1589"/>
      <c r="B60" s="1590"/>
      <c r="C60" s="1590"/>
      <c r="D60" s="1591"/>
      <c r="E60" s="1590"/>
      <c r="F60" s="1590"/>
      <c r="G60" s="1591"/>
      <c r="H60" s="1590"/>
      <c r="I60" s="1590"/>
      <c r="J60" s="3045"/>
      <c r="K60" s="3047"/>
      <c r="L60" s="3088"/>
      <c r="M60" s="3081"/>
      <c r="N60" s="3081"/>
      <c r="O60" s="3045"/>
      <c r="P60" s="3045"/>
      <c r="Q60" s="3047"/>
      <c r="R60" s="3086"/>
      <c r="S60" s="3087"/>
      <c r="T60" s="3047"/>
      <c r="U60" s="3067"/>
      <c r="V60" s="1410" t="s">
        <v>1097</v>
      </c>
      <c r="W60" s="1561">
        <f>0+4000000+5806750-9806750</f>
        <v>0</v>
      </c>
      <c r="X60" s="1561"/>
      <c r="Y60" s="1561"/>
      <c r="Z60" s="1530"/>
      <c r="AA60" s="1594"/>
      <c r="AB60" s="3101"/>
      <c r="AC60" s="3101"/>
      <c r="AD60" s="3102"/>
      <c r="AE60" s="3102"/>
      <c r="AF60" s="3103"/>
      <c r="AG60" s="3103"/>
      <c r="AH60" s="3103"/>
      <c r="AI60" s="3103"/>
      <c r="AJ60" s="3103"/>
      <c r="AK60" s="3103"/>
      <c r="AL60" s="3103"/>
      <c r="AM60" s="3103"/>
      <c r="AN60" s="3103"/>
      <c r="AO60" s="3103"/>
      <c r="AP60" s="3103"/>
      <c r="AQ60" s="3103"/>
      <c r="AR60" s="3103"/>
      <c r="AS60" s="3103"/>
      <c r="AT60" s="3103"/>
      <c r="AU60" s="3103"/>
      <c r="AV60" s="3103"/>
      <c r="AW60" s="3103"/>
      <c r="AX60" s="3103"/>
      <c r="AY60" s="3103"/>
      <c r="AZ60" s="3059"/>
      <c r="BA60" s="3059"/>
      <c r="BB60" s="3059"/>
      <c r="BC60" s="3059"/>
      <c r="BD60" s="3103"/>
      <c r="BE60" s="3103"/>
      <c r="BF60" s="3103"/>
      <c r="BG60" s="3103"/>
      <c r="BH60" s="3103"/>
      <c r="BI60" s="3103"/>
      <c r="BJ60" s="3103"/>
      <c r="BK60" s="3077"/>
      <c r="BL60" s="3112"/>
      <c r="BM60" s="3103"/>
      <c r="BN60" s="3089"/>
      <c r="BO60" s="3089"/>
      <c r="BP60" s="3089"/>
      <c r="BQ60" s="3089"/>
      <c r="BR60" s="3104"/>
    </row>
    <row r="61" spans="1:70" ht="58.5" customHeight="1" x14ac:dyDescent="0.2">
      <c r="A61" s="1589"/>
      <c r="B61" s="1590"/>
      <c r="C61" s="1590"/>
      <c r="D61" s="1591"/>
      <c r="E61" s="1590"/>
      <c r="F61" s="1590"/>
      <c r="G61" s="1591"/>
      <c r="H61" s="1590"/>
      <c r="I61" s="1590"/>
      <c r="J61" s="3045"/>
      <c r="K61" s="3047"/>
      <c r="L61" s="3088"/>
      <c r="M61" s="3081"/>
      <c r="N61" s="3081"/>
      <c r="O61" s="3045"/>
      <c r="P61" s="3045"/>
      <c r="Q61" s="3047"/>
      <c r="R61" s="3086"/>
      <c r="S61" s="3087"/>
      <c r="T61" s="3047"/>
      <c r="U61" s="3067"/>
      <c r="V61" s="1410" t="s">
        <v>1098</v>
      </c>
      <c r="W61" s="1561">
        <f>0+500000-500000</f>
        <v>0</v>
      </c>
      <c r="X61" s="1561"/>
      <c r="Y61" s="1561"/>
      <c r="Z61" s="1530"/>
      <c r="AA61" s="1594"/>
      <c r="AB61" s="3101"/>
      <c r="AC61" s="3101"/>
      <c r="AD61" s="3102"/>
      <c r="AE61" s="3102"/>
      <c r="AF61" s="3103"/>
      <c r="AG61" s="3103"/>
      <c r="AH61" s="3103"/>
      <c r="AI61" s="3103"/>
      <c r="AJ61" s="3103"/>
      <c r="AK61" s="3103"/>
      <c r="AL61" s="3103"/>
      <c r="AM61" s="3103"/>
      <c r="AN61" s="3103"/>
      <c r="AO61" s="3103"/>
      <c r="AP61" s="3103"/>
      <c r="AQ61" s="3103"/>
      <c r="AR61" s="3103"/>
      <c r="AS61" s="3103"/>
      <c r="AT61" s="3103"/>
      <c r="AU61" s="3103"/>
      <c r="AV61" s="3103"/>
      <c r="AW61" s="3103"/>
      <c r="AX61" s="3103"/>
      <c r="AY61" s="3103"/>
      <c r="AZ61" s="3059"/>
      <c r="BA61" s="3059"/>
      <c r="BB61" s="3059"/>
      <c r="BC61" s="3059"/>
      <c r="BD61" s="3103"/>
      <c r="BE61" s="3103"/>
      <c r="BF61" s="3103"/>
      <c r="BG61" s="3103"/>
      <c r="BH61" s="3103"/>
      <c r="BI61" s="3103"/>
      <c r="BJ61" s="3103"/>
      <c r="BK61" s="3077"/>
      <c r="BL61" s="3112"/>
      <c r="BM61" s="3103"/>
      <c r="BN61" s="3089"/>
      <c r="BO61" s="3089"/>
      <c r="BP61" s="3089"/>
      <c r="BQ61" s="3089"/>
      <c r="BR61" s="3104"/>
    </row>
    <row r="62" spans="1:70" ht="58.5" customHeight="1" x14ac:dyDescent="0.2">
      <c r="A62" s="1589"/>
      <c r="B62" s="1590"/>
      <c r="C62" s="1590"/>
      <c r="D62" s="1591"/>
      <c r="E62" s="1590"/>
      <c r="F62" s="1590"/>
      <c r="G62" s="1591"/>
      <c r="H62" s="1590"/>
      <c r="I62" s="1590"/>
      <c r="J62" s="3045"/>
      <c r="K62" s="3047"/>
      <c r="L62" s="3088"/>
      <c r="M62" s="3081"/>
      <c r="N62" s="3081"/>
      <c r="O62" s="3045"/>
      <c r="P62" s="3045"/>
      <c r="Q62" s="3047"/>
      <c r="R62" s="3086"/>
      <c r="S62" s="3087"/>
      <c r="T62" s="3047"/>
      <c r="U62" s="3067"/>
      <c r="V62" s="1410" t="s">
        <v>1099</v>
      </c>
      <c r="W62" s="1561">
        <f>0+10306750</f>
        <v>10306750</v>
      </c>
      <c r="X62" s="1561"/>
      <c r="Y62" s="1561"/>
      <c r="Z62" s="1530">
        <v>20</v>
      </c>
      <c r="AA62" s="1594" t="s">
        <v>124</v>
      </c>
      <c r="AB62" s="3101"/>
      <c r="AC62" s="3101"/>
      <c r="AD62" s="3102"/>
      <c r="AE62" s="3102"/>
      <c r="AF62" s="3103"/>
      <c r="AG62" s="3103"/>
      <c r="AH62" s="3103"/>
      <c r="AI62" s="3103"/>
      <c r="AJ62" s="3103"/>
      <c r="AK62" s="3103"/>
      <c r="AL62" s="3103"/>
      <c r="AM62" s="3103"/>
      <c r="AN62" s="3103"/>
      <c r="AO62" s="3103"/>
      <c r="AP62" s="3103"/>
      <c r="AQ62" s="3103"/>
      <c r="AR62" s="3103"/>
      <c r="AS62" s="3103"/>
      <c r="AT62" s="3103"/>
      <c r="AU62" s="3103"/>
      <c r="AV62" s="3103"/>
      <c r="AW62" s="3103"/>
      <c r="AX62" s="3103"/>
      <c r="AY62" s="3103"/>
      <c r="AZ62" s="3059"/>
      <c r="BA62" s="3059"/>
      <c r="BB62" s="3059"/>
      <c r="BC62" s="3059"/>
      <c r="BD62" s="3103"/>
      <c r="BE62" s="3103"/>
      <c r="BF62" s="3103"/>
      <c r="BG62" s="3103"/>
      <c r="BH62" s="3103"/>
      <c r="BI62" s="3103"/>
      <c r="BJ62" s="3103"/>
      <c r="BK62" s="3077"/>
      <c r="BL62" s="3112"/>
      <c r="BM62" s="3103"/>
      <c r="BN62" s="3089"/>
      <c r="BO62" s="3089"/>
      <c r="BP62" s="3089"/>
      <c r="BQ62" s="3089"/>
      <c r="BR62" s="3104"/>
    </row>
    <row r="63" spans="1:70" ht="58.5" customHeight="1" x14ac:dyDescent="0.2">
      <c r="A63" s="1589"/>
      <c r="B63" s="1590"/>
      <c r="C63" s="1590"/>
      <c r="D63" s="1591"/>
      <c r="E63" s="1590"/>
      <c r="F63" s="1590"/>
      <c r="G63" s="1591"/>
      <c r="H63" s="1590"/>
      <c r="I63" s="1590"/>
      <c r="J63" s="3045"/>
      <c r="K63" s="3047"/>
      <c r="L63" s="3088"/>
      <c r="M63" s="3081"/>
      <c r="N63" s="3081"/>
      <c r="O63" s="3045"/>
      <c r="P63" s="3045"/>
      <c r="Q63" s="3047"/>
      <c r="R63" s="3086"/>
      <c r="S63" s="3087"/>
      <c r="T63" s="3047"/>
      <c r="U63" s="3068"/>
      <c r="V63" s="1410" t="s">
        <v>1100</v>
      </c>
      <c r="W63" s="1561">
        <f>0+500000-500000</f>
        <v>0</v>
      </c>
      <c r="X63" s="1561"/>
      <c r="Y63" s="1561"/>
      <c r="Z63" s="1530"/>
      <c r="AA63" s="1594"/>
      <c r="AB63" s="3101"/>
      <c r="AC63" s="3101"/>
      <c r="AD63" s="3102"/>
      <c r="AE63" s="3102"/>
      <c r="AF63" s="3103"/>
      <c r="AG63" s="3103"/>
      <c r="AH63" s="3103"/>
      <c r="AI63" s="3103"/>
      <c r="AJ63" s="3103"/>
      <c r="AK63" s="3103"/>
      <c r="AL63" s="3103"/>
      <c r="AM63" s="3103"/>
      <c r="AN63" s="3103"/>
      <c r="AO63" s="3103"/>
      <c r="AP63" s="3103"/>
      <c r="AQ63" s="3103"/>
      <c r="AR63" s="3103"/>
      <c r="AS63" s="3103"/>
      <c r="AT63" s="3103"/>
      <c r="AU63" s="3103"/>
      <c r="AV63" s="3103"/>
      <c r="AW63" s="3103"/>
      <c r="AX63" s="3103"/>
      <c r="AY63" s="3103"/>
      <c r="AZ63" s="3059"/>
      <c r="BA63" s="3059"/>
      <c r="BB63" s="3059"/>
      <c r="BC63" s="3059"/>
      <c r="BD63" s="3103"/>
      <c r="BE63" s="3103"/>
      <c r="BF63" s="3103"/>
      <c r="BG63" s="3103"/>
      <c r="BH63" s="3103"/>
      <c r="BI63" s="3103"/>
      <c r="BJ63" s="3103"/>
      <c r="BK63" s="3077"/>
      <c r="BL63" s="3112"/>
      <c r="BM63" s="3103"/>
      <c r="BN63" s="3089"/>
      <c r="BO63" s="3089"/>
      <c r="BP63" s="3089"/>
      <c r="BQ63" s="3089"/>
      <c r="BR63" s="3104"/>
    </row>
    <row r="64" spans="1:70" ht="54.75" customHeight="1" x14ac:dyDescent="0.2">
      <c r="A64" s="1589"/>
      <c r="B64" s="1590"/>
      <c r="C64" s="1590"/>
      <c r="D64" s="1591"/>
      <c r="E64" s="1590"/>
      <c r="F64" s="1590"/>
      <c r="G64" s="1591"/>
      <c r="H64" s="1590"/>
      <c r="I64" s="1590"/>
      <c r="J64" s="3045"/>
      <c r="K64" s="3047"/>
      <c r="L64" s="3088"/>
      <c r="M64" s="3081"/>
      <c r="N64" s="3081"/>
      <c r="O64" s="3045"/>
      <c r="P64" s="3045"/>
      <c r="Q64" s="3047"/>
      <c r="R64" s="3086"/>
      <c r="S64" s="3087"/>
      <c r="T64" s="3047"/>
      <c r="U64" s="3047" t="s">
        <v>1101</v>
      </c>
      <c r="V64" s="1595" t="s">
        <v>1102</v>
      </c>
      <c r="W64" s="1561">
        <f>20000000-5000000-2000000-1000000</f>
        <v>12000000</v>
      </c>
      <c r="X64" s="1561"/>
      <c r="Y64" s="1561"/>
      <c r="Z64" s="1530">
        <v>20</v>
      </c>
      <c r="AA64" s="1594" t="s">
        <v>124</v>
      </c>
      <c r="AB64" s="3101"/>
      <c r="AC64" s="3101"/>
      <c r="AD64" s="3102"/>
      <c r="AE64" s="3102"/>
      <c r="AF64" s="3103"/>
      <c r="AG64" s="3103"/>
      <c r="AH64" s="3103"/>
      <c r="AI64" s="3103"/>
      <c r="AJ64" s="3103"/>
      <c r="AK64" s="3103"/>
      <c r="AL64" s="3103"/>
      <c r="AM64" s="3103"/>
      <c r="AN64" s="3103"/>
      <c r="AO64" s="3103"/>
      <c r="AP64" s="3103"/>
      <c r="AQ64" s="3103"/>
      <c r="AR64" s="3103"/>
      <c r="AS64" s="3103"/>
      <c r="AT64" s="3103"/>
      <c r="AU64" s="3103"/>
      <c r="AV64" s="3103"/>
      <c r="AW64" s="3103"/>
      <c r="AX64" s="3103"/>
      <c r="AY64" s="3103"/>
      <c r="AZ64" s="3059"/>
      <c r="BA64" s="3059"/>
      <c r="BB64" s="3059"/>
      <c r="BC64" s="3059"/>
      <c r="BD64" s="3103"/>
      <c r="BE64" s="3103"/>
      <c r="BF64" s="3103"/>
      <c r="BG64" s="3103"/>
      <c r="BH64" s="3103"/>
      <c r="BI64" s="3103"/>
      <c r="BJ64" s="3103"/>
      <c r="BK64" s="3077"/>
      <c r="BL64" s="3112"/>
      <c r="BM64" s="3103"/>
      <c r="BN64" s="3089"/>
      <c r="BO64" s="3089"/>
      <c r="BP64" s="3089"/>
      <c r="BQ64" s="3089"/>
      <c r="BR64" s="3104"/>
    </row>
    <row r="65" spans="1:70" ht="52.5" customHeight="1" x14ac:dyDescent="0.2">
      <c r="A65" s="1589"/>
      <c r="B65" s="1590"/>
      <c r="C65" s="1590"/>
      <c r="D65" s="1591"/>
      <c r="E65" s="1590"/>
      <c r="F65" s="1590"/>
      <c r="G65" s="1591"/>
      <c r="H65" s="1590"/>
      <c r="I65" s="1590"/>
      <c r="J65" s="3045"/>
      <c r="K65" s="3047"/>
      <c r="L65" s="3088"/>
      <c r="M65" s="3081"/>
      <c r="N65" s="3081"/>
      <c r="O65" s="3045"/>
      <c r="P65" s="3045"/>
      <c r="Q65" s="3047"/>
      <c r="R65" s="3086"/>
      <c r="S65" s="3087"/>
      <c r="T65" s="3047"/>
      <c r="U65" s="3047"/>
      <c r="V65" s="1595" t="s">
        <v>1103</v>
      </c>
      <c r="W65" s="1561">
        <f>20000000-5000000</f>
        <v>15000000</v>
      </c>
      <c r="X65" s="1561">
        <v>2000000</v>
      </c>
      <c r="Y65" s="1561">
        <v>1000000</v>
      </c>
      <c r="Z65" s="1530">
        <v>20</v>
      </c>
      <c r="AA65" s="1594" t="s">
        <v>124</v>
      </c>
      <c r="AB65" s="3101"/>
      <c r="AC65" s="3101"/>
      <c r="AD65" s="3102"/>
      <c r="AE65" s="3102"/>
      <c r="AF65" s="3103"/>
      <c r="AG65" s="3103"/>
      <c r="AH65" s="3103"/>
      <c r="AI65" s="3103"/>
      <c r="AJ65" s="3103"/>
      <c r="AK65" s="3103"/>
      <c r="AL65" s="3103"/>
      <c r="AM65" s="3103"/>
      <c r="AN65" s="3103"/>
      <c r="AO65" s="3103"/>
      <c r="AP65" s="3103"/>
      <c r="AQ65" s="3103"/>
      <c r="AR65" s="3103"/>
      <c r="AS65" s="3103"/>
      <c r="AT65" s="3103"/>
      <c r="AU65" s="3103"/>
      <c r="AV65" s="3103"/>
      <c r="AW65" s="3103"/>
      <c r="AX65" s="3103"/>
      <c r="AY65" s="3103"/>
      <c r="AZ65" s="3059"/>
      <c r="BA65" s="3059"/>
      <c r="BB65" s="3059"/>
      <c r="BC65" s="3059"/>
      <c r="BD65" s="3103"/>
      <c r="BE65" s="3103"/>
      <c r="BF65" s="3103"/>
      <c r="BG65" s="3103"/>
      <c r="BH65" s="3103"/>
      <c r="BI65" s="3103"/>
      <c r="BJ65" s="3103"/>
      <c r="BK65" s="3077"/>
      <c r="BL65" s="3112"/>
      <c r="BM65" s="3103"/>
      <c r="BN65" s="3089"/>
      <c r="BO65" s="3089"/>
      <c r="BP65" s="3089"/>
      <c r="BQ65" s="3089"/>
      <c r="BR65" s="3104"/>
    </row>
    <row r="66" spans="1:70" ht="24.75" customHeight="1" x14ac:dyDescent="0.2">
      <c r="A66" s="1536"/>
      <c r="B66" s="1537"/>
      <c r="C66" s="1537"/>
      <c r="D66" s="1596">
        <v>28</v>
      </c>
      <c r="E66" s="1597"/>
      <c r="F66" s="3105" t="s">
        <v>89</v>
      </c>
      <c r="G66" s="3105"/>
      <c r="H66" s="3105"/>
      <c r="I66" s="3105"/>
      <c r="J66" s="3105"/>
      <c r="K66" s="3105"/>
      <c r="L66" s="1598"/>
      <c r="M66" s="1599"/>
      <c r="N66" s="1599"/>
      <c r="O66" s="1599"/>
      <c r="P66" s="1599"/>
      <c r="Q66" s="1598"/>
      <c r="R66" s="1600"/>
      <c r="S66" s="1601"/>
      <c r="T66" s="1602"/>
      <c r="U66" s="1602"/>
      <c r="V66" s="1603"/>
      <c r="W66" s="1604"/>
      <c r="X66" s="1604"/>
      <c r="Y66" s="1604"/>
      <c r="Z66" s="1605"/>
      <c r="AA66" s="1606"/>
      <c r="AB66" s="1607"/>
      <c r="AC66" s="1607"/>
      <c r="AD66" s="1608"/>
      <c r="AE66" s="1608"/>
      <c r="AF66" s="1607"/>
      <c r="AG66" s="1607"/>
      <c r="AH66" s="1607"/>
      <c r="AI66" s="1607"/>
      <c r="AJ66" s="1607"/>
      <c r="AK66" s="1607"/>
      <c r="AL66" s="1607"/>
      <c r="AM66" s="1607"/>
      <c r="AN66" s="1607"/>
      <c r="AO66" s="1607"/>
      <c r="AP66" s="1607"/>
      <c r="AQ66" s="1607"/>
      <c r="AR66" s="1607"/>
      <c r="AS66" s="1607"/>
      <c r="AT66" s="1607"/>
      <c r="AU66" s="1607"/>
      <c r="AV66" s="1607"/>
      <c r="AW66" s="1607"/>
      <c r="AX66" s="1607"/>
      <c r="AY66" s="1607"/>
      <c r="AZ66" s="1607"/>
      <c r="BA66" s="1607"/>
      <c r="BB66" s="1607"/>
      <c r="BC66" s="1607"/>
      <c r="BD66" s="1607"/>
      <c r="BE66" s="1607"/>
      <c r="BF66" s="1607"/>
      <c r="BG66" s="1607"/>
      <c r="BH66" s="1607"/>
      <c r="BI66" s="1607"/>
      <c r="BJ66" s="1607"/>
      <c r="BK66" s="1609"/>
      <c r="BL66" s="1607"/>
      <c r="BM66" s="1607"/>
      <c r="BN66" s="1610"/>
      <c r="BO66" s="1610"/>
      <c r="BP66" s="1611"/>
      <c r="BQ66" s="1611"/>
      <c r="BR66" s="1612"/>
    </row>
    <row r="67" spans="1:70" ht="24.75" customHeight="1" x14ac:dyDescent="0.2">
      <c r="A67" s="1536"/>
      <c r="B67" s="1537"/>
      <c r="C67" s="1537"/>
      <c r="D67" s="1613"/>
      <c r="E67" s="1614"/>
      <c r="F67" s="1615"/>
      <c r="G67" s="1540">
        <v>87</v>
      </c>
      <c r="H67" s="814" t="s">
        <v>1104</v>
      </c>
      <c r="I67" s="814"/>
      <c r="J67" s="814"/>
      <c r="K67" s="814"/>
      <c r="L67" s="1541"/>
      <c r="M67" s="1542"/>
      <c r="N67" s="816"/>
      <c r="O67" s="816"/>
      <c r="P67" s="816"/>
      <c r="Q67" s="1541"/>
      <c r="R67" s="1543"/>
      <c r="S67" s="1587"/>
      <c r="T67" s="1545"/>
      <c r="U67" s="1545"/>
      <c r="V67" s="315"/>
      <c r="W67" s="1588"/>
      <c r="X67" s="1515"/>
      <c r="Y67" s="1515"/>
      <c r="Z67" s="1616"/>
      <c r="AA67" s="1617"/>
      <c r="AB67" s="1550"/>
      <c r="AC67" s="1550"/>
      <c r="AD67" s="1551"/>
      <c r="AE67" s="1551"/>
      <c r="AF67" s="1550"/>
      <c r="AG67" s="1618"/>
      <c r="AH67" s="1618"/>
      <c r="AI67" s="1618"/>
      <c r="AJ67" s="1618"/>
      <c r="AK67" s="1618"/>
      <c r="AL67" s="1618"/>
      <c r="AM67" s="1618"/>
      <c r="AN67" s="1618"/>
      <c r="AO67" s="1618"/>
      <c r="AP67" s="1618"/>
      <c r="AQ67" s="1618"/>
      <c r="AR67" s="1550"/>
      <c r="AS67" s="1550"/>
      <c r="AT67" s="1550"/>
      <c r="AU67" s="1550"/>
      <c r="AV67" s="1550"/>
      <c r="AW67" s="1550"/>
      <c r="AX67" s="1550"/>
      <c r="AY67" s="1550"/>
      <c r="AZ67" s="1550"/>
      <c r="BA67" s="1550"/>
      <c r="BB67" s="1550"/>
      <c r="BC67" s="1550"/>
      <c r="BD67" s="1550"/>
      <c r="BE67" s="1550"/>
      <c r="BF67" s="1550"/>
      <c r="BG67" s="1550"/>
      <c r="BH67" s="1550"/>
      <c r="BI67" s="1550"/>
      <c r="BJ67" s="1550"/>
      <c r="BK67" s="1552"/>
      <c r="BL67" s="1550"/>
      <c r="BM67" s="1550"/>
      <c r="BN67" s="1553"/>
      <c r="BO67" s="1553"/>
      <c r="BP67" s="1554"/>
      <c r="BQ67" s="1554"/>
      <c r="BR67" s="1555"/>
    </row>
    <row r="68" spans="1:70" s="1627" customFormat="1" ht="45.75" customHeight="1" x14ac:dyDescent="0.2">
      <c r="A68" s="1619"/>
      <c r="B68" s="1620"/>
      <c r="C68" s="1620"/>
      <c r="D68" s="1621"/>
      <c r="E68" s="1620"/>
      <c r="F68" s="1620"/>
      <c r="G68" s="1622"/>
      <c r="H68" s="1623"/>
      <c r="I68" s="1623"/>
      <c r="J68" s="3106">
        <v>257</v>
      </c>
      <c r="K68" s="3107" t="s">
        <v>1105</v>
      </c>
      <c r="L68" s="3107" t="s">
        <v>1106</v>
      </c>
      <c r="M68" s="3108">
        <v>1</v>
      </c>
      <c r="N68" s="3109">
        <v>0.75</v>
      </c>
      <c r="O68" s="3110" t="s">
        <v>1107</v>
      </c>
      <c r="P68" s="3110" t="s">
        <v>1108</v>
      </c>
      <c r="Q68" s="3123" t="s">
        <v>1109</v>
      </c>
      <c r="R68" s="3125">
        <f>SUM(W68:W76)/S68</f>
        <v>0.5551270815074496</v>
      </c>
      <c r="S68" s="3126">
        <f>SUM(W68:W83)</f>
        <v>399350000</v>
      </c>
      <c r="T68" s="3128" t="s">
        <v>1110</v>
      </c>
      <c r="U68" s="3107" t="s">
        <v>1111</v>
      </c>
      <c r="V68" s="1624" t="s">
        <v>1112</v>
      </c>
      <c r="W68" s="1561">
        <f>23200000-1208000</f>
        <v>21992000</v>
      </c>
      <c r="X68" s="1625">
        <v>21992000</v>
      </c>
      <c r="Y68" s="1625">
        <v>21992000</v>
      </c>
      <c r="Z68" s="1626">
        <v>20</v>
      </c>
      <c r="AA68" s="1565" t="s">
        <v>125</v>
      </c>
      <c r="AB68" s="3113">
        <v>294321</v>
      </c>
      <c r="AC68" s="3113">
        <f>AB68</f>
        <v>294321</v>
      </c>
      <c r="AD68" s="3117">
        <v>283947</v>
      </c>
      <c r="AE68" s="3117">
        <f>AD68</f>
        <v>283947</v>
      </c>
      <c r="AF68" s="3120">
        <v>135754</v>
      </c>
      <c r="AG68" s="3120">
        <f>AF68</f>
        <v>135754</v>
      </c>
      <c r="AH68" s="3132">
        <v>44640</v>
      </c>
      <c r="AI68" s="3132">
        <f>AH68</f>
        <v>44640</v>
      </c>
      <c r="AJ68" s="3132">
        <v>308178</v>
      </c>
      <c r="AK68" s="3132">
        <v>308178</v>
      </c>
      <c r="AL68" s="3132">
        <v>89696</v>
      </c>
      <c r="AM68" s="3132">
        <v>89696</v>
      </c>
      <c r="AN68" s="3132">
        <v>2145</v>
      </c>
      <c r="AO68" s="3132">
        <v>2145</v>
      </c>
      <c r="AP68" s="3132">
        <v>12718</v>
      </c>
      <c r="AQ68" s="3132">
        <v>12718</v>
      </c>
      <c r="AR68" s="3117">
        <v>26</v>
      </c>
      <c r="AS68" s="3117">
        <v>26</v>
      </c>
      <c r="AT68" s="3117">
        <v>37</v>
      </c>
      <c r="AU68" s="3117">
        <v>37</v>
      </c>
      <c r="AV68" s="3117"/>
      <c r="AW68" s="3117"/>
      <c r="AX68" s="3117"/>
      <c r="AY68" s="3117"/>
      <c r="AZ68" s="3151">
        <v>54612</v>
      </c>
      <c r="BA68" s="3151">
        <v>54612</v>
      </c>
      <c r="BB68" s="3117">
        <v>16982</v>
      </c>
      <c r="BC68" s="3117">
        <v>16982</v>
      </c>
      <c r="BD68" s="3117">
        <v>1010</v>
      </c>
      <c r="BE68" s="3117">
        <v>1010</v>
      </c>
      <c r="BF68" s="3117">
        <f>AB68+AD68</f>
        <v>578268</v>
      </c>
      <c r="BG68" s="3117">
        <f>AC68+AE68</f>
        <v>578268</v>
      </c>
      <c r="BH68" s="3117">
        <v>18</v>
      </c>
      <c r="BI68" s="3117">
        <f>SUM(X68:X83)</f>
        <v>280673206</v>
      </c>
      <c r="BJ68" s="3117">
        <f>SUM(Y68:Y83)</f>
        <v>197910600</v>
      </c>
      <c r="BK68" s="3148">
        <f>BJ68/BI68</f>
        <v>0.70512822659673469</v>
      </c>
      <c r="BL68" s="3117" t="s">
        <v>1060</v>
      </c>
      <c r="BM68" s="3117" t="s">
        <v>1113</v>
      </c>
      <c r="BN68" s="3145">
        <v>43467</v>
      </c>
      <c r="BO68" s="3145">
        <v>43482</v>
      </c>
      <c r="BP68" s="3145">
        <v>43830</v>
      </c>
      <c r="BQ68" s="3145">
        <v>43830</v>
      </c>
      <c r="BR68" s="3133" t="s">
        <v>1028</v>
      </c>
    </row>
    <row r="69" spans="1:70" s="1627" customFormat="1" ht="45.75" customHeight="1" x14ac:dyDescent="0.2">
      <c r="A69" s="1619"/>
      <c r="B69" s="1620"/>
      <c r="C69" s="1620"/>
      <c r="D69" s="1621"/>
      <c r="E69" s="1620"/>
      <c r="F69" s="1620"/>
      <c r="G69" s="1621"/>
      <c r="H69" s="1620"/>
      <c r="I69" s="1620"/>
      <c r="J69" s="3106"/>
      <c r="K69" s="3107"/>
      <c r="L69" s="3107"/>
      <c r="M69" s="3108"/>
      <c r="N69" s="3109"/>
      <c r="O69" s="3111"/>
      <c r="P69" s="3111"/>
      <c r="Q69" s="3124"/>
      <c r="R69" s="3125"/>
      <c r="S69" s="3127"/>
      <c r="T69" s="3129"/>
      <c r="U69" s="3107"/>
      <c r="V69" s="1624" t="s">
        <v>1114</v>
      </c>
      <c r="W69" s="1561">
        <f>68400000-68400000</f>
        <v>0</v>
      </c>
      <c r="X69" s="1625"/>
      <c r="Y69" s="1625"/>
      <c r="Z69" s="1626"/>
      <c r="AA69" s="1565"/>
      <c r="AB69" s="3114"/>
      <c r="AC69" s="3114"/>
      <c r="AD69" s="3118"/>
      <c r="AE69" s="3118"/>
      <c r="AF69" s="3121"/>
      <c r="AG69" s="3121"/>
      <c r="AH69" s="3132"/>
      <c r="AI69" s="3132"/>
      <c r="AJ69" s="3132"/>
      <c r="AK69" s="3132"/>
      <c r="AL69" s="3132"/>
      <c r="AM69" s="3132"/>
      <c r="AN69" s="3132"/>
      <c r="AO69" s="3132"/>
      <c r="AP69" s="3132"/>
      <c r="AQ69" s="3132"/>
      <c r="AR69" s="3118"/>
      <c r="AS69" s="3118"/>
      <c r="AT69" s="3118"/>
      <c r="AU69" s="3118"/>
      <c r="AV69" s="3118"/>
      <c r="AW69" s="3118"/>
      <c r="AX69" s="3118"/>
      <c r="AY69" s="3118"/>
      <c r="AZ69" s="3151"/>
      <c r="BA69" s="3151"/>
      <c r="BB69" s="3118"/>
      <c r="BC69" s="3118"/>
      <c r="BD69" s="3118"/>
      <c r="BE69" s="3118"/>
      <c r="BF69" s="3118"/>
      <c r="BG69" s="3118"/>
      <c r="BH69" s="3118"/>
      <c r="BI69" s="3118"/>
      <c r="BJ69" s="3118"/>
      <c r="BK69" s="3149"/>
      <c r="BL69" s="3118"/>
      <c r="BM69" s="3118"/>
      <c r="BN69" s="3146"/>
      <c r="BO69" s="3146"/>
      <c r="BP69" s="3146"/>
      <c r="BQ69" s="3146"/>
      <c r="BR69" s="3134"/>
    </row>
    <row r="70" spans="1:70" s="1627" customFormat="1" ht="45.75" customHeight="1" x14ac:dyDescent="0.2">
      <c r="A70" s="1619"/>
      <c r="B70" s="1620"/>
      <c r="C70" s="1620"/>
      <c r="D70" s="1621"/>
      <c r="E70" s="1620"/>
      <c r="F70" s="1620"/>
      <c r="G70" s="1621"/>
      <c r="H70" s="1620"/>
      <c r="I70" s="1620"/>
      <c r="J70" s="3106"/>
      <c r="K70" s="3107"/>
      <c r="L70" s="3107"/>
      <c r="M70" s="3108"/>
      <c r="N70" s="3109"/>
      <c r="O70" s="3111"/>
      <c r="P70" s="3111"/>
      <c r="Q70" s="3124"/>
      <c r="R70" s="3125"/>
      <c r="S70" s="3127"/>
      <c r="T70" s="3129"/>
      <c r="U70" s="3107"/>
      <c r="V70" s="3136" t="s">
        <v>1115</v>
      </c>
      <c r="W70" s="1561">
        <f>0+69608000</f>
        <v>69608000</v>
      </c>
      <c r="X70" s="1625">
        <v>69513867</v>
      </c>
      <c r="Y70" s="1625">
        <v>65653000</v>
      </c>
      <c r="Z70" s="1626">
        <v>20</v>
      </c>
      <c r="AA70" s="1565" t="s">
        <v>125</v>
      </c>
      <c r="AB70" s="3114"/>
      <c r="AC70" s="3114"/>
      <c r="AD70" s="3118"/>
      <c r="AE70" s="3118"/>
      <c r="AF70" s="3121"/>
      <c r="AG70" s="3121"/>
      <c r="AH70" s="3132"/>
      <c r="AI70" s="3132"/>
      <c r="AJ70" s="3132"/>
      <c r="AK70" s="3132"/>
      <c r="AL70" s="3132"/>
      <c r="AM70" s="3132"/>
      <c r="AN70" s="3132"/>
      <c r="AO70" s="3132"/>
      <c r="AP70" s="3132"/>
      <c r="AQ70" s="3132"/>
      <c r="AR70" s="3118"/>
      <c r="AS70" s="3118"/>
      <c r="AT70" s="3118"/>
      <c r="AU70" s="3118"/>
      <c r="AV70" s="3118"/>
      <c r="AW70" s="3118"/>
      <c r="AX70" s="3118"/>
      <c r="AY70" s="3118"/>
      <c r="AZ70" s="3151"/>
      <c r="BA70" s="3151"/>
      <c r="BB70" s="3118"/>
      <c r="BC70" s="3118"/>
      <c r="BD70" s="3118"/>
      <c r="BE70" s="3118"/>
      <c r="BF70" s="3118"/>
      <c r="BG70" s="3118"/>
      <c r="BH70" s="3118"/>
      <c r="BI70" s="3118"/>
      <c r="BJ70" s="3118"/>
      <c r="BK70" s="3149"/>
      <c r="BL70" s="3118"/>
      <c r="BM70" s="3118"/>
      <c r="BN70" s="3146"/>
      <c r="BO70" s="3146"/>
      <c r="BP70" s="3146"/>
      <c r="BQ70" s="3146"/>
      <c r="BR70" s="3134"/>
    </row>
    <row r="71" spans="1:70" s="1627" customFormat="1" ht="45.75" customHeight="1" x14ac:dyDescent="0.2">
      <c r="A71" s="1619"/>
      <c r="B71" s="1620"/>
      <c r="C71" s="1620"/>
      <c r="D71" s="1621"/>
      <c r="E71" s="1620"/>
      <c r="F71" s="1620"/>
      <c r="G71" s="1621"/>
      <c r="H71" s="1620"/>
      <c r="I71" s="1620"/>
      <c r="J71" s="3106"/>
      <c r="K71" s="3107"/>
      <c r="L71" s="3107"/>
      <c r="M71" s="3108"/>
      <c r="N71" s="3109"/>
      <c r="O71" s="3111"/>
      <c r="P71" s="3111"/>
      <c r="Q71" s="3124"/>
      <c r="R71" s="3125"/>
      <c r="S71" s="3127"/>
      <c r="T71" s="3129"/>
      <c r="U71" s="3107"/>
      <c r="V71" s="3137"/>
      <c r="W71" s="1561">
        <f>0+25833800+21050000</f>
        <v>46883800</v>
      </c>
      <c r="X71" s="1561">
        <v>44385200</v>
      </c>
      <c r="Y71" s="1561">
        <v>19886000</v>
      </c>
      <c r="Z71" s="1628">
        <v>88</v>
      </c>
      <c r="AA71" s="1629" t="s">
        <v>1116</v>
      </c>
      <c r="AB71" s="3114"/>
      <c r="AC71" s="3114"/>
      <c r="AD71" s="3118"/>
      <c r="AE71" s="3118"/>
      <c r="AF71" s="3121"/>
      <c r="AG71" s="3121"/>
      <c r="AH71" s="3132"/>
      <c r="AI71" s="3132"/>
      <c r="AJ71" s="3132"/>
      <c r="AK71" s="3132"/>
      <c r="AL71" s="3132"/>
      <c r="AM71" s="3132"/>
      <c r="AN71" s="3132"/>
      <c r="AO71" s="3132"/>
      <c r="AP71" s="3132"/>
      <c r="AQ71" s="3132"/>
      <c r="AR71" s="3118"/>
      <c r="AS71" s="3118"/>
      <c r="AT71" s="3118"/>
      <c r="AU71" s="3118"/>
      <c r="AV71" s="3118"/>
      <c r="AW71" s="3118"/>
      <c r="AX71" s="3118"/>
      <c r="AY71" s="3118"/>
      <c r="AZ71" s="3151"/>
      <c r="BA71" s="3151"/>
      <c r="BB71" s="3118"/>
      <c r="BC71" s="3118"/>
      <c r="BD71" s="3118"/>
      <c r="BE71" s="3118"/>
      <c r="BF71" s="3118"/>
      <c r="BG71" s="3118"/>
      <c r="BH71" s="3118"/>
      <c r="BI71" s="3118"/>
      <c r="BJ71" s="3118"/>
      <c r="BK71" s="3149"/>
      <c r="BL71" s="3118"/>
      <c r="BM71" s="3118"/>
      <c r="BN71" s="3146"/>
      <c r="BO71" s="3146"/>
      <c r="BP71" s="3146"/>
      <c r="BQ71" s="3146"/>
      <c r="BR71" s="3134"/>
    </row>
    <row r="72" spans="1:70" s="1627" customFormat="1" ht="45.75" customHeight="1" x14ac:dyDescent="0.2">
      <c r="A72" s="1619"/>
      <c r="B72" s="1620"/>
      <c r="C72" s="1620"/>
      <c r="D72" s="1621"/>
      <c r="E72" s="1620"/>
      <c r="F72" s="1620"/>
      <c r="G72" s="1621"/>
      <c r="H72" s="1620"/>
      <c r="I72" s="1620"/>
      <c r="J72" s="3106"/>
      <c r="K72" s="3107"/>
      <c r="L72" s="3107"/>
      <c r="M72" s="3108"/>
      <c r="N72" s="3109"/>
      <c r="O72" s="3111"/>
      <c r="P72" s="3111"/>
      <c r="Q72" s="3124"/>
      <c r="R72" s="3125"/>
      <c r="S72" s="3127"/>
      <c r="T72" s="3129"/>
      <c r="U72" s="3131"/>
      <c r="V72" s="3138" t="s">
        <v>1117</v>
      </c>
      <c r="W72" s="1630">
        <f>68400000-6360000</f>
        <v>62040000</v>
      </c>
      <c r="X72" s="1630">
        <v>62040000</v>
      </c>
      <c r="Y72" s="1630">
        <v>32579600</v>
      </c>
      <c r="Z72" s="1628">
        <v>20</v>
      </c>
      <c r="AA72" s="1629" t="s">
        <v>125</v>
      </c>
      <c r="AB72" s="3114"/>
      <c r="AC72" s="3114"/>
      <c r="AD72" s="3118"/>
      <c r="AE72" s="3118"/>
      <c r="AF72" s="3121"/>
      <c r="AG72" s="3121"/>
      <c r="AH72" s="3132"/>
      <c r="AI72" s="3132"/>
      <c r="AJ72" s="3132"/>
      <c r="AK72" s="3132"/>
      <c r="AL72" s="3132"/>
      <c r="AM72" s="3132"/>
      <c r="AN72" s="3132"/>
      <c r="AO72" s="3132"/>
      <c r="AP72" s="3132"/>
      <c r="AQ72" s="3132"/>
      <c r="AR72" s="3118"/>
      <c r="AS72" s="3118"/>
      <c r="AT72" s="3118"/>
      <c r="AU72" s="3118"/>
      <c r="AV72" s="3118"/>
      <c r="AW72" s="3118"/>
      <c r="AX72" s="3118"/>
      <c r="AY72" s="3118"/>
      <c r="AZ72" s="3151"/>
      <c r="BA72" s="3151"/>
      <c r="BB72" s="3118"/>
      <c r="BC72" s="3118"/>
      <c r="BD72" s="3118"/>
      <c r="BE72" s="3118"/>
      <c r="BF72" s="3118"/>
      <c r="BG72" s="3118"/>
      <c r="BH72" s="3118"/>
      <c r="BI72" s="3118"/>
      <c r="BJ72" s="3118"/>
      <c r="BK72" s="3149"/>
      <c r="BL72" s="3118"/>
      <c r="BM72" s="3118"/>
      <c r="BN72" s="3146"/>
      <c r="BO72" s="3146"/>
      <c r="BP72" s="3146"/>
      <c r="BQ72" s="3146"/>
      <c r="BR72" s="3134"/>
    </row>
    <row r="73" spans="1:70" s="1627" customFormat="1" ht="45.75" customHeight="1" x14ac:dyDescent="0.2">
      <c r="A73" s="1619"/>
      <c r="B73" s="1620"/>
      <c r="C73" s="1620"/>
      <c r="D73" s="1621"/>
      <c r="E73" s="1620"/>
      <c r="F73" s="1620"/>
      <c r="G73" s="1621"/>
      <c r="H73" s="1620"/>
      <c r="I73" s="1620"/>
      <c r="J73" s="3106"/>
      <c r="K73" s="3107"/>
      <c r="L73" s="3107"/>
      <c r="M73" s="3108"/>
      <c r="N73" s="3109"/>
      <c r="O73" s="3111"/>
      <c r="P73" s="3111"/>
      <c r="Q73" s="3124"/>
      <c r="R73" s="3125"/>
      <c r="S73" s="3127"/>
      <c r="T73" s="3129"/>
      <c r="U73" s="3131"/>
      <c r="V73" s="3138"/>
      <c r="W73" s="1630">
        <f>0+4584800</f>
        <v>4584800</v>
      </c>
      <c r="X73" s="1630">
        <v>4584800</v>
      </c>
      <c r="Y73" s="1630">
        <v>0</v>
      </c>
      <c r="Z73" s="1628">
        <v>88</v>
      </c>
      <c r="AA73" s="1631" t="s">
        <v>1116</v>
      </c>
      <c r="AB73" s="3115"/>
      <c r="AC73" s="3115"/>
      <c r="AD73" s="3118"/>
      <c r="AE73" s="3118"/>
      <c r="AF73" s="3121"/>
      <c r="AG73" s="3121"/>
      <c r="AH73" s="3132"/>
      <c r="AI73" s="3132"/>
      <c r="AJ73" s="3132"/>
      <c r="AK73" s="3132"/>
      <c r="AL73" s="3132"/>
      <c r="AM73" s="3132"/>
      <c r="AN73" s="3132"/>
      <c r="AO73" s="3132"/>
      <c r="AP73" s="3132"/>
      <c r="AQ73" s="3132"/>
      <c r="AR73" s="3118"/>
      <c r="AS73" s="3118"/>
      <c r="AT73" s="3118"/>
      <c r="AU73" s="3118"/>
      <c r="AV73" s="3118"/>
      <c r="AW73" s="3118"/>
      <c r="AX73" s="3118"/>
      <c r="AY73" s="3118"/>
      <c r="AZ73" s="3151"/>
      <c r="BA73" s="3151"/>
      <c r="BB73" s="3118"/>
      <c r="BC73" s="3118"/>
      <c r="BD73" s="3118"/>
      <c r="BE73" s="3118"/>
      <c r="BF73" s="3118"/>
      <c r="BG73" s="3118"/>
      <c r="BH73" s="3118"/>
      <c r="BI73" s="3118"/>
      <c r="BJ73" s="3118"/>
      <c r="BK73" s="3149"/>
      <c r="BL73" s="3118"/>
      <c r="BM73" s="3118"/>
      <c r="BN73" s="3146"/>
      <c r="BO73" s="3146"/>
      <c r="BP73" s="3146"/>
      <c r="BQ73" s="3146"/>
      <c r="BR73" s="3134"/>
    </row>
    <row r="74" spans="1:70" s="1627" customFormat="1" ht="45.75" customHeight="1" x14ac:dyDescent="0.2">
      <c r="A74" s="1619"/>
      <c r="B74" s="1620"/>
      <c r="C74" s="1620"/>
      <c r="D74" s="1621"/>
      <c r="E74" s="1620"/>
      <c r="F74" s="1620"/>
      <c r="G74" s="1621"/>
      <c r="H74" s="1620"/>
      <c r="I74" s="1620"/>
      <c r="J74" s="3106"/>
      <c r="K74" s="3107"/>
      <c r="L74" s="3107"/>
      <c r="M74" s="3108"/>
      <c r="N74" s="3109"/>
      <c r="O74" s="3111"/>
      <c r="P74" s="3111"/>
      <c r="Q74" s="3124"/>
      <c r="R74" s="3125"/>
      <c r="S74" s="3127"/>
      <c r="T74" s="3129"/>
      <c r="U74" s="3131"/>
      <c r="V74" s="1632" t="s">
        <v>1118</v>
      </c>
      <c r="W74" s="1633">
        <f>0+6360000</f>
        <v>6360000</v>
      </c>
      <c r="X74" s="1634">
        <v>6360000</v>
      </c>
      <c r="Y74" s="1634">
        <v>4800000</v>
      </c>
      <c r="Z74" s="1628">
        <v>20</v>
      </c>
      <c r="AA74" s="1635" t="s">
        <v>125</v>
      </c>
      <c r="AB74" s="3115"/>
      <c r="AC74" s="3115"/>
      <c r="AD74" s="3118"/>
      <c r="AE74" s="3118"/>
      <c r="AF74" s="3121"/>
      <c r="AG74" s="3121"/>
      <c r="AH74" s="3132"/>
      <c r="AI74" s="3132"/>
      <c r="AJ74" s="3132"/>
      <c r="AK74" s="3132"/>
      <c r="AL74" s="3132"/>
      <c r="AM74" s="3132"/>
      <c r="AN74" s="3132"/>
      <c r="AO74" s="3132"/>
      <c r="AP74" s="3132"/>
      <c r="AQ74" s="3132"/>
      <c r="AR74" s="3118"/>
      <c r="AS74" s="3118"/>
      <c r="AT74" s="3118"/>
      <c r="AU74" s="3118"/>
      <c r="AV74" s="3118"/>
      <c r="AW74" s="3118"/>
      <c r="AX74" s="3118"/>
      <c r="AY74" s="3118"/>
      <c r="AZ74" s="3151"/>
      <c r="BA74" s="3151"/>
      <c r="BB74" s="3118"/>
      <c r="BC74" s="3118"/>
      <c r="BD74" s="3118"/>
      <c r="BE74" s="3118"/>
      <c r="BF74" s="3118"/>
      <c r="BG74" s="3118"/>
      <c r="BH74" s="3118"/>
      <c r="BI74" s="3118"/>
      <c r="BJ74" s="3118"/>
      <c r="BK74" s="3149"/>
      <c r="BL74" s="3118"/>
      <c r="BM74" s="3118"/>
      <c r="BN74" s="3146"/>
      <c r="BO74" s="3146"/>
      <c r="BP74" s="3146"/>
      <c r="BQ74" s="3146"/>
      <c r="BR74" s="3134"/>
    </row>
    <row r="75" spans="1:70" s="1627" customFormat="1" ht="45.75" customHeight="1" x14ac:dyDescent="0.2">
      <c r="A75" s="1619"/>
      <c r="B75" s="1620"/>
      <c r="C75" s="1620"/>
      <c r="D75" s="1621"/>
      <c r="E75" s="1620"/>
      <c r="F75" s="1620"/>
      <c r="G75" s="1621"/>
      <c r="H75" s="1620"/>
      <c r="I75" s="1620"/>
      <c r="J75" s="3106"/>
      <c r="K75" s="3107"/>
      <c r="L75" s="3107"/>
      <c r="M75" s="3108"/>
      <c r="N75" s="3109"/>
      <c r="O75" s="3111"/>
      <c r="P75" s="3111"/>
      <c r="Q75" s="3124"/>
      <c r="R75" s="3125"/>
      <c r="S75" s="3127"/>
      <c r="T75" s="3129"/>
      <c r="U75" s="3131"/>
      <c r="V75" s="1636" t="s">
        <v>1119</v>
      </c>
      <c r="W75" s="1637">
        <f>0+3000000</f>
        <v>3000000</v>
      </c>
      <c r="X75" s="1630"/>
      <c r="Y75" s="1630"/>
      <c r="Z75" s="1628">
        <v>88</v>
      </c>
      <c r="AA75" s="1631" t="s">
        <v>1116</v>
      </c>
      <c r="AB75" s="3115"/>
      <c r="AC75" s="3115"/>
      <c r="AD75" s="3118"/>
      <c r="AE75" s="3118"/>
      <c r="AF75" s="3121"/>
      <c r="AG75" s="3121"/>
      <c r="AH75" s="3132"/>
      <c r="AI75" s="3132"/>
      <c r="AJ75" s="3132"/>
      <c r="AK75" s="3132"/>
      <c r="AL75" s="3132"/>
      <c r="AM75" s="3132"/>
      <c r="AN75" s="3132"/>
      <c r="AO75" s="3132"/>
      <c r="AP75" s="3132"/>
      <c r="AQ75" s="3132"/>
      <c r="AR75" s="3118"/>
      <c r="AS75" s="3118"/>
      <c r="AT75" s="3118"/>
      <c r="AU75" s="3118"/>
      <c r="AV75" s="3118"/>
      <c r="AW75" s="3118"/>
      <c r="AX75" s="3118"/>
      <c r="AY75" s="3118"/>
      <c r="AZ75" s="3151"/>
      <c r="BA75" s="3151"/>
      <c r="BB75" s="3118"/>
      <c r="BC75" s="3118"/>
      <c r="BD75" s="3118"/>
      <c r="BE75" s="3118"/>
      <c r="BF75" s="3118"/>
      <c r="BG75" s="3118"/>
      <c r="BH75" s="3118"/>
      <c r="BI75" s="3118"/>
      <c r="BJ75" s="3118"/>
      <c r="BK75" s="3149"/>
      <c r="BL75" s="3118"/>
      <c r="BM75" s="3118"/>
      <c r="BN75" s="3146"/>
      <c r="BO75" s="3146"/>
      <c r="BP75" s="3146"/>
      <c r="BQ75" s="3146"/>
      <c r="BR75" s="3134"/>
    </row>
    <row r="76" spans="1:70" s="1627" customFormat="1" ht="45.75" customHeight="1" x14ac:dyDescent="0.2">
      <c r="A76" s="1619"/>
      <c r="B76" s="1620"/>
      <c r="C76" s="1620"/>
      <c r="D76" s="1621"/>
      <c r="E76" s="1620"/>
      <c r="F76" s="1620"/>
      <c r="G76" s="1621"/>
      <c r="H76" s="1620"/>
      <c r="I76" s="1638"/>
      <c r="J76" s="3106"/>
      <c r="K76" s="3107"/>
      <c r="L76" s="3107"/>
      <c r="M76" s="3108"/>
      <c r="N76" s="3109"/>
      <c r="O76" s="3111"/>
      <c r="P76" s="3111"/>
      <c r="Q76" s="3124"/>
      <c r="R76" s="3125"/>
      <c r="S76" s="3127"/>
      <c r="T76" s="3129"/>
      <c r="U76" s="3131"/>
      <c r="V76" s="1639" t="s">
        <v>1120</v>
      </c>
      <c r="W76" s="1633">
        <f>0+7221400</f>
        <v>7221400</v>
      </c>
      <c r="X76" s="1634"/>
      <c r="Y76" s="1634"/>
      <c r="Z76" s="1628">
        <v>88</v>
      </c>
      <c r="AA76" s="1631" t="s">
        <v>1116</v>
      </c>
      <c r="AB76" s="3115"/>
      <c r="AC76" s="3115"/>
      <c r="AD76" s="3118"/>
      <c r="AE76" s="3118"/>
      <c r="AF76" s="3121"/>
      <c r="AG76" s="3121"/>
      <c r="AH76" s="3132"/>
      <c r="AI76" s="3132"/>
      <c r="AJ76" s="3132"/>
      <c r="AK76" s="3132"/>
      <c r="AL76" s="3132"/>
      <c r="AM76" s="3132"/>
      <c r="AN76" s="3132"/>
      <c r="AO76" s="3132"/>
      <c r="AP76" s="3132"/>
      <c r="AQ76" s="3132"/>
      <c r="AR76" s="3118"/>
      <c r="AS76" s="3118"/>
      <c r="AT76" s="3118"/>
      <c r="AU76" s="3118"/>
      <c r="AV76" s="3118"/>
      <c r="AW76" s="3118"/>
      <c r="AX76" s="3118"/>
      <c r="AY76" s="3118"/>
      <c r="AZ76" s="3151"/>
      <c r="BA76" s="3151"/>
      <c r="BB76" s="3118"/>
      <c r="BC76" s="3118"/>
      <c r="BD76" s="3118"/>
      <c r="BE76" s="3118"/>
      <c r="BF76" s="3118"/>
      <c r="BG76" s="3118"/>
      <c r="BH76" s="3118"/>
      <c r="BI76" s="3118"/>
      <c r="BJ76" s="3118"/>
      <c r="BK76" s="3149"/>
      <c r="BL76" s="3118"/>
      <c r="BM76" s="3118"/>
      <c r="BN76" s="3146"/>
      <c r="BO76" s="3146"/>
      <c r="BP76" s="3146"/>
      <c r="BQ76" s="3146"/>
      <c r="BR76" s="3134"/>
    </row>
    <row r="77" spans="1:70" s="1627" customFormat="1" ht="68.25" customHeight="1" x14ac:dyDescent="0.2">
      <c r="A77" s="1619"/>
      <c r="B77" s="1620"/>
      <c r="C77" s="1620"/>
      <c r="D77" s="1621"/>
      <c r="E77" s="1620"/>
      <c r="F77" s="1620"/>
      <c r="G77" s="1621"/>
      <c r="H77" s="1620"/>
      <c r="I77" s="1638"/>
      <c r="J77" s="1626">
        <v>258</v>
      </c>
      <c r="K77" s="1640" t="s">
        <v>1121</v>
      </c>
      <c r="L77" s="1640" t="s">
        <v>1122</v>
      </c>
      <c r="M77" s="1641">
        <v>1</v>
      </c>
      <c r="N77" s="1642">
        <v>0.75</v>
      </c>
      <c r="O77" s="3111"/>
      <c r="P77" s="3111"/>
      <c r="Q77" s="3124"/>
      <c r="R77" s="1643">
        <f>(W77)/S68</f>
        <v>7.4621259546763491E-2</v>
      </c>
      <c r="S77" s="3127"/>
      <c r="T77" s="3129"/>
      <c r="U77" s="1640" t="s">
        <v>1123</v>
      </c>
      <c r="V77" s="1644" t="s">
        <v>1124</v>
      </c>
      <c r="W77" s="1630">
        <v>29800000</v>
      </c>
      <c r="X77" s="1630">
        <v>22330672</v>
      </c>
      <c r="Y77" s="1630">
        <v>16960000</v>
      </c>
      <c r="Z77" s="1628" t="s">
        <v>123</v>
      </c>
      <c r="AA77" s="1645" t="s">
        <v>125</v>
      </c>
      <c r="AB77" s="3114"/>
      <c r="AC77" s="3114"/>
      <c r="AD77" s="3118"/>
      <c r="AE77" s="3118"/>
      <c r="AF77" s="3121"/>
      <c r="AG77" s="3121"/>
      <c r="AH77" s="3132"/>
      <c r="AI77" s="3132"/>
      <c r="AJ77" s="3132"/>
      <c r="AK77" s="3132"/>
      <c r="AL77" s="3132"/>
      <c r="AM77" s="3132"/>
      <c r="AN77" s="3132"/>
      <c r="AO77" s="3132"/>
      <c r="AP77" s="3132"/>
      <c r="AQ77" s="3132"/>
      <c r="AR77" s="3118"/>
      <c r="AS77" s="3118"/>
      <c r="AT77" s="3118"/>
      <c r="AU77" s="3118"/>
      <c r="AV77" s="3118"/>
      <c r="AW77" s="3118"/>
      <c r="AX77" s="3118"/>
      <c r="AY77" s="3118"/>
      <c r="AZ77" s="3151"/>
      <c r="BA77" s="3151"/>
      <c r="BB77" s="3118"/>
      <c r="BC77" s="3118"/>
      <c r="BD77" s="3118"/>
      <c r="BE77" s="3118"/>
      <c r="BF77" s="3118"/>
      <c r="BG77" s="3118"/>
      <c r="BH77" s="3118"/>
      <c r="BI77" s="3118"/>
      <c r="BJ77" s="3118"/>
      <c r="BK77" s="3149"/>
      <c r="BL77" s="3118"/>
      <c r="BM77" s="3118"/>
      <c r="BN77" s="3146"/>
      <c r="BO77" s="3146"/>
      <c r="BP77" s="3146"/>
      <c r="BQ77" s="3146"/>
      <c r="BR77" s="3134"/>
    </row>
    <row r="78" spans="1:70" s="1627" customFormat="1" ht="45.75" customHeight="1" x14ac:dyDescent="0.2">
      <c r="A78" s="1619"/>
      <c r="B78" s="1620"/>
      <c r="C78" s="1620"/>
      <c r="D78" s="1621"/>
      <c r="E78" s="1620"/>
      <c r="F78" s="1620"/>
      <c r="G78" s="1621"/>
      <c r="H78" s="1620"/>
      <c r="I78" s="1620"/>
      <c r="J78" s="1628">
        <v>259</v>
      </c>
      <c r="K78" s="1406" t="s">
        <v>1125</v>
      </c>
      <c r="L78" s="1406" t="s">
        <v>1126</v>
      </c>
      <c r="M78" s="1646">
        <v>1</v>
      </c>
      <c r="N78" s="1647">
        <v>0.7</v>
      </c>
      <c r="O78" s="3111"/>
      <c r="P78" s="3111"/>
      <c r="Q78" s="3124"/>
      <c r="R78" s="1648">
        <f>W78/S68</f>
        <v>2.1284587454613747E-2</v>
      </c>
      <c r="S78" s="3127"/>
      <c r="T78" s="3129"/>
      <c r="U78" s="1406" t="s">
        <v>1127</v>
      </c>
      <c r="V78" s="1649" t="s">
        <v>1128</v>
      </c>
      <c r="W78" s="1630">
        <v>8500000</v>
      </c>
      <c r="X78" s="1630"/>
      <c r="Y78" s="1630"/>
      <c r="Z78" s="1628" t="s">
        <v>123</v>
      </c>
      <c r="AA78" s="1629" t="s">
        <v>125</v>
      </c>
      <c r="AB78" s="3114"/>
      <c r="AC78" s="3114"/>
      <c r="AD78" s="3118"/>
      <c r="AE78" s="3118"/>
      <c r="AF78" s="3121"/>
      <c r="AG78" s="3121"/>
      <c r="AH78" s="3132"/>
      <c r="AI78" s="3132"/>
      <c r="AJ78" s="3132"/>
      <c r="AK78" s="3132"/>
      <c r="AL78" s="3132"/>
      <c r="AM78" s="3132"/>
      <c r="AN78" s="3132"/>
      <c r="AO78" s="3132"/>
      <c r="AP78" s="3132"/>
      <c r="AQ78" s="3132"/>
      <c r="AR78" s="3118"/>
      <c r="AS78" s="3118"/>
      <c r="AT78" s="3118"/>
      <c r="AU78" s="3118"/>
      <c r="AV78" s="3118"/>
      <c r="AW78" s="3118"/>
      <c r="AX78" s="3118"/>
      <c r="AY78" s="3118"/>
      <c r="AZ78" s="3151"/>
      <c r="BA78" s="3151"/>
      <c r="BB78" s="3118"/>
      <c r="BC78" s="3118"/>
      <c r="BD78" s="3118"/>
      <c r="BE78" s="3118"/>
      <c r="BF78" s="3118"/>
      <c r="BG78" s="3118"/>
      <c r="BH78" s="3118"/>
      <c r="BI78" s="3118"/>
      <c r="BJ78" s="3118"/>
      <c r="BK78" s="3149"/>
      <c r="BL78" s="3118"/>
      <c r="BM78" s="3118"/>
      <c r="BN78" s="3146"/>
      <c r="BO78" s="3146"/>
      <c r="BP78" s="3146"/>
      <c r="BQ78" s="3146"/>
      <c r="BR78" s="3134"/>
    </row>
    <row r="79" spans="1:70" s="1627" customFormat="1" ht="45.75" customHeight="1" x14ac:dyDescent="0.2">
      <c r="A79" s="1619"/>
      <c r="B79" s="1620"/>
      <c r="C79" s="1620"/>
      <c r="D79" s="1621"/>
      <c r="E79" s="1620"/>
      <c r="F79" s="1620"/>
      <c r="G79" s="1621"/>
      <c r="H79" s="1620"/>
      <c r="I79" s="1620"/>
      <c r="J79" s="1628">
        <v>263</v>
      </c>
      <c r="K79" s="1406" t="s">
        <v>1129</v>
      </c>
      <c r="L79" s="1406" t="s">
        <v>1130</v>
      </c>
      <c r="M79" s="1646">
        <v>1</v>
      </c>
      <c r="N79" s="1646"/>
      <c r="O79" s="3111"/>
      <c r="P79" s="3111"/>
      <c r="Q79" s="3124"/>
      <c r="R79" s="1648">
        <f>W79/S68</f>
        <v>0.20032552898459999</v>
      </c>
      <c r="S79" s="3127"/>
      <c r="T79" s="3129"/>
      <c r="U79" s="1406" t="s">
        <v>1131</v>
      </c>
      <c r="V79" s="1649" t="s">
        <v>1132</v>
      </c>
      <c r="W79" s="1630">
        <v>80000000</v>
      </c>
      <c r="X79" s="1630"/>
      <c r="Y79" s="1630"/>
      <c r="Z79" s="1628" t="s">
        <v>123</v>
      </c>
      <c r="AA79" s="1629" t="s">
        <v>125</v>
      </c>
      <c r="AB79" s="3114"/>
      <c r="AC79" s="3114"/>
      <c r="AD79" s="3118"/>
      <c r="AE79" s="3118"/>
      <c r="AF79" s="3121"/>
      <c r="AG79" s="3121"/>
      <c r="AH79" s="3132"/>
      <c r="AI79" s="3132"/>
      <c r="AJ79" s="3132"/>
      <c r="AK79" s="3132"/>
      <c r="AL79" s="3132"/>
      <c r="AM79" s="3132"/>
      <c r="AN79" s="3132"/>
      <c r="AO79" s="3132"/>
      <c r="AP79" s="3132"/>
      <c r="AQ79" s="3132"/>
      <c r="AR79" s="3118"/>
      <c r="AS79" s="3118"/>
      <c r="AT79" s="3118"/>
      <c r="AU79" s="3118"/>
      <c r="AV79" s="3118"/>
      <c r="AW79" s="3118"/>
      <c r="AX79" s="3118"/>
      <c r="AY79" s="3118"/>
      <c r="AZ79" s="3151"/>
      <c r="BA79" s="3151"/>
      <c r="BB79" s="3118"/>
      <c r="BC79" s="3118"/>
      <c r="BD79" s="3118"/>
      <c r="BE79" s="3118"/>
      <c r="BF79" s="3118"/>
      <c r="BG79" s="3118"/>
      <c r="BH79" s="3118"/>
      <c r="BI79" s="3118"/>
      <c r="BJ79" s="3118"/>
      <c r="BK79" s="3149"/>
      <c r="BL79" s="3118"/>
      <c r="BM79" s="3118"/>
      <c r="BN79" s="3146"/>
      <c r="BO79" s="3146"/>
      <c r="BP79" s="3146"/>
      <c r="BQ79" s="3146"/>
      <c r="BR79" s="3134"/>
    </row>
    <row r="80" spans="1:70" s="1627" customFormat="1" ht="45.75" customHeight="1" x14ac:dyDescent="0.2">
      <c r="A80" s="1619"/>
      <c r="B80" s="1620"/>
      <c r="C80" s="1620"/>
      <c r="D80" s="1621"/>
      <c r="E80" s="1620"/>
      <c r="F80" s="1620"/>
      <c r="G80" s="1621"/>
      <c r="H80" s="1620"/>
      <c r="I80" s="1620"/>
      <c r="J80" s="3139">
        <v>261</v>
      </c>
      <c r="K80" s="3128" t="s">
        <v>1133</v>
      </c>
      <c r="L80" s="3128" t="s">
        <v>1134</v>
      </c>
      <c r="M80" s="3141">
        <v>2</v>
      </c>
      <c r="N80" s="3141">
        <v>2</v>
      </c>
      <c r="O80" s="3111"/>
      <c r="P80" s="3111"/>
      <c r="Q80" s="3124"/>
      <c r="R80" s="3143">
        <f>SUM(W80:W83)/S68</f>
        <v>0.14864154250657319</v>
      </c>
      <c r="S80" s="3127"/>
      <c r="T80" s="3129"/>
      <c r="U80" s="3128" t="s">
        <v>1135</v>
      </c>
      <c r="V80" s="3161" t="s">
        <v>1136</v>
      </c>
      <c r="W80" s="1630">
        <v>26400000</v>
      </c>
      <c r="X80" s="1630">
        <v>18200000</v>
      </c>
      <c r="Y80" s="1630">
        <v>18200000</v>
      </c>
      <c r="Z80" s="1628" t="s">
        <v>123</v>
      </c>
      <c r="AA80" s="1629" t="s">
        <v>125</v>
      </c>
      <c r="AB80" s="3114"/>
      <c r="AC80" s="3114"/>
      <c r="AD80" s="3118"/>
      <c r="AE80" s="3118"/>
      <c r="AF80" s="3121"/>
      <c r="AG80" s="3121"/>
      <c r="AH80" s="3132"/>
      <c r="AI80" s="3132"/>
      <c r="AJ80" s="3132"/>
      <c r="AK80" s="3132"/>
      <c r="AL80" s="3132"/>
      <c r="AM80" s="3132"/>
      <c r="AN80" s="3132"/>
      <c r="AO80" s="3132"/>
      <c r="AP80" s="3132"/>
      <c r="AQ80" s="3132"/>
      <c r="AR80" s="3118"/>
      <c r="AS80" s="3118"/>
      <c r="AT80" s="3118"/>
      <c r="AU80" s="3118"/>
      <c r="AV80" s="3118"/>
      <c r="AW80" s="3118"/>
      <c r="AX80" s="3118"/>
      <c r="AY80" s="3118"/>
      <c r="AZ80" s="3151"/>
      <c r="BA80" s="3151"/>
      <c r="BB80" s="3118"/>
      <c r="BC80" s="3118"/>
      <c r="BD80" s="3118"/>
      <c r="BE80" s="3118"/>
      <c r="BF80" s="3118"/>
      <c r="BG80" s="3118"/>
      <c r="BH80" s="3118"/>
      <c r="BI80" s="3118"/>
      <c r="BJ80" s="3118"/>
      <c r="BK80" s="3149"/>
      <c r="BL80" s="3118"/>
      <c r="BM80" s="3118"/>
      <c r="BN80" s="3146"/>
      <c r="BO80" s="3146"/>
      <c r="BP80" s="3146"/>
      <c r="BQ80" s="3146"/>
      <c r="BR80" s="3134"/>
    </row>
    <row r="81" spans="1:70" s="1627" customFormat="1" ht="45.75" customHeight="1" x14ac:dyDescent="0.2">
      <c r="A81" s="1619"/>
      <c r="B81" s="1620"/>
      <c r="C81" s="1620"/>
      <c r="D81" s="1621"/>
      <c r="E81" s="1620"/>
      <c r="F81" s="1620"/>
      <c r="G81" s="1621"/>
      <c r="H81" s="1620"/>
      <c r="I81" s="1620"/>
      <c r="J81" s="3140"/>
      <c r="K81" s="3129"/>
      <c r="L81" s="3129"/>
      <c r="M81" s="3142"/>
      <c r="N81" s="3142"/>
      <c r="O81" s="3111"/>
      <c r="P81" s="3111"/>
      <c r="Q81" s="3124"/>
      <c r="R81" s="3144"/>
      <c r="S81" s="3127"/>
      <c r="T81" s="3129"/>
      <c r="U81" s="3129"/>
      <c r="V81" s="3137"/>
      <c r="W81" s="1630">
        <f>0+8760000</f>
        <v>8760000</v>
      </c>
      <c r="X81" s="1630">
        <v>8760000</v>
      </c>
      <c r="Y81" s="1630">
        <v>0</v>
      </c>
      <c r="Z81" s="1628">
        <v>88</v>
      </c>
      <c r="AA81" s="1631" t="s">
        <v>1116</v>
      </c>
      <c r="AB81" s="3114"/>
      <c r="AC81" s="3114"/>
      <c r="AD81" s="3118"/>
      <c r="AE81" s="3118"/>
      <c r="AF81" s="3121"/>
      <c r="AG81" s="3121"/>
      <c r="AH81" s="3132"/>
      <c r="AI81" s="3132"/>
      <c r="AJ81" s="3132"/>
      <c r="AK81" s="3132"/>
      <c r="AL81" s="3132"/>
      <c r="AM81" s="3132"/>
      <c r="AN81" s="3132"/>
      <c r="AO81" s="3132"/>
      <c r="AP81" s="3132"/>
      <c r="AQ81" s="3132"/>
      <c r="AR81" s="3118"/>
      <c r="AS81" s="3118"/>
      <c r="AT81" s="3118"/>
      <c r="AU81" s="3118"/>
      <c r="AV81" s="3118"/>
      <c r="AW81" s="3118"/>
      <c r="AX81" s="3118"/>
      <c r="AY81" s="3118"/>
      <c r="AZ81" s="3151"/>
      <c r="BA81" s="3151"/>
      <c r="BB81" s="3118"/>
      <c r="BC81" s="3118"/>
      <c r="BD81" s="3118"/>
      <c r="BE81" s="3118"/>
      <c r="BF81" s="3118"/>
      <c r="BG81" s="3118"/>
      <c r="BH81" s="3118"/>
      <c r="BI81" s="3118"/>
      <c r="BJ81" s="3118"/>
      <c r="BK81" s="3149"/>
      <c r="BL81" s="3118"/>
      <c r="BM81" s="3118"/>
      <c r="BN81" s="3146"/>
      <c r="BO81" s="3146"/>
      <c r="BP81" s="3146"/>
      <c r="BQ81" s="3146"/>
      <c r="BR81" s="3134"/>
    </row>
    <row r="82" spans="1:70" s="1627" customFormat="1" ht="45.75" customHeight="1" x14ac:dyDescent="0.2">
      <c r="A82" s="1619"/>
      <c r="B82" s="1620"/>
      <c r="C82" s="1620"/>
      <c r="D82" s="1621"/>
      <c r="E82" s="1620"/>
      <c r="F82" s="1620"/>
      <c r="G82" s="1621"/>
      <c r="H82" s="1620"/>
      <c r="I82" s="1620"/>
      <c r="J82" s="3140"/>
      <c r="K82" s="3129"/>
      <c r="L82" s="3129"/>
      <c r="M82" s="3142"/>
      <c r="N82" s="3142"/>
      <c r="O82" s="3111"/>
      <c r="P82" s="3111"/>
      <c r="Q82" s="3124"/>
      <c r="R82" s="3144"/>
      <c r="S82" s="3127"/>
      <c r="T82" s="3129"/>
      <c r="U82" s="3129"/>
      <c r="V82" s="3161" t="s">
        <v>1137</v>
      </c>
      <c r="W82" s="1561">
        <v>13600000</v>
      </c>
      <c r="X82" s="1561">
        <v>13600000</v>
      </c>
      <c r="Y82" s="1561">
        <v>13600000</v>
      </c>
      <c r="Z82" s="1628">
        <v>20</v>
      </c>
      <c r="AA82" s="1629" t="s">
        <v>125</v>
      </c>
      <c r="AB82" s="3114"/>
      <c r="AC82" s="3114"/>
      <c r="AD82" s="3118"/>
      <c r="AE82" s="3118"/>
      <c r="AF82" s="3121"/>
      <c r="AG82" s="3121"/>
      <c r="AH82" s="3132"/>
      <c r="AI82" s="3132"/>
      <c r="AJ82" s="3132"/>
      <c r="AK82" s="3132"/>
      <c r="AL82" s="3132"/>
      <c r="AM82" s="3132"/>
      <c r="AN82" s="3132"/>
      <c r="AO82" s="3132"/>
      <c r="AP82" s="3132"/>
      <c r="AQ82" s="3132"/>
      <c r="AR82" s="3118"/>
      <c r="AS82" s="3118"/>
      <c r="AT82" s="3118"/>
      <c r="AU82" s="3118"/>
      <c r="AV82" s="3118"/>
      <c r="AW82" s="3118"/>
      <c r="AX82" s="3118"/>
      <c r="AY82" s="3118"/>
      <c r="AZ82" s="3151"/>
      <c r="BA82" s="3151"/>
      <c r="BB82" s="3118"/>
      <c r="BC82" s="3118"/>
      <c r="BD82" s="3118"/>
      <c r="BE82" s="3118"/>
      <c r="BF82" s="3118"/>
      <c r="BG82" s="3118"/>
      <c r="BH82" s="3118"/>
      <c r="BI82" s="3118"/>
      <c r="BJ82" s="3118"/>
      <c r="BK82" s="3149"/>
      <c r="BL82" s="3118"/>
      <c r="BM82" s="3118"/>
      <c r="BN82" s="3146"/>
      <c r="BO82" s="3146"/>
      <c r="BP82" s="3146"/>
      <c r="BQ82" s="3146"/>
      <c r="BR82" s="3134"/>
    </row>
    <row r="83" spans="1:70" s="1627" customFormat="1" ht="45.75" customHeight="1" x14ac:dyDescent="0.2">
      <c r="A83" s="1619"/>
      <c r="B83" s="1620"/>
      <c r="C83" s="1620"/>
      <c r="D83" s="1621"/>
      <c r="E83" s="1620"/>
      <c r="F83" s="1620"/>
      <c r="G83" s="1621"/>
      <c r="H83" s="1620"/>
      <c r="I83" s="1620"/>
      <c r="J83" s="3140"/>
      <c r="K83" s="3129"/>
      <c r="L83" s="3129"/>
      <c r="M83" s="3142"/>
      <c r="N83" s="3142"/>
      <c r="O83" s="3111"/>
      <c r="P83" s="3111"/>
      <c r="Q83" s="3124"/>
      <c r="R83" s="3144"/>
      <c r="S83" s="3127"/>
      <c r="T83" s="3130"/>
      <c r="U83" s="3130"/>
      <c r="V83" s="3137"/>
      <c r="W83" s="1650">
        <f>0+10600000</f>
        <v>10600000</v>
      </c>
      <c r="X83" s="1650">
        <v>8906667</v>
      </c>
      <c r="Y83" s="1650">
        <v>4240000</v>
      </c>
      <c r="Z83" s="1628">
        <v>88</v>
      </c>
      <c r="AA83" s="1631" t="s">
        <v>1116</v>
      </c>
      <c r="AB83" s="3116"/>
      <c r="AC83" s="3116"/>
      <c r="AD83" s="3119"/>
      <c r="AE83" s="3119"/>
      <c r="AF83" s="3122"/>
      <c r="AG83" s="3122"/>
      <c r="AH83" s="3132"/>
      <c r="AI83" s="3132"/>
      <c r="AJ83" s="3132"/>
      <c r="AK83" s="3132"/>
      <c r="AL83" s="3132"/>
      <c r="AM83" s="3132"/>
      <c r="AN83" s="3132"/>
      <c r="AO83" s="3132"/>
      <c r="AP83" s="3132"/>
      <c r="AQ83" s="3132"/>
      <c r="AR83" s="3119"/>
      <c r="AS83" s="3119"/>
      <c r="AT83" s="3119"/>
      <c r="AU83" s="3119"/>
      <c r="AV83" s="3119"/>
      <c r="AW83" s="3119"/>
      <c r="AX83" s="3119"/>
      <c r="AY83" s="3119"/>
      <c r="AZ83" s="3151"/>
      <c r="BA83" s="3151"/>
      <c r="BB83" s="3119"/>
      <c r="BC83" s="3119"/>
      <c r="BD83" s="3119"/>
      <c r="BE83" s="3119"/>
      <c r="BF83" s="3119"/>
      <c r="BG83" s="3119"/>
      <c r="BH83" s="3119"/>
      <c r="BI83" s="3119"/>
      <c r="BJ83" s="3119"/>
      <c r="BK83" s="3150"/>
      <c r="BL83" s="3119"/>
      <c r="BM83" s="3119"/>
      <c r="BN83" s="3147"/>
      <c r="BO83" s="3147"/>
      <c r="BP83" s="3147"/>
      <c r="BQ83" s="3147"/>
      <c r="BR83" s="3135"/>
    </row>
    <row r="84" spans="1:70" s="1627" customFormat="1" ht="66" customHeight="1" x14ac:dyDescent="0.2">
      <c r="A84" s="1651"/>
      <c r="B84" s="1620"/>
      <c r="C84" s="1620"/>
      <c r="D84" s="1652"/>
      <c r="E84" s="3162"/>
      <c r="F84" s="3162"/>
      <c r="G84" s="3163"/>
      <c r="H84" s="3162"/>
      <c r="I84" s="3162"/>
      <c r="J84" s="3152">
        <v>262</v>
      </c>
      <c r="K84" s="3154" t="s">
        <v>1138</v>
      </c>
      <c r="L84" s="3154" t="s">
        <v>1139</v>
      </c>
      <c r="M84" s="3152">
        <v>1</v>
      </c>
      <c r="N84" s="3152">
        <v>0.56000000000000005</v>
      </c>
      <c r="O84" s="3152" t="s">
        <v>1140</v>
      </c>
      <c r="P84" s="3152" t="s">
        <v>1141</v>
      </c>
      <c r="Q84" s="3154" t="s">
        <v>1142</v>
      </c>
      <c r="R84" s="3156">
        <v>1</v>
      </c>
      <c r="S84" s="3158">
        <f>SUM(W84:W93)</f>
        <v>82600000</v>
      </c>
      <c r="T84" s="3160" t="s">
        <v>1143</v>
      </c>
      <c r="U84" s="3167" t="s">
        <v>1144</v>
      </c>
      <c r="V84" s="3170" t="s">
        <v>1145</v>
      </c>
      <c r="W84" s="1653">
        <v>6000000</v>
      </c>
      <c r="X84" s="1654">
        <v>6000000</v>
      </c>
      <c r="Y84" s="1654">
        <v>6000000</v>
      </c>
      <c r="Z84" s="1655">
        <v>20</v>
      </c>
      <c r="AA84" s="1565" t="s">
        <v>125</v>
      </c>
      <c r="AB84" s="3165">
        <v>294321</v>
      </c>
      <c r="AC84" s="3165">
        <v>294321</v>
      </c>
      <c r="AD84" s="3173">
        <v>283947</v>
      </c>
      <c r="AE84" s="3173">
        <v>283947</v>
      </c>
      <c r="AF84" s="3165">
        <v>135754</v>
      </c>
      <c r="AG84" s="3165">
        <v>135754</v>
      </c>
      <c r="AH84" s="3166">
        <v>44640</v>
      </c>
      <c r="AI84" s="3166">
        <v>44640</v>
      </c>
      <c r="AJ84" s="3166">
        <v>308178</v>
      </c>
      <c r="AK84" s="3166">
        <v>308178</v>
      </c>
      <c r="AL84" s="3166">
        <v>89696</v>
      </c>
      <c r="AM84" s="3166">
        <v>89696</v>
      </c>
      <c r="AN84" s="3166">
        <v>2145</v>
      </c>
      <c r="AO84" s="3166">
        <v>2145</v>
      </c>
      <c r="AP84" s="3166">
        <v>12718</v>
      </c>
      <c r="AQ84" s="3166">
        <v>12718</v>
      </c>
      <c r="AR84" s="3165">
        <v>26</v>
      </c>
      <c r="AS84" s="3165">
        <v>26</v>
      </c>
      <c r="AT84" s="3172">
        <v>37</v>
      </c>
      <c r="AU84" s="3172">
        <v>37</v>
      </c>
      <c r="AV84" s="3165"/>
      <c r="AW84" s="3165"/>
      <c r="AX84" s="3165"/>
      <c r="AY84" s="3165"/>
      <c r="AZ84" s="3165">
        <v>54612</v>
      </c>
      <c r="BA84" s="3165">
        <v>54612</v>
      </c>
      <c r="BB84" s="3165">
        <v>16982</v>
      </c>
      <c r="BC84" s="3165">
        <v>16982</v>
      </c>
      <c r="BD84" s="3165">
        <v>1010</v>
      </c>
      <c r="BE84" s="3165">
        <v>1010</v>
      </c>
      <c r="BF84" s="3165">
        <f>AB84+AD84</f>
        <v>578268</v>
      </c>
      <c r="BG84" s="3165">
        <f>AC84+AE84</f>
        <v>578268</v>
      </c>
      <c r="BH84" s="3165">
        <v>2</v>
      </c>
      <c r="BI84" s="3106">
        <f>SUM(X84:X93)</f>
        <v>36068867</v>
      </c>
      <c r="BJ84" s="3106">
        <f>SUM(Y84:Y93)</f>
        <v>25081000</v>
      </c>
      <c r="BK84" s="3182">
        <f>BJ84/BI84</f>
        <v>0.6953642319843315</v>
      </c>
      <c r="BL84" s="3106" t="s">
        <v>1060</v>
      </c>
      <c r="BM84" s="3106" t="s">
        <v>1146</v>
      </c>
      <c r="BN84" s="3174">
        <v>43467</v>
      </c>
      <c r="BO84" s="3174">
        <v>43488</v>
      </c>
      <c r="BP84" s="3174">
        <v>43830</v>
      </c>
      <c r="BQ84" s="3174">
        <v>43830</v>
      </c>
      <c r="BR84" s="3175" t="s">
        <v>1147</v>
      </c>
    </row>
    <row r="85" spans="1:70" s="1627" customFormat="1" ht="66" customHeight="1" x14ac:dyDescent="0.2">
      <c r="A85" s="1651"/>
      <c r="B85" s="1620"/>
      <c r="C85" s="1620"/>
      <c r="D85" s="1652"/>
      <c r="E85" s="3162"/>
      <c r="F85" s="3162"/>
      <c r="G85" s="3163"/>
      <c r="H85" s="3162"/>
      <c r="I85" s="3162"/>
      <c r="J85" s="3152"/>
      <c r="K85" s="3154"/>
      <c r="L85" s="3154"/>
      <c r="M85" s="3152"/>
      <c r="N85" s="3152"/>
      <c r="O85" s="3152"/>
      <c r="P85" s="3152"/>
      <c r="Q85" s="3154"/>
      <c r="R85" s="3156"/>
      <c r="S85" s="3158"/>
      <c r="T85" s="3160"/>
      <c r="U85" s="3168"/>
      <c r="V85" s="3171"/>
      <c r="W85" s="1561">
        <f>0+4500000</f>
        <v>4500000</v>
      </c>
      <c r="X85" s="1561">
        <v>3000000</v>
      </c>
      <c r="Y85" s="1561"/>
      <c r="Z85" s="1628">
        <v>88</v>
      </c>
      <c r="AA85" s="1563" t="s">
        <v>1116</v>
      </c>
      <c r="AB85" s="3172"/>
      <c r="AC85" s="3172"/>
      <c r="AD85" s="3173"/>
      <c r="AE85" s="3173"/>
      <c r="AF85" s="3165"/>
      <c r="AG85" s="3165"/>
      <c r="AH85" s="3166"/>
      <c r="AI85" s="3166"/>
      <c r="AJ85" s="3166"/>
      <c r="AK85" s="3166"/>
      <c r="AL85" s="3166"/>
      <c r="AM85" s="3166"/>
      <c r="AN85" s="3166"/>
      <c r="AO85" s="3166"/>
      <c r="AP85" s="3166"/>
      <c r="AQ85" s="3166"/>
      <c r="AR85" s="3165"/>
      <c r="AS85" s="3165"/>
      <c r="AT85" s="3172"/>
      <c r="AU85" s="3172"/>
      <c r="AV85" s="3165"/>
      <c r="AW85" s="3165"/>
      <c r="AX85" s="3165"/>
      <c r="AY85" s="3165"/>
      <c r="AZ85" s="3165"/>
      <c r="BA85" s="3165"/>
      <c r="BB85" s="3165"/>
      <c r="BC85" s="3165"/>
      <c r="BD85" s="3165"/>
      <c r="BE85" s="3165"/>
      <c r="BF85" s="3165"/>
      <c r="BG85" s="3165"/>
      <c r="BH85" s="3165"/>
      <c r="BI85" s="3165"/>
      <c r="BJ85" s="3165"/>
      <c r="BK85" s="3182"/>
      <c r="BL85" s="3165"/>
      <c r="BM85" s="3165"/>
      <c r="BN85" s="3174"/>
      <c r="BO85" s="3174"/>
      <c r="BP85" s="3174"/>
      <c r="BQ85" s="3174"/>
      <c r="BR85" s="3175"/>
    </row>
    <row r="86" spans="1:70" s="1627" customFormat="1" ht="66" customHeight="1" x14ac:dyDescent="0.2">
      <c r="A86" s="1651"/>
      <c r="B86" s="1620"/>
      <c r="C86" s="1620"/>
      <c r="D86" s="1652"/>
      <c r="E86" s="3162"/>
      <c r="F86" s="3162"/>
      <c r="G86" s="3163"/>
      <c r="H86" s="3162"/>
      <c r="I86" s="3162"/>
      <c r="J86" s="3152"/>
      <c r="K86" s="3154"/>
      <c r="L86" s="3154"/>
      <c r="M86" s="3152"/>
      <c r="N86" s="3152"/>
      <c r="O86" s="3152"/>
      <c r="P86" s="3152"/>
      <c r="Q86" s="3154"/>
      <c r="R86" s="3156"/>
      <c r="S86" s="3158"/>
      <c r="T86" s="3160"/>
      <c r="U86" s="3168"/>
      <c r="V86" s="3176" t="s">
        <v>1148</v>
      </c>
      <c r="W86" s="1561">
        <v>3600000</v>
      </c>
      <c r="X86" s="1561">
        <v>3600000</v>
      </c>
      <c r="Y86" s="1561">
        <v>3600000</v>
      </c>
      <c r="Z86" s="1628">
        <v>20</v>
      </c>
      <c r="AA86" s="1563" t="s">
        <v>125</v>
      </c>
      <c r="AB86" s="3172"/>
      <c r="AC86" s="3172"/>
      <c r="AD86" s="3173"/>
      <c r="AE86" s="3173"/>
      <c r="AF86" s="3165"/>
      <c r="AG86" s="3165"/>
      <c r="AH86" s="3166"/>
      <c r="AI86" s="3166"/>
      <c r="AJ86" s="3166"/>
      <c r="AK86" s="3166"/>
      <c r="AL86" s="3166"/>
      <c r="AM86" s="3166"/>
      <c r="AN86" s="3166"/>
      <c r="AO86" s="3166"/>
      <c r="AP86" s="3166"/>
      <c r="AQ86" s="3166"/>
      <c r="AR86" s="3165"/>
      <c r="AS86" s="3165"/>
      <c r="AT86" s="3172"/>
      <c r="AU86" s="3172"/>
      <c r="AV86" s="3165"/>
      <c r="AW86" s="3165"/>
      <c r="AX86" s="3165"/>
      <c r="AY86" s="3165"/>
      <c r="AZ86" s="3165"/>
      <c r="BA86" s="3165"/>
      <c r="BB86" s="3165"/>
      <c r="BC86" s="3165"/>
      <c r="BD86" s="3165"/>
      <c r="BE86" s="3165"/>
      <c r="BF86" s="3165"/>
      <c r="BG86" s="3165"/>
      <c r="BH86" s="3165"/>
      <c r="BI86" s="3165"/>
      <c r="BJ86" s="3165"/>
      <c r="BK86" s="3182"/>
      <c r="BL86" s="3165"/>
      <c r="BM86" s="3165"/>
      <c r="BN86" s="3174"/>
      <c r="BO86" s="3174"/>
      <c r="BP86" s="3174"/>
      <c r="BQ86" s="3174"/>
      <c r="BR86" s="3175"/>
    </row>
    <row r="87" spans="1:70" s="1627" customFormat="1" ht="66" customHeight="1" x14ac:dyDescent="0.2">
      <c r="A87" s="1651"/>
      <c r="B87" s="1620"/>
      <c r="C87" s="1620"/>
      <c r="D87" s="1652"/>
      <c r="E87" s="3162"/>
      <c r="F87" s="3162"/>
      <c r="G87" s="3163"/>
      <c r="H87" s="3162"/>
      <c r="I87" s="3162"/>
      <c r="J87" s="3152"/>
      <c r="K87" s="3154"/>
      <c r="L87" s="3154"/>
      <c r="M87" s="3152"/>
      <c r="N87" s="3152"/>
      <c r="O87" s="3152"/>
      <c r="P87" s="3152"/>
      <c r="Q87" s="3154"/>
      <c r="R87" s="3156"/>
      <c r="S87" s="3158"/>
      <c r="T87" s="3160"/>
      <c r="U87" s="3168"/>
      <c r="V87" s="3171"/>
      <c r="W87" s="1561">
        <f>0+9300000</f>
        <v>9300000</v>
      </c>
      <c r="X87" s="1561">
        <v>8065200.370000001</v>
      </c>
      <c r="Y87" s="1561">
        <v>4000000</v>
      </c>
      <c r="Z87" s="1628">
        <v>88</v>
      </c>
      <c r="AA87" s="1563" t="s">
        <v>1149</v>
      </c>
      <c r="AB87" s="3172"/>
      <c r="AC87" s="3172"/>
      <c r="AD87" s="3173"/>
      <c r="AE87" s="3173"/>
      <c r="AF87" s="3165"/>
      <c r="AG87" s="3165"/>
      <c r="AH87" s="3166"/>
      <c r="AI87" s="3166"/>
      <c r="AJ87" s="3166"/>
      <c r="AK87" s="3166"/>
      <c r="AL87" s="3166"/>
      <c r="AM87" s="3166"/>
      <c r="AN87" s="3166"/>
      <c r="AO87" s="3166"/>
      <c r="AP87" s="3166"/>
      <c r="AQ87" s="3166"/>
      <c r="AR87" s="3165"/>
      <c r="AS87" s="3165"/>
      <c r="AT87" s="3172"/>
      <c r="AU87" s="3172"/>
      <c r="AV87" s="3165"/>
      <c r="AW87" s="3165"/>
      <c r="AX87" s="3165"/>
      <c r="AY87" s="3165"/>
      <c r="AZ87" s="3165"/>
      <c r="BA87" s="3165"/>
      <c r="BB87" s="3165"/>
      <c r="BC87" s="3165"/>
      <c r="BD87" s="3165"/>
      <c r="BE87" s="3165"/>
      <c r="BF87" s="3165"/>
      <c r="BG87" s="3165"/>
      <c r="BH87" s="3165"/>
      <c r="BI87" s="3165"/>
      <c r="BJ87" s="3165"/>
      <c r="BK87" s="3182"/>
      <c r="BL87" s="3165"/>
      <c r="BM87" s="3165"/>
      <c r="BN87" s="3174"/>
      <c r="BO87" s="3174"/>
      <c r="BP87" s="3174"/>
      <c r="BQ87" s="3174"/>
      <c r="BR87" s="3175"/>
    </row>
    <row r="88" spans="1:70" s="1627" customFormat="1" ht="66" customHeight="1" x14ac:dyDescent="0.2">
      <c r="A88" s="1651"/>
      <c r="B88" s="1620"/>
      <c r="C88" s="1620"/>
      <c r="D88" s="1652"/>
      <c r="E88" s="3162"/>
      <c r="F88" s="3162"/>
      <c r="G88" s="3163"/>
      <c r="H88" s="3162"/>
      <c r="I88" s="3162"/>
      <c r="J88" s="3152"/>
      <c r="K88" s="3154"/>
      <c r="L88" s="3154"/>
      <c r="M88" s="3152"/>
      <c r="N88" s="3152"/>
      <c r="O88" s="3152"/>
      <c r="P88" s="3152"/>
      <c r="Q88" s="3154"/>
      <c r="R88" s="3156"/>
      <c r="S88" s="3158"/>
      <c r="T88" s="3160"/>
      <c r="U88" s="3168"/>
      <c r="V88" s="3176" t="s">
        <v>1150</v>
      </c>
      <c r="W88" s="1561">
        <f>960000+2000000</f>
        <v>2960000</v>
      </c>
      <c r="X88" s="1561">
        <v>960000</v>
      </c>
      <c r="Y88" s="1561">
        <v>960000</v>
      </c>
      <c r="Z88" s="1628">
        <v>20</v>
      </c>
      <c r="AA88" s="1563" t="s">
        <v>125</v>
      </c>
      <c r="AB88" s="3172"/>
      <c r="AC88" s="3172"/>
      <c r="AD88" s="3173"/>
      <c r="AE88" s="3173"/>
      <c r="AF88" s="3165"/>
      <c r="AG88" s="3165"/>
      <c r="AH88" s="3165"/>
      <c r="AI88" s="3165"/>
      <c r="AJ88" s="3165"/>
      <c r="AK88" s="3165"/>
      <c r="AL88" s="3165"/>
      <c r="AM88" s="3165"/>
      <c r="AN88" s="3165"/>
      <c r="AO88" s="3165"/>
      <c r="AP88" s="3165"/>
      <c r="AQ88" s="3165"/>
      <c r="AR88" s="3165"/>
      <c r="AS88" s="3165"/>
      <c r="AT88" s="3172"/>
      <c r="AU88" s="3172"/>
      <c r="AV88" s="3165"/>
      <c r="AW88" s="3165"/>
      <c r="AX88" s="3165"/>
      <c r="AY88" s="3165"/>
      <c r="AZ88" s="3165"/>
      <c r="BA88" s="3165"/>
      <c r="BB88" s="3165"/>
      <c r="BC88" s="3165"/>
      <c r="BD88" s="3165"/>
      <c r="BE88" s="3165"/>
      <c r="BF88" s="3165"/>
      <c r="BG88" s="3165"/>
      <c r="BH88" s="3165"/>
      <c r="BI88" s="3165"/>
      <c r="BJ88" s="3165"/>
      <c r="BK88" s="3182"/>
      <c r="BL88" s="3165"/>
      <c r="BM88" s="3165"/>
      <c r="BN88" s="3174"/>
      <c r="BO88" s="3174"/>
      <c r="BP88" s="3174"/>
      <c r="BQ88" s="3174"/>
      <c r="BR88" s="3175"/>
    </row>
    <row r="89" spans="1:70" s="1627" customFormat="1" ht="66" customHeight="1" x14ac:dyDescent="0.2">
      <c r="A89" s="1651"/>
      <c r="B89" s="1620"/>
      <c r="C89" s="1620"/>
      <c r="D89" s="1652"/>
      <c r="E89" s="3162"/>
      <c r="F89" s="3162"/>
      <c r="G89" s="3163"/>
      <c r="H89" s="3162"/>
      <c r="I89" s="3162"/>
      <c r="J89" s="3152"/>
      <c r="K89" s="3154"/>
      <c r="L89" s="3154"/>
      <c r="M89" s="3152"/>
      <c r="N89" s="3152"/>
      <c r="O89" s="3152"/>
      <c r="P89" s="3152"/>
      <c r="Q89" s="3154"/>
      <c r="R89" s="3156"/>
      <c r="S89" s="3158"/>
      <c r="T89" s="3160"/>
      <c r="U89" s="3169"/>
      <c r="V89" s="3177"/>
      <c r="W89" s="1561">
        <f>0+3888666.63</f>
        <v>3888666.63</v>
      </c>
      <c r="X89" s="1561">
        <v>3588666.63</v>
      </c>
      <c r="Y89" s="1561"/>
      <c r="Z89" s="1628">
        <v>88</v>
      </c>
      <c r="AA89" s="1563" t="s">
        <v>1116</v>
      </c>
      <c r="AB89" s="3172"/>
      <c r="AC89" s="3172"/>
      <c r="AD89" s="3173"/>
      <c r="AE89" s="3173"/>
      <c r="AF89" s="3165"/>
      <c r="AG89" s="3165"/>
      <c r="AH89" s="3165"/>
      <c r="AI89" s="3165"/>
      <c r="AJ89" s="3165"/>
      <c r="AK89" s="3165"/>
      <c r="AL89" s="3165"/>
      <c r="AM89" s="3165"/>
      <c r="AN89" s="3165"/>
      <c r="AO89" s="3165"/>
      <c r="AP89" s="3165"/>
      <c r="AQ89" s="3165"/>
      <c r="AR89" s="3165"/>
      <c r="AS89" s="3165"/>
      <c r="AT89" s="3172"/>
      <c r="AU89" s="3172"/>
      <c r="AV89" s="3165"/>
      <c r="AW89" s="3165"/>
      <c r="AX89" s="3165"/>
      <c r="AY89" s="3165"/>
      <c r="AZ89" s="3165"/>
      <c r="BA89" s="3165"/>
      <c r="BB89" s="3165"/>
      <c r="BC89" s="3165"/>
      <c r="BD89" s="3165"/>
      <c r="BE89" s="3165"/>
      <c r="BF89" s="3165"/>
      <c r="BG89" s="3165"/>
      <c r="BH89" s="3165"/>
      <c r="BI89" s="3165"/>
      <c r="BJ89" s="3165"/>
      <c r="BK89" s="3182"/>
      <c r="BL89" s="3165"/>
      <c r="BM89" s="3165"/>
      <c r="BN89" s="3174"/>
      <c r="BO89" s="3174"/>
      <c r="BP89" s="3174"/>
      <c r="BQ89" s="3174"/>
      <c r="BR89" s="3175"/>
    </row>
    <row r="90" spans="1:70" s="1627" customFormat="1" ht="66" customHeight="1" x14ac:dyDescent="0.2">
      <c r="A90" s="1651"/>
      <c r="B90" s="1620"/>
      <c r="C90" s="1620"/>
      <c r="D90" s="1652"/>
      <c r="E90" s="3162"/>
      <c r="F90" s="3162"/>
      <c r="G90" s="3163"/>
      <c r="H90" s="3162"/>
      <c r="I90" s="3162"/>
      <c r="J90" s="3152"/>
      <c r="K90" s="3154"/>
      <c r="L90" s="3154"/>
      <c r="M90" s="3152"/>
      <c r="N90" s="3152"/>
      <c r="O90" s="3152"/>
      <c r="P90" s="3152"/>
      <c r="Q90" s="3154"/>
      <c r="R90" s="3156"/>
      <c r="S90" s="3158"/>
      <c r="T90" s="3160"/>
      <c r="U90" s="3178" t="s">
        <v>1151</v>
      </c>
      <c r="V90" s="3181" t="s">
        <v>1152</v>
      </c>
      <c r="W90" s="1561">
        <f>19440000+10350000</f>
        <v>29790000</v>
      </c>
      <c r="X90" s="1561">
        <v>7355000</v>
      </c>
      <c r="Y90" s="1561">
        <v>7355000</v>
      </c>
      <c r="Z90" s="1628">
        <v>20</v>
      </c>
      <c r="AA90" s="1563" t="s">
        <v>125</v>
      </c>
      <c r="AB90" s="3172"/>
      <c r="AC90" s="3172"/>
      <c r="AD90" s="3173"/>
      <c r="AE90" s="3173"/>
      <c r="AF90" s="3165"/>
      <c r="AG90" s="3165"/>
      <c r="AH90" s="3165"/>
      <c r="AI90" s="3165"/>
      <c r="AJ90" s="3165"/>
      <c r="AK90" s="3165"/>
      <c r="AL90" s="3165"/>
      <c r="AM90" s="3165"/>
      <c r="AN90" s="3165"/>
      <c r="AO90" s="3165"/>
      <c r="AP90" s="3165"/>
      <c r="AQ90" s="3165"/>
      <c r="AR90" s="3165"/>
      <c r="AS90" s="3165"/>
      <c r="AT90" s="3172"/>
      <c r="AU90" s="3172"/>
      <c r="AV90" s="3165"/>
      <c r="AW90" s="3165"/>
      <c r="AX90" s="3165"/>
      <c r="AY90" s="3165"/>
      <c r="AZ90" s="3165"/>
      <c r="BA90" s="3165"/>
      <c r="BB90" s="3165"/>
      <c r="BC90" s="3165"/>
      <c r="BD90" s="3165"/>
      <c r="BE90" s="3165"/>
      <c r="BF90" s="3165"/>
      <c r="BG90" s="3165"/>
      <c r="BH90" s="3165"/>
      <c r="BI90" s="3165"/>
      <c r="BJ90" s="3165"/>
      <c r="BK90" s="3182"/>
      <c r="BL90" s="3165"/>
      <c r="BM90" s="3165"/>
      <c r="BN90" s="3174"/>
      <c r="BO90" s="3174"/>
      <c r="BP90" s="3174"/>
      <c r="BQ90" s="3174"/>
      <c r="BR90" s="3175"/>
    </row>
    <row r="91" spans="1:70" s="1627" customFormat="1" ht="66" customHeight="1" x14ac:dyDescent="0.2">
      <c r="A91" s="1651"/>
      <c r="B91" s="1620"/>
      <c r="C91" s="1620"/>
      <c r="D91" s="1652"/>
      <c r="E91" s="3162"/>
      <c r="F91" s="3162"/>
      <c r="G91" s="3163"/>
      <c r="H91" s="3162"/>
      <c r="I91" s="3162"/>
      <c r="J91" s="3152"/>
      <c r="K91" s="3154"/>
      <c r="L91" s="3154"/>
      <c r="M91" s="3152"/>
      <c r="N91" s="3152"/>
      <c r="O91" s="3152"/>
      <c r="P91" s="3152"/>
      <c r="Q91" s="3154"/>
      <c r="R91" s="3156"/>
      <c r="S91" s="3158"/>
      <c r="T91" s="3160"/>
      <c r="U91" s="3179"/>
      <c r="V91" s="3181"/>
      <c r="W91" s="1561">
        <v>15395000</v>
      </c>
      <c r="X91" s="1561"/>
      <c r="Y91" s="1561"/>
      <c r="Z91" s="1628">
        <v>88</v>
      </c>
      <c r="AA91" s="1563" t="s">
        <v>1116</v>
      </c>
      <c r="AB91" s="3172"/>
      <c r="AC91" s="3172"/>
      <c r="AD91" s="3173"/>
      <c r="AE91" s="3173"/>
      <c r="AF91" s="3165"/>
      <c r="AG91" s="3165"/>
      <c r="AH91" s="3165"/>
      <c r="AI91" s="3165"/>
      <c r="AJ91" s="3165"/>
      <c r="AK91" s="3165"/>
      <c r="AL91" s="3165"/>
      <c r="AM91" s="3165"/>
      <c r="AN91" s="3165"/>
      <c r="AO91" s="3165"/>
      <c r="AP91" s="3165"/>
      <c r="AQ91" s="3165"/>
      <c r="AR91" s="3165"/>
      <c r="AS91" s="3165"/>
      <c r="AT91" s="3172"/>
      <c r="AU91" s="3172"/>
      <c r="AV91" s="3165"/>
      <c r="AW91" s="3165"/>
      <c r="AX91" s="3165"/>
      <c r="AY91" s="3165"/>
      <c r="AZ91" s="3165"/>
      <c r="BA91" s="3165"/>
      <c r="BB91" s="3165"/>
      <c r="BC91" s="3165"/>
      <c r="BD91" s="3165"/>
      <c r="BE91" s="3165"/>
      <c r="BF91" s="3165"/>
      <c r="BG91" s="3165"/>
      <c r="BH91" s="3165"/>
      <c r="BI91" s="3165"/>
      <c r="BJ91" s="3165"/>
      <c r="BK91" s="3182"/>
      <c r="BL91" s="3165"/>
      <c r="BM91" s="3165"/>
      <c r="BN91" s="3174"/>
      <c r="BO91" s="3174"/>
      <c r="BP91" s="3174"/>
      <c r="BQ91" s="3174"/>
      <c r="BR91" s="3175"/>
    </row>
    <row r="92" spans="1:70" s="1627" customFormat="1" ht="66" customHeight="1" x14ac:dyDescent="0.2">
      <c r="A92" s="1651"/>
      <c r="B92" s="1620"/>
      <c r="C92" s="1620"/>
      <c r="D92" s="1652"/>
      <c r="E92" s="3162"/>
      <c r="F92" s="3162"/>
      <c r="G92" s="3163"/>
      <c r="H92" s="3162"/>
      <c r="I92" s="3162"/>
      <c r="J92" s="3152"/>
      <c r="K92" s="3154"/>
      <c r="L92" s="3154"/>
      <c r="M92" s="3152"/>
      <c r="N92" s="3152"/>
      <c r="O92" s="3152"/>
      <c r="P92" s="3152"/>
      <c r="Q92" s="3154"/>
      <c r="R92" s="3156"/>
      <c r="S92" s="3158"/>
      <c r="T92" s="3160"/>
      <c r="U92" s="3179"/>
      <c r="V92" s="1656" t="s">
        <v>1153</v>
      </c>
      <c r="W92" s="1657">
        <f>0+7296333.33-5145000</f>
        <v>2151333.33</v>
      </c>
      <c r="X92" s="1657">
        <v>1500000</v>
      </c>
      <c r="Y92" s="1657">
        <v>1500000</v>
      </c>
      <c r="Z92" s="1658">
        <v>88</v>
      </c>
      <c r="AA92" s="1659" t="s">
        <v>1116</v>
      </c>
      <c r="AB92" s="3172"/>
      <c r="AC92" s="3172"/>
      <c r="AD92" s="3173"/>
      <c r="AE92" s="3173"/>
      <c r="AF92" s="3165"/>
      <c r="AG92" s="3165"/>
      <c r="AH92" s="3165"/>
      <c r="AI92" s="3165"/>
      <c r="AJ92" s="3165"/>
      <c r="AK92" s="3165"/>
      <c r="AL92" s="3165"/>
      <c r="AM92" s="3165"/>
      <c r="AN92" s="3165"/>
      <c r="AO92" s="3165"/>
      <c r="AP92" s="3165"/>
      <c r="AQ92" s="3165"/>
      <c r="AR92" s="3165"/>
      <c r="AS92" s="3165"/>
      <c r="AT92" s="3172"/>
      <c r="AU92" s="3172"/>
      <c r="AV92" s="3165"/>
      <c r="AW92" s="3165"/>
      <c r="AX92" s="3165"/>
      <c r="AY92" s="3165"/>
      <c r="AZ92" s="3165"/>
      <c r="BA92" s="3165"/>
      <c r="BB92" s="3165"/>
      <c r="BC92" s="3165"/>
      <c r="BD92" s="3165"/>
      <c r="BE92" s="3165"/>
      <c r="BF92" s="3165"/>
      <c r="BG92" s="3165"/>
      <c r="BH92" s="3165"/>
      <c r="BI92" s="3165"/>
      <c r="BJ92" s="3165"/>
      <c r="BK92" s="3182"/>
      <c r="BL92" s="3165"/>
      <c r="BM92" s="3165"/>
      <c r="BN92" s="3174"/>
      <c r="BO92" s="3174"/>
      <c r="BP92" s="3174"/>
      <c r="BQ92" s="3174"/>
      <c r="BR92" s="3175"/>
    </row>
    <row r="93" spans="1:70" s="1627" customFormat="1" ht="66" customHeight="1" x14ac:dyDescent="0.2">
      <c r="A93" s="1651"/>
      <c r="B93" s="1620"/>
      <c r="C93" s="1620"/>
      <c r="D93" s="1652"/>
      <c r="E93" s="3162"/>
      <c r="F93" s="3162"/>
      <c r="G93" s="3163"/>
      <c r="H93" s="3164"/>
      <c r="I93" s="3164"/>
      <c r="J93" s="3153"/>
      <c r="K93" s="3155"/>
      <c r="L93" s="3155"/>
      <c r="M93" s="3153"/>
      <c r="N93" s="3153"/>
      <c r="O93" s="3153"/>
      <c r="P93" s="3153"/>
      <c r="Q93" s="3155"/>
      <c r="R93" s="3157"/>
      <c r="S93" s="3159"/>
      <c r="T93" s="3160"/>
      <c r="U93" s="3180"/>
      <c r="V93" s="1660" t="s">
        <v>1154</v>
      </c>
      <c r="W93" s="1661">
        <f>0+5015000.04</f>
        <v>5015000.04</v>
      </c>
      <c r="X93" s="1661">
        <v>2000000</v>
      </c>
      <c r="Y93" s="1661">
        <v>1666000</v>
      </c>
      <c r="Z93" s="1662">
        <v>88</v>
      </c>
      <c r="AA93" s="1563" t="s">
        <v>1116</v>
      </c>
      <c r="AB93" s="3172"/>
      <c r="AC93" s="3172"/>
      <c r="AD93" s="3173"/>
      <c r="AE93" s="3173"/>
      <c r="AF93" s="3165"/>
      <c r="AG93" s="3165"/>
      <c r="AH93" s="3165"/>
      <c r="AI93" s="3165"/>
      <c r="AJ93" s="3165"/>
      <c r="AK93" s="3165"/>
      <c r="AL93" s="3165"/>
      <c r="AM93" s="3165"/>
      <c r="AN93" s="3165"/>
      <c r="AO93" s="3165"/>
      <c r="AP93" s="3165"/>
      <c r="AQ93" s="3165"/>
      <c r="AR93" s="3165"/>
      <c r="AS93" s="3165"/>
      <c r="AT93" s="3172"/>
      <c r="AU93" s="3172"/>
      <c r="AV93" s="3165"/>
      <c r="AW93" s="3165"/>
      <c r="AX93" s="3165"/>
      <c r="AY93" s="3165"/>
      <c r="AZ93" s="3165"/>
      <c r="BA93" s="3165"/>
      <c r="BB93" s="3165"/>
      <c r="BC93" s="3165"/>
      <c r="BD93" s="3165"/>
      <c r="BE93" s="3165"/>
      <c r="BF93" s="3165"/>
      <c r="BG93" s="3165"/>
      <c r="BH93" s="3165"/>
      <c r="BI93" s="3165"/>
      <c r="BJ93" s="3165"/>
      <c r="BK93" s="3182"/>
      <c r="BL93" s="3165"/>
      <c r="BM93" s="3165"/>
      <c r="BN93" s="3174"/>
      <c r="BO93" s="3174"/>
      <c r="BP93" s="3174"/>
      <c r="BQ93" s="3174"/>
      <c r="BR93" s="3175"/>
    </row>
    <row r="94" spans="1:70" s="1665" customFormat="1" ht="59.25" customHeight="1" x14ac:dyDescent="0.2">
      <c r="A94" s="3191"/>
      <c r="B94" s="3192"/>
      <c r="C94" s="3192"/>
      <c r="D94" s="3193"/>
      <c r="E94" s="3194"/>
      <c r="F94" s="3194"/>
      <c r="G94" s="3111"/>
      <c r="H94" s="3111"/>
      <c r="I94" s="3111"/>
      <c r="J94" s="3183">
        <v>264</v>
      </c>
      <c r="K94" s="3187" t="s">
        <v>1155</v>
      </c>
      <c r="L94" s="3187" t="s">
        <v>1156</v>
      </c>
      <c r="M94" s="3183">
        <v>1</v>
      </c>
      <c r="N94" s="3183">
        <v>0.75</v>
      </c>
      <c r="O94" s="3185" t="s">
        <v>1157</v>
      </c>
      <c r="P94" s="3183" t="s">
        <v>1158</v>
      </c>
      <c r="Q94" s="3187" t="s">
        <v>1159</v>
      </c>
      <c r="R94" s="3189">
        <v>1</v>
      </c>
      <c r="S94" s="3196">
        <f>SUM(W94:W96)</f>
        <v>37650000</v>
      </c>
      <c r="T94" s="3129" t="s">
        <v>1160</v>
      </c>
      <c r="U94" s="3129" t="s">
        <v>1161</v>
      </c>
      <c r="V94" s="1663" t="s">
        <v>1162</v>
      </c>
      <c r="W94" s="1664">
        <v>10000000</v>
      </c>
      <c r="X94" s="1664"/>
      <c r="Y94" s="1664"/>
      <c r="Z94" s="1628">
        <v>20</v>
      </c>
      <c r="AA94" s="1563" t="s">
        <v>125</v>
      </c>
      <c r="AB94" s="3142">
        <v>294321</v>
      </c>
      <c r="AC94" s="3142"/>
      <c r="AD94" s="3198">
        <v>283947</v>
      </c>
      <c r="AE94" s="3198"/>
      <c r="AF94" s="3142">
        <v>135754</v>
      </c>
      <c r="AG94" s="3142"/>
      <c r="AH94" s="3142">
        <v>44640</v>
      </c>
      <c r="AI94" s="3142"/>
      <c r="AJ94" s="3142">
        <v>308178</v>
      </c>
      <c r="AK94" s="3142"/>
      <c r="AL94" s="3142">
        <v>89696</v>
      </c>
      <c r="AM94" s="3142"/>
      <c r="AN94" s="3142">
        <v>2145</v>
      </c>
      <c r="AO94" s="3142"/>
      <c r="AP94" s="3142">
        <v>12718</v>
      </c>
      <c r="AQ94" s="3142"/>
      <c r="AR94" s="3142">
        <v>26</v>
      </c>
      <c r="AS94" s="3142"/>
      <c r="AT94" s="3142">
        <v>37</v>
      </c>
      <c r="AU94" s="3142"/>
      <c r="AV94" s="3142"/>
      <c r="AW94" s="3142"/>
      <c r="AX94" s="3142"/>
      <c r="AY94" s="3142"/>
      <c r="AZ94" s="3142">
        <v>54612</v>
      </c>
      <c r="BA94" s="3142"/>
      <c r="BB94" s="3142">
        <v>16982</v>
      </c>
      <c r="BC94" s="3142"/>
      <c r="BD94" s="3142">
        <v>1010</v>
      </c>
      <c r="BE94" s="3142"/>
      <c r="BF94" s="3142">
        <f>+AB94+AD94</f>
        <v>578268</v>
      </c>
      <c r="BG94" s="3142"/>
      <c r="BH94" s="3142"/>
      <c r="BI94" s="3142"/>
      <c r="BJ94" s="3142"/>
      <c r="BK94" s="3204"/>
      <c r="BL94" s="3142"/>
      <c r="BM94" s="3142"/>
      <c r="BN94" s="3146">
        <v>43467</v>
      </c>
      <c r="BO94" s="3146"/>
      <c r="BP94" s="3146">
        <v>43830</v>
      </c>
      <c r="BQ94" s="3146"/>
      <c r="BR94" s="3175" t="s">
        <v>1028</v>
      </c>
    </row>
    <row r="95" spans="1:70" s="1665" customFormat="1" ht="59.25" customHeight="1" x14ac:dyDescent="0.2">
      <c r="A95" s="3191"/>
      <c r="B95" s="3192"/>
      <c r="C95" s="3192"/>
      <c r="D95" s="3193"/>
      <c r="E95" s="3194"/>
      <c r="F95" s="3194"/>
      <c r="G95" s="3111"/>
      <c r="H95" s="3111"/>
      <c r="I95" s="3111"/>
      <c r="J95" s="3183"/>
      <c r="K95" s="3187"/>
      <c r="L95" s="3187"/>
      <c r="M95" s="3183"/>
      <c r="N95" s="3183"/>
      <c r="O95" s="3185"/>
      <c r="P95" s="3183"/>
      <c r="Q95" s="3187"/>
      <c r="R95" s="3189"/>
      <c r="S95" s="3196"/>
      <c r="T95" s="3129"/>
      <c r="U95" s="3129"/>
      <c r="V95" s="1666" t="s">
        <v>1163</v>
      </c>
      <c r="W95" s="1664">
        <v>10000000</v>
      </c>
      <c r="X95" s="1664"/>
      <c r="Y95" s="1664"/>
      <c r="Z95" s="1628">
        <v>20</v>
      </c>
      <c r="AA95" s="1563" t="s">
        <v>125</v>
      </c>
      <c r="AB95" s="3142"/>
      <c r="AC95" s="3142"/>
      <c r="AD95" s="3198"/>
      <c r="AE95" s="3198"/>
      <c r="AF95" s="3142"/>
      <c r="AG95" s="3142"/>
      <c r="AH95" s="3142"/>
      <c r="AI95" s="3142"/>
      <c r="AJ95" s="3142"/>
      <c r="AK95" s="3142"/>
      <c r="AL95" s="3142"/>
      <c r="AM95" s="3142"/>
      <c r="AN95" s="3142"/>
      <c r="AO95" s="3142"/>
      <c r="AP95" s="3142"/>
      <c r="AQ95" s="3142"/>
      <c r="AR95" s="3142"/>
      <c r="AS95" s="3142"/>
      <c r="AT95" s="3142"/>
      <c r="AU95" s="3142"/>
      <c r="AV95" s="3142"/>
      <c r="AW95" s="3142"/>
      <c r="AX95" s="3142"/>
      <c r="AY95" s="3142"/>
      <c r="AZ95" s="3142"/>
      <c r="BA95" s="3142"/>
      <c r="BB95" s="3142"/>
      <c r="BC95" s="3142"/>
      <c r="BD95" s="3142"/>
      <c r="BE95" s="3142"/>
      <c r="BF95" s="3142"/>
      <c r="BG95" s="3142"/>
      <c r="BH95" s="3142"/>
      <c r="BI95" s="3142"/>
      <c r="BJ95" s="3142"/>
      <c r="BK95" s="3204"/>
      <c r="BL95" s="3142"/>
      <c r="BM95" s="3142"/>
      <c r="BN95" s="3146"/>
      <c r="BO95" s="3146"/>
      <c r="BP95" s="3146"/>
      <c r="BQ95" s="3146"/>
      <c r="BR95" s="3175"/>
    </row>
    <row r="96" spans="1:70" s="1665" customFormat="1" ht="59.25" customHeight="1" x14ac:dyDescent="0.2">
      <c r="A96" s="3191"/>
      <c r="B96" s="3192"/>
      <c r="C96" s="3192"/>
      <c r="D96" s="3193"/>
      <c r="E96" s="3194"/>
      <c r="F96" s="3194"/>
      <c r="G96" s="3195"/>
      <c r="H96" s="3195"/>
      <c r="I96" s="3195"/>
      <c r="J96" s="3184"/>
      <c r="K96" s="3188"/>
      <c r="L96" s="3188"/>
      <c r="M96" s="3184"/>
      <c r="N96" s="3184"/>
      <c r="O96" s="3186"/>
      <c r="P96" s="3184"/>
      <c r="Q96" s="3188"/>
      <c r="R96" s="3190"/>
      <c r="S96" s="3197"/>
      <c r="T96" s="3130"/>
      <c r="U96" s="3130"/>
      <c r="V96" s="1663" t="s">
        <v>1164</v>
      </c>
      <c r="W96" s="1664">
        <f>30000000-12350000</f>
        <v>17650000</v>
      </c>
      <c r="X96" s="1664"/>
      <c r="Y96" s="1664"/>
      <c r="Z96" s="1628">
        <v>20</v>
      </c>
      <c r="AA96" s="1563" t="s">
        <v>125</v>
      </c>
      <c r="AB96" s="3166"/>
      <c r="AC96" s="3166"/>
      <c r="AD96" s="3199"/>
      <c r="AE96" s="3199"/>
      <c r="AF96" s="3166"/>
      <c r="AG96" s="3166"/>
      <c r="AH96" s="3166"/>
      <c r="AI96" s="3166"/>
      <c r="AJ96" s="3166"/>
      <c r="AK96" s="3166"/>
      <c r="AL96" s="3166"/>
      <c r="AM96" s="3166"/>
      <c r="AN96" s="3166"/>
      <c r="AO96" s="3166"/>
      <c r="AP96" s="3166"/>
      <c r="AQ96" s="3166"/>
      <c r="AR96" s="3166"/>
      <c r="AS96" s="3166"/>
      <c r="AT96" s="3166"/>
      <c r="AU96" s="3166"/>
      <c r="AV96" s="3166"/>
      <c r="AW96" s="3166"/>
      <c r="AX96" s="3166"/>
      <c r="AY96" s="3166"/>
      <c r="AZ96" s="3166"/>
      <c r="BA96" s="3166"/>
      <c r="BB96" s="3166"/>
      <c r="BC96" s="3166"/>
      <c r="BD96" s="3166"/>
      <c r="BE96" s="3166"/>
      <c r="BF96" s="3166"/>
      <c r="BG96" s="3166"/>
      <c r="BH96" s="3166"/>
      <c r="BI96" s="3166"/>
      <c r="BJ96" s="3166"/>
      <c r="BK96" s="3205"/>
      <c r="BL96" s="3166"/>
      <c r="BM96" s="3166"/>
      <c r="BN96" s="3147"/>
      <c r="BO96" s="3147"/>
      <c r="BP96" s="3147"/>
      <c r="BQ96" s="3147"/>
      <c r="BR96" s="3175"/>
    </row>
    <row r="97" spans="1:70" s="1627" customFormat="1" ht="70.5" customHeight="1" x14ac:dyDescent="0.2">
      <c r="A97" s="3200"/>
      <c r="B97" s="3201"/>
      <c r="C97" s="3201"/>
      <c r="D97" s="3202"/>
      <c r="E97" s="3201"/>
      <c r="F97" s="3201"/>
      <c r="G97" s="3202"/>
      <c r="H97" s="3203"/>
      <c r="I97" s="3203"/>
      <c r="J97" s="3206">
        <v>265</v>
      </c>
      <c r="K97" s="3208" t="s">
        <v>1165</v>
      </c>
      <c r="L97" s="3208" t="s">
        <v>1166</v>
      </c>
      <c r="M97" s="3209">
        <v>1</v>
      </c>
      <c r="N97" s="3211">
        <v>0.8</v>
      </c>
      <c r="O97" s="3213" t="s">
        <v>1167</v>
      </c>
      <c r="P97" s="3213" t="s">
        <v>1168</v>
      </c>
      <c r="Q97" s="3246" t="s">
        <v>1169</v>
      </c>
      <c r="R97" s="3248">
        <v>1</v>
      </c>
      <c r="S97" s="3250">
        <f>SUM(W97:W119)</f>
        <v>493700000</v>
      </c>
      <c r="T97" s="3252" t="s">
        <v>1170</v>
      </c>
      <c r="U97" s="3129" t="s">
        <v>1171</v>
      </c>
      <c r="V97" s="1667" t="s">
        <v>1172</v>
      </c>
      <c r="W97" s="1668">
        <f>18000000-4000000-14000000</f>
        <v>0</v>
      </c>
      <c r="X97" s="1668"/>
      <c r="Y97" s="1668"/>
      <c r="Z97" s="1669"/>
      <c r="AA97" s="1659"/>
      <c r="AB97" s="3214">
        <v>294321</v>
      </c>
      <c r="AC97" s="3214">
        <v>294321</v>
      </c>
      <c r="AD97" s="3217">
        <v>283947</v>
      </c>
      <c r="AE97" s="3217">
        <v>283947</v>
      </c>
      <c r="AF97" s="3214">
        <v>135754</v>
      </c>
      <c r="AG97" s="3214">
        <v>135754</v>
      </c>
      <c r="AH97" s="3214">
        <v>44640</v>
      </c>
      <c r="AI97" s="3214">
        <v>44640</v>
      </c>
      <c r="AJ97" s="3214">
        <v>308178</v>
      </c>
      <c r="AK97" s="3214">
        <v>308178</v>
      </c>
      <c r="AL97" s="3214">
        <v>89696</v>
      </c>
      <c r="AM97" s="3214">
        <v>89696</v>
      </c>
      <c r="AN97" s="3214">
        <v>2145</v>
      </c>
      <c r="AO97" s="3214">
        <v>2145</v>
      </c>
      <c r="AP97" s="3214">
        <v>12718</v>
      </c>
      <c r="AQ97" s="3214">
        <v>12718</v>
      </c>
      <c r="AR97" s="3214">
        <v>26</v>
      </c>
      <c r="AS97" s="3214">
        <v>26</v>
      </c>
      <c r="AT97" s="3214">
        <v>37</v>
      </c>
      <c r="AU97" s="3214">
        <v>37</v>
      </c>
      <c r="AV97" s="3214"/>
      <c r="AW97" s="1670"/>
      <c r="AX97" s="3214"/>
      <c r="AY97" s="1670"/>
      <c r="AZ97" s="3214">
        <v>54612</v>
      </c>
      <c r="BA97" s="3214">
        <v>54612</v>
      </c>
      <c r="BB97" s="3214">
        <v>16982</v>
      </c>
      <c r="BC97" s="3214">
        <v>16982</v>
      </c>
      <c r="BD97" s="3214">
        <v>1010</v>
      </c>
      <c r="BE97" s="3214">
        <v>1010</v>
      </c>
      <c r="BF97" s="3214">
        <f>+AB97+AD97</f>
        <v>578268</v>
      </c>
      <c r="BG97" s="3214">
        <f>+AC97+AE97</f>
        <v>578268</v>
      </c>
      <c r="BH97" s="3225">
        <v>26</v>
      </c>
      <c r="BI97" s="3226">
        <f>SUM(X97:X119)</f>
        <v>473163769</v>
      </c>
      <c r="BJ97" s="3226">
        <f>SUM(Y97:Y119)</f>
        <v>353582834</v>
      </c>
      <c r="BK97" s="3227">
        <f>BJ97/BI97</f>
        <v>0.74727368654466864</v>
      </c>
      <c r="BL97" s="3228" t="s">
        <v>1060</v>
      </c>
      <c r="BM97" s="1670"/>
      <c r="BN97" s="3147">
        <v>43467</v>
      </c>
      <c r="BO97" s="3147">
        <v>43482</v>
      </c>
      <c r="BP97" s="3147">
        <v>43830</v>
      </c>
      <c r="BQ97" s="3147">
        <v>43830</v>
      </c>
      <c r="BR97" s="3135" t="s">
        <v>1147</v>
      </c>
    </row>
    <row r="98" spans="1:70" s="1627" customFormat="1" ht="70.5" customHeight="1" x14ac:dyDescent="0.2">
      <c r="A98" s="3200"/>
      <c r="B98" s="3201"/>
      <c r="C98" s="3201"/>
      <c r="D98" s="3202"/>
      <c r="E98" s="3201"/>
      <c r="F98" s="3201"/>
      <c r="G98" s="3202"/>
      <c r="H98" s="3203"/>
      <c r="I98" s="3203"/>
      <c r="J98" s="3207"/>
      <c r="K98" s="3154"/>
      <c r="L98" s="3154"/>
      <c r="M98" s="3210"/>
      <c r="N98" s="3212"/>
      <c r="O98" s="3152"/>
      <c r="P98" s="3152"/>
      <c r="Q98" s="3247"/>
      <c r="R98" s="3249"/>
      <c r="S98" s="3251"/>
      <c r="T98" s="3160"/>
      <c r="U98" s="3129"/>
      <c r="V98" s="1624" t="s">
        <v>1173</v>
      </c>
      <c r="W98" s="1561">
        <f>55440000+11340000</f>
        <v>66780000</v>
      </c>
      <c r="X98" s="1561">
        <v>66780000</v>
      </c>
      <c r="Y98" s="1561">
        <v>44068000</v>
      </c>
      <c r="Z98" s="1671">
        <v>20</v>
      </c>
      <c r="AA98" s="1565" t="s">
        <v>125</v>
      </c>
      <c r="AB98" s="3214"/>
      <c r="AC98" s="3214"/>
      <c r="AD98" s="3217"/>
      <c r="AE98" s="3217"/>
      <c r="AF98" s="3214"/>
      <c r="AG98" s="3214"/>
      <c r="AH98" s="3214"/>
      <c r="AI98" s="3214"/>
      <c r="AJ98" s="3214"/>
      <c r="AK98" s="3214"/>
      <c r="AL98" s="3214"/>
      <c r="AM98" s="3214"/>
      <c r="AN98" s="3214"/>
      <c r="AO98" s="3214"/>
      <c r="AP98" s="3214"/>
      <c r="AQ98" s="3214"/>
      <c r="AR98" s="3214"/>
      <c r="AS98" s="3214"/>
      <c r="AT98" s="3214"/>
      <c r="AU98" s="3214"/>
      <c r="AV98" s="3214"/>
      <c r="AW98" s="1670"/>
      <c r="AX98" s="3214"/>
      <c r="AY98" s="1670"/>
      <c r="AZ98" s="3214"/>
      <c r="BA98" s="3214"/>
      <c r="BB98" s="3214"/>
      <c r="BC98" s="3214"/>
      <c r="BD98" s="3214"/>
      <c r="BE98" s="3214"/>
      <c r="BF98" s="3214"/>
      <c r="BG98" s="3214"/>
      <c r="BH98" s="3214"/>
      <c r="BI98" s="3214"/>
      <c r="BJ98" s="3214"/>
      <c r="BK98" s="3204"/>
      <c r="BL98" s="3217"/>
      <c r="BM98" s="1670"/>
      <c r="BN98" s="3174"/>
      <c r="BO98" s="3174"/>
      <c r="BP98" s="3174"/>
      <c r="BQ98" s="3174"/>
      <c r="BR98" s="3175"/>
    </row>
    <row r="99" spans="1:70" s="1627" customFormat="1" ht="70.5" customHeight="1" x14ac:dyDescent="0.2">
      <c r="A99" s="3200"/>
      <c r="B99" s="3201"/>
      <c r="C99" s="3201"/>
      <c r="D99" s="3202"/>
      <c r="E99" s="3201"/>
      <c r="F99" s="3201"/>
      <c r="G99" s="3202"/>
      <c r="H99" s="3203"/>
      <c r="I99" s="3203"/>
      <c r="J99" s="3207"/>
      <c r="K99" s="3154"/>
      <c r="L99" s="3154"/>
      <c r="M99" s="3210"/>
      <c r="N99" s="3212"/>
      <c r="O99" s="3152"/>
      <c r="P99" s="3152"/>
      <c r="Q99" s="3247"/>
      <c r="R99" s="3249"/>
      <c r="S99" s="3251"/>
      <c r="T99" s="3160"/>
      <c r="U99" s="3129"/>
      <c r="V99" s="1413" t="s">
        <v>1174</v>
      </c>
      <c r="W99" s="1561">
        <f>92400000-80640000</f>
        <v>11760000</v>
      </c>
      <c r="X99" s="1561">
        <v>11751600</v>
      </c>
      <c r="Y99" s="1561">
        <v>11751600</v>
      </c>
      <c r="Z99" s="1671">
        <v>20</v>
      </c>
      <c r="AA99" s="1565" t="s">
        <v>125</v>
      </c>
      <c r="AB99" s="3214"/>
      <c r="AC99" s="3214"/>
      <c r="AD99" s="3217"/>
      <c r="AE99" s="3217"/>
      <c r="AF99" s="3214"/>
      <c r="AG99" s="3214"/>
      <c r="AH99" s="3214"/>
      <c r="AI99" s="3214"/>
      <c r="AJ99" s="3214"/>
      <c r="AK99" s="3214"/>
      <c r="AL99" s="3214"/>
      <c r="AM99" s="3214"/>
      <c r="AN99" s="3214"/>
      <c r="AO99" s="3214"/>
      <c r="AP99" s="3214"/>
      <c r="AQ99" s="3214"/>
      <c r="AR99" s="3214"/>
      <c r="AS99" s="3214"/>
      <c r="AT99" s="3214"/>
      <c r="AU99" s="3214"/>
      <c r="AV99" s="3214"/>
      <c r="AW99" s="1670"/>
      <c r="AX99" s="3214"/>
      <c r="AY99" s="1670"/>
      <c r="AZ99" s="3214"/>
      <c r="BA99" s="3214"/>
      <c r="BB99" s="3214"/>
      <c r="BC99" s="3214"/>
      <c r="BD99" s="3214"/>
      <c r="BE99" s="3214"/>
      <c r="BF99" s="3214"/>
      <c r="BG99" s="3214"/>
      <c r="BH99" s="3214"/>
      <c r="BI99" s="3214"/>
      <c r="BJ99" s="3214"/>
      <c r="BK99" s="3204"/>
      <c r="BL99" s="3217"/>
      <c r="BM99" s="1670"/>
      <c r="BN99" s="3174"/>
      <c r="BO99" s="3174"/>
      <c r="BP99" s="3174"/>
      <c r="BQ99" s="3174"/>
      <c r="BR99" s="3175"/>
    </row>
    <row r="100" spans="1:70" s="1627" customFormat="1" ht="51.75" customHeight="1" x14ac:dyDescent="0.2">
      <c r="A100" s="3200"/>
      <c r="B100" s="3201"/>
      <c r="C100" s="3201"/>
      <c r="D100" s="3202"/>
      <c r="E100" s="3201"/>
      <c r="F100" s="3201"/>
      <c r="G100" s="3202"/>
      <c r="H100" s="3203"/>
      <c r="I100" s="3203"/>
      <c r="J100" s="3207"/>
      <c r="K100" s="3154"/>
      <c r="L100" s="3154"/>
      <c r="M100" s="3210"/>
      <c r="N100" s="3212"/>
      <c r="O100" s="3152"/>
      <c r="P100" s="3152"/>
      <c r="Q100" s="3247"/>
      <c r="R100" s="3249"/>
      <c r="S100" s="3251"/>
      <c r="T100" s="3160"/>
      <c r="U100" s="3129"/>
      <c r="V100" s="3219" t="s">
        <v>1175</v>
      </c>
      <c r="W100" s="1561">
        <f>5760000+20170000</f>
        <v>25930000</v>
      </c>
      <c r="X100" s="1561">
        <v>25500000</v>
      </c>
      <c r="Y100" s="1561">
        <v>21250000</v>
      </c>
      <c r="Z100" s="1671">
        <v>20</v>
      </c>
      <c r="AA100" s="1565" t="s">
        <v>125</v>
      </c>
      <c r="AB100" s="3214"/>
      <c r="AC100" s="3214"/>
      <c r="AD100" s="3217"/>
      <c r="AE100" s="3217"/>
      <c r="AF100" s="3214"/>
      <c r="AG100" s="3214"/>
      <c r="AH100" s="3214"/>
      <c r="AI100" s="3214"/>
      <c r="AJ100" s="3214"/>
      <c r="AK100" s="3214"/>
      <c r="AL100" s="3214"/>
      <c r="AM100" s="3214"/>
      <c r="AN100" s="3214"/>
      <c r="AO100" s="3214"/>
      <c r="AP100" s="3214"/>
      <c r="AQ100" s="3214"/>
      <c r="AR100" s="3214"/>
      <c r="AS100" s="3214"/>
      <c r="AT100" s="3214"/>
      <c r="AU100" s="3214"/>
      <c r="AV100" s="3214"/>
      <c r="AW100" s="1670"/>
      <c r="AX100" s="3214"/>
      <c r="AY100" s="1670"/>
      <c r="AZ100" s="3214"/>
      <c r="BA100" s="3214"/>
      <c r="BB100" s="3214"/>
      <c r="BC100" s="3214"/>
      <c r="BD100" s="3214"/>
      <c r="BE100" s="3214"/>
      <c r="BF100" s="3214"/>
      <c r="BG100" s="3214"/>
      <c r="BH100" s="3214"/>
      <c r="BI100" s="3214"/>
      <c r="BJ100" s="3214"/>
      <c r="BK100" s="3204"/>
      <c r="BL100" s="3217"/>
      <c r="BM100" s="3217" t="s">
        <v>1176</v>
      </c>
      <c r="BN100" s="3174"/>
      <c r="BO100" s="3174"/>
      <c r="BP100" s="3174"/>
      <c r="BQ100" s="3174"/>
      <c r="BR100" s="3175"/>
    </row>
    <row r="101" spans="1:70" s="1627" customFormat="1" ht="51.75" customHeight="1" x14ac:dyDescent="0.2">
      <c r="A101" s="3200"/>
      <c r="B101" s="3201"/>
      <c r="C101" s="3201"/>
      <c r="D101" s="3202"/>
      <c r="E101" s="3201"/>
      <c r="F101" s="3201"/>
      <c r="G101" s="3202"/>
      <c r="H101" s="3203"/>
      <c r="I101" s="3203"/>
      <c r="J101" s="3207"/>
      <c r="K101" s="3154"/>
      <c r="L101" s="3154"/>
      <c r="M101" s="3210"/>
      <c r="N101" s="3212"/>
      <c r="O101" s="3152"/>
      <c r="P101" s="3152"/>
      <c r="Q101" s="3247"/>
      <c r="R101" s="3249"/>
      <c r="S101" s="3251"/>
      <c r="T101" s="3160"/>
      <c r="U101" s="3129"/>
      <c r="V101" s="3220"/>
      <c r="W101" s="1561">
        <f>0+20000</f>
        <v>20000</v>
      </c>
      <c r="X101" s="1625"/>
      <c r="Y101" s="1625"/>
      <c r="Z101" s="1626">
        <v>88</v>
      </c>
      <c r="AA101" s="1563" t="s">
        <v>76</v>
      </c>
      <c r="AB101" s="3214"/>
      <c r="AC101" s="3214"/>
      <c r="AD101" s="3217"/>
      <c r="AE101" s="3217"/>
      <c r="AF101" s="3214"/>
      <c r="AG101" s="3214"/>
      <c r="AH101" s="3214"/>
      <c r="AI101" s="3214"/>
      <c r="AJ101" s="3214"/>
      <c r="AK101" s="3214"/>
      <c r="AL101" s="3214"/>
      <c r="AM101" s="3214"/>
      <c r="AN101" s="3214"/>
      <c r="AO101" s="3214"/>
      <c r="AP101" s="3214"/>
      <c r="AQ101" s="3214"/>
      <c r="AR101" s="3214"/>
      <c r="AS101" s="3214"/>
      <c r="AT101" s="3214"/>
      <c r="AU101" s="3214"/>
      <c r="AV101" s="3214"/>
      <c r="AW101" s="1670"/>
      <c r="AX101" s="3214"/>
      <c r="AY101" s="1670"/>
      <c r="AZ101" s="3214"/>
      <c r="BA101" s="3214"/>
      <c r="BB101" s="3214"/>
      <c r="BC101" s="3214"/>
      <c r="BD101" s="3214"/>
      <c r="BE101" s="3214"/>
      <c r="BF101" s="3214"/>
      <c r="BG101" s="3214"/>
      <c r="BH101" s="3214"/>
      <c r="BI101" s="3214"/>
      <c r="BJ101" s="3214"/>
      <c r="BK101" s="3204"/>
      <c r="BL101" s="3217"/>
      <c r="BM101" s="3217"/>
      <c r="BN101" s="3174"/>
      <c r="BO101" s="3174"/>
      <c r="BP101" s="3174"/>
      <c r="BQ101" s="3174"/>
      <c r="BR101" s="3175"/>
    </row>
    <row r="102" spans="1:70" s="1627" customFormat="1" ht="51.75" customHeight="1" x14ac:dyDescent="0.2">
      <c r="A102" s="3200"/>
      <c r="B102" s="3201"/>
      <c r="C102" s="3201"/>
      <c r="D102" s="3202"/>
      <c r="E102" s="3201"/>
      <c r="F102" s="3201"/>
      <c r="G102" s="3202"/>
      <c r="H102" s="3203"/>
      <c r="I102" s="3203"/>
      <c r="J102" s="3207"/>
      <c r="K102" s="3154"/>
      <c r="L102" s="3154"/>
      <c r="M102" s="3210"/>
      <c r="N102" s="3212"/>
      <c r="O102" s="3152"/>
      <c r="P102" s="3152"/>
      <c r="Q102" s="3247"/>
      <c r="R102" s="3249"/>
      <c r="S102" s="3251"/>
      <c r="T102" s="3160"/>
      <c r="U102" s="3129"/>
      <c r="V102" s="1413" t="s">
        <v>1177</v>
      </c>
      <c r="W102" s="1561">
        <f>5760000-5760000</f>
        <v>0</v>
      </c>
      <c r="X102" s="1625"/>
      <c r="Y102" s="1625"/>
      <c r="Z102" s="1626"/>
      <c r="AA102" s="1565"/>
      <c r="AB102" s="3214"/>
      <c r="AC102" s="3214"/>
      <c r="AD102" s="3217"/>
      <c r="AE102" s="3217"/>
      <c r="AF102" s="3214"/>
      <c r="AG102" s="3214"/>
      <c r="AH102" s="3214"/>
      <c r="AI102" s="3214"/>
      <c r="AJ102" s="3214"/>
      <c r="AK102" s="3214"/>
      <c r="AL102" s="3214"/>
      <c r="AM102" s="3214"/>
      <c r="AN102" s="3214"/>
      <c r="AO102" s="3214"/>
      <c r="AP102" s="3214"/>
      <c r="AQ102" s="3214"/>
      <c r="AR102" s="3214"/>
      <c r="AS102" s="3214"/>
      <c r="AT102" s="3214"/>
      <c r="AU102" s="3214"/>
      <c r="AV102" s="3214"/>
      <c r="AW102" s="1670"/>
      <c r="AX102" s="3214"/>
      <c r="AY102" s="1670"/>
      <c r="AZ102" s="3214"/>
      <c r="BA102" s="3214"/>
      <c r="BB102" s="3214"/>
      <c r="BC102" s="3214"/>
      <c r="BD102" s="3214"/>
      <c r="BE102" s="3214"/>
      <c r="BF102" s="3214"/>
      <c r="BG102" s="3214"/>
      <c r="BH102" s="3214"/>
      <c r="BI102" s="3214"/>
      <c r="BJ102" s="3214"/>
      <c r="BK102" s="3204"/>
      <c r="BL102" s="3217"/>
      <c r="BM102" s="3217"/>
      <c r="BN102" s="3174"/>
      <c r="BO102" s="3174"/>
      <c r="BP102" s="3174"/>
      <c r="BQ102" s="3174"/>
      <c r="BR102" s="3175"/>
    </row>
    <row r="103" spans="1:70" s="1627" customFormat="1" ht="51.75" customHeight="1" x14ac:dyDescent="0.2">
      <c r="A103" s="3200"/>
      <c r="B103" s="3201"/>
      <c r="C103" s="3201"/>
      <c r="D103" s="3202"/>
      <c r="E103" s="3201"/>
      <c r="F103" s="3201"/>
      <c r="G103" s="3202"/>
      <c r="H103" s="3203"/>
      <c r="I103" s="3203"/>
      <c r="J103" s="3207"/>
      <c r="K103" s="3154"/>
      <c r="L103" s="3154"/>
      <c r="M103" s="3210"/>
      <c r="N103" s="3212"/>
      <c r="O103" s="3152"/>
      <c r="P103" s="3152"/>
      <c r="Q103" s="3247"/>
      <c r="R103" s="3249"/>
      <c r="S103" s="3251"/>
      <c r="T103" s="3160"/>
      <c r="U103" s="3129"/>
      <c r="V103" s="3219" t="s">
        <v>1178</v>
      </c>
      <c r="W103" s="1561">
        <f>14410000-14410000</f>
        <v>0</v>
      </c>
      <c r="X103" s="1625"/>
      <c r="Y103" s="1625"/>
      <c r="Z103" s="1626"/>
      <c r="AA103" s="1565"/>
      <c r="AB103" s="3214"/>
      <c r="AC103" s="3214"/>
      <c r="AD103" s="3217"/>
      <c r="AE103" s="3217"/>
      <c r="AF103" s="3214"/>
      <c r="AG103" s="3214"/>
      <c r="AH103" s="3214"/>
      <c r="AI103" s="3214"/>
      <c r="AJ103" s="3214"/>
      <c r="AK103" s="3214"/>
      <c r="AL103" s="3214"/>
      <c r="AM103" s="3214"/>
      <c r="AN103" s="3214"/>
      <c r="AO103" s="3214"/>
      <c r="AP103" s="3214"/>
      <c r="AQ103" s="3214"/>
      <c r="AR103" s="3214"/>
      <c r="AS103" s="3214"/>
      <c r="AT103" s="3214"/>
      <c r="AU103" s="3214"/>
      <c r="AV103" s="3214"/>
      <c r="AW103" s="1670"/>
      <c r="AX103" s="3214"/>
      <c r="AY103" s="1670"/>
      <c r="AZ103" s="3214"/>
      <c r="BA103" s="3214"/>
      <c r="BB103" s="3214"/>
      <c r="BC103" s="3214"/>
      <c r="BD103" s="3214"/>
      <c r="BE103" s="3214"/>
      <c r="BF103" s="3214"/>
      <c r="BG103" s="3214"/>
      <c r="BH103" s="3214"/>
      <c r="BI103" s="3214"/>
      <c r="BJ103" s="3214"/>
      <c r="BK103" s="3204"/>
      <c r="BL103" s="3217"/>
      <c r="BM103" s="3217"/>
      <c r="BN103" s="3174"/>
      <c r="BO103" s="3174"/>
      <c r="BP103" s="3174"/>
      <c r="BQ103" s="3174"/>
      <c r="BR103" s="3175"/>
    </row>
    <row r="104" spans="1:70" s="1627" customFormat="1" ht="51.75" customHeight="1" x14ac:dyDescent="0.2">
      <c r="A104" s="3200"/>
      <c r="B104" s="3201"/>
      <c r="C104" s="3201"/>
      <c r="D104" s="3202"/>
      <c r="E104" s="3201"/>
      <c r="F104" s="3201"/>
      <c r="G104" s="3202"/>
      <c r="H104" s="3203"/>
      <c r="I104" s="3203"/>
      <c r="J104" s="3207"/>
      <c r="K104" s="3154"/>
      <c r="L104" s="3154"/>
      <c r="M104" s="3210"/>
      <c r="N104" s="3212"/>
      <c r="O104" s="3152"/>
      <c r="P104" s="3152"/>
      <c r="Q104" s="3247"/>
      <c r="R104" s="3249"/>
      <c r="S104" s="3251"/>
      <c r="T104" s="3160"/>
      <c r="U104" s="3130"/>
      <c r="V104" s="3220"/>
      <c r="W104" s="1561">
        <f>20000-20000</f>
        <v>0</v>
      </c>
      <c r="X104" s="1625"/>
      <c r="Y104" s="1625"/>
      <c r="Z104" s="1626"/>
      <c r="AA104" s="1563"/>
      <c r="AB104" s="3214"/>
      <c r="AC104" s="3214"/>
      <c r="AD104" s="3217"/>
      <c r="AE104" s="3217"/>
      <c r="AF104" s="3214"/>
      <c r="AG104" s="3214"/>
      <c r="AH104" s="3214"/>
      <c r="AI104" s="3214"/>
      <c r="AJ104" s="3214"/>
      <c r="AK104" s="3214"/>
      <c r="AL104" s="3214"/>
      <c r="AM104" s="3214"/>
      <c r="AN104" s="3214"/>
      <c r="AO104" s="3214"/>
      <c r="AP104" s="3214"/>
      <c r="AQ104" s="3214"/>
      <c r="AR104" s="3214"/>
      <c r="AS104" s="3214"/>
      <c r="AT104" s="3214"/>
      <c r="AU104" s="3214"/>
      <c r="AV104" s="3214"/>
      <c r="AW104" s="1670"/>
      <c r="AX104" s="3214"/>
      <c r="AY104" s="1670"/>
      <c r="AZ104" s="3214"/>
      <c r="BA104" s="3214"/>
      <c r="BB104" s="3214"/>
      <c r="BC104" s="3214"/>
      <c r="BD104" s="3214"/>
      <c r="BE104" s="3214"/>
      <c r="BF104" s="3214"/>
      <c r="BG104" s="3214"/>
      <c r="BH104" s="3214"/>
      <c r="BI104" s="3214"/>
      <c r="BJ104" s="3214"/>
      <c r="BK104" s="3204"/>
      <c r="BL104" s="3217"/>
      <c r="BM104" s="3217"/>
      <c r="BN104" s="3174"/>
      <c r="BO104" s="3174"/>
      <c r="BP104" s="3174"/>
      <c r="BQ104" s="3174"/>
      <c r="BR104" s="3175"/>
    </row>
    <row r="105" spans="1:70" s="1627" customFormat="1" ht="63" customHeight="1" x14ac:dyDescent="0.2">
      <c r="A105" s="3200"/>
      <c r="B105" s="3201"/>
      <c r="C105" s="3201"/>
      <c r="D105" s="3202"/>
      <c r="E105" s="3201"/>
      <c r="F105" s="3201"/>
      <c r="G105" s="3202"/>
      <c r="H105" s="3203"/>
      <c r="I105" s="3203"/>
      <c r="J105" s="3207"/>
      <c r="K105" s="3154"/>
      <c r="L105" s="3154"/>
      <c r="M105" s="3210"/>
      <c r="N105" s="3212"/>
      <c r="O105" s="3152"/>
      <c r="P105" s="3152"/>
      <c r="Q105" s="3247"/>
      <c r="R105" s="3249"/>
      <c r="S105" s="3251"/>
      <c r="T105" s="3160"/>
      <c r="U105" s="3107" t="s">
        <v>1179</v>
      </c>
      <c r="V105" s="1624" t="s">
        <v>1180</v>
      </c>
      <c r="W105" s="1561">
        <f>8500000+850000</f>
        <v>9350000</v>
      </c>
      <c r="X105" s="1625">
        <v>9270000</v>
      </c>
      <c r="Y105" s="1625">
        <v>5870000</v>
      </c>
      <c r="Z105" s="1626">
        <v>20</v>
      </c>
      <c r="AA105" s="1565" t="s">
        <v>125</v>
      </c>
      <c r="AB105" s="3214"/>
      <c r="AC105" s="3214"/>
      <c r="AD105" s="3217"/>
      <c r="AE105" s="3217"/>
      <c r="AF105" s="3214"/>
      <c r="AG105" s="3214"/>
      <c r="AH105" s="3214"/>
      <c r="AI105" s="3214"/>
      <c r="AJ105" s="3214"/>
      <c r="AK105" s="3214"/>
      <c r="AL105" s="3214"/>
      <c r="AM105" s="3214"/>
      <c r="AN105" s="3214"/>
      <c r="AO105" s="3214"/>
      <c r="AP105" s="3214"/>
      <c r="AQ105" s="3214"/>
      <c r="AR105" s="3214"/>
      <c r="AS105" s="3214"/>
      <c r="AT105" s="3214"/>
      <c r="AU105" s="3214"/>
      <c r="AV105" s="3214"/>
      <c r="AW105" s="1670"/>
      <c r="AX105" s="3214"/>
      <c r="AY105" s="1670"/>
      <c r="AZ105" s="3214"/>
      <c r="BA105" s="3214"/>
      <c r="BB105" s="3214"/>
      <c r="BC105" s="3214"/>
      <c r="BD105" s="3214"/>
      <c r="BE105" s="3214"/>
      <c r="BF105" s="3214"/>
      <c r="BG105" s="3214"/>
      <c r="BH105" s="3214"/>
      <c r="BI105" s="3214"/>
      <c r="BJ105" s="3214"/>
      <c r="BK105" s="3204"/>
      <c r="BL105" s="3217"/>
      <c r="BM105" s="3217"/>
      <c r="BN105" s="3174"/>
      <c r="BO105" s="3174"/>
      <c r="BP105" s="3174"/>
      <c r="BQ105" s="3174"/>
      <c r="BR105" s="3175"/>
    </row>
    <row r="106" spans="1:70" s="1627" customFormat="1" ht="63" customHeight="1" x14ac:dyDescent="0.2">
      <c r="A106" s="3200"/>
      <c r="B106" s="3201"/>
      <c r="C106" s="3201"/>
      <c r="D106" s="3202"/>
      <c r="E106" s="3201"/>
      <c r="F106" s="3201"/>
      <c r="G106" s="3202"/>
      <c r="H106" s="3203"/>
      <c r="I106" s="3203"/>
      <c r="J106" s="3207"/>
      <c r="K106" s="3154"/>
      <c r="L106" s="3154"/>
      <c r="M106" s="3210"/>
      <c r="N106" s="3212"/>
      <c r="O106" s="3152"/>
      <c r="P106" s="3152"/>
      <c r="Q106" s="3247"/>
      <c r="R106" s="3249"/>
      <c r="S106" s="3251"/>
      <c r="T106" s="3160"/>
      <c r="U106" s="3107"/>
      <c r="V106" s="1624" t="s">
        <v>1181</v>
      </c>
      <c r="W106" s="1561">
        <f>6500000+650000</f>
        <v>7150000</v>
      </c>
      <c r="X106" s="1625">
        <v>7150000</v>
      </c>
      <c r="Y106" s="1625">
        <v>4550000</v>
      </c>
      <c r="Z106" s="1626">
        <v>20</v>
      </c>
      <c r="AA106" s="1565" t="s">
        <v>125</v>
      </c>
      <c r="AB106" s="3214"/>
      <c r="AC106" s="3214"/>
      <c r="AD106" s="3217"/>
      <c r="AE106" s="3217"/>
      <c r="AF106" s="3214"/>
      <c r="AG106" s="3214"/>
      <c r="AH106" s="3214"/>
      <c r="AI106" s="3214"/>
      <c r="AJ106" s="3214"/>
      <c r="AK106" s="3214"/>
      <c r="AL106" s="3214"/>
      <c r="AM106" s="3214"/>
      <c r="AN106" s="3214"/>
      <c r="AO106" s="3214"/>
      <c r="AP106" s="3214"/>
      <c r="AQ106" s="3214"/>
      <c r="AR106" s="3214"/>
      <c r="AS106" s="3214"/>
      <c r="AT106" s="3214"/>
      <c r="AU106" s="3214"/>
      <c r="AV106" s="3214"/>
      <c r="AW106" s="1670"/>
      <c r="AX106" s="3214"/>
      <c r="AY106" s="1670"/>
      <c r="AZ106" s="3214"/>
      <c r="BA106" s="3214"/>
      <c r="BB106" s="3214"/>
      <c r="BC106" s="3214"/>
      <c r="BD106" s="3214"/>
      <c r="BE106" s="3214"/>
      <c r="BF106" s="3214"/>
      <c r="BG106" s="3214"/>
      <c r="BH106" s="3214"/>
      <c r="BI106" s="3214"/>
      <c r="BJ106" s="3214"/>
      <c r="BK106" s="3204"/>
      <c r="BL106" s="3217"/>
      <c r="BM106" s="3217"/>
      <c r="BN106" s="3174"/>
      <c r="BO106" s="3174"/>
      <c r="BP106" s="3174"/>
      <c r="BQ106" s="3174"/>
      <c r="BR106" s="3175"/>
    </row>
    <row r="107" spans="1:70" s="1627" customFormat="1" ht="63" customHeight="1" x14ac:dyDescent="0.2">
      <c r="A107" s="3200"/>
      <c r="B107" s="3201"/>
      <c r="C107" s="3201"/>
      <c r="D107" s="3202"/>
      <c r="E107" s="3201"/>
      <c r="F107" s="3201"/>
      <c r="G107" s="3202"/>
      <c r="H107" s="3203"/>
      <c r="I107" s="3203"/>
      <c r="J107" s="3207"/>
      <c r="K107" s="3154"/>
      <c r="L107" s="3154"/>
      <c r="M107" s="3210"/>
      <c r="N107" s="3212"/>
      <c r="O107" s="3152"/>
      <c r="P107" s="3152"/>
      <c r="Q107" s="3247"/>
      <c r="R107" s="3249"/>
      <c r="S107" s="3251"/>
      <c r="T107" s="3160"/>
      <c r="U107" s="3107"/>
      <c r="V107" s="1624" t="s">
        <v>1182</v>
      </c>
      <c r="W107" s="1561">
        <v>18000000</v>
      </c>
      <c r="X107" s="1625">
        <v>17751467</v>
      </c>
      <c r="Y107" s="1625">
        <v>12600000</v>
      </c>
      <c r="Z107" s="1626">
        <v>20</v>
      </c>
      <c r="AA107" s="1565" t="s">
        <v>125</v>
      </c>
      <c r="AB107" s="3214"/>
      <c r="AC107" s="3214"/>
      <c r="AD107" s="3217"/>
      <c r="AE107" s="3217"/>
      <c r="AF107" s="3214"/>
      <c r="AG107" s="3214"/>
      <c r="AH107" s="3214"/>
      <c r="AI107" s="3214"/>
      <c r="AJ107" s="3214"/>
      <c r="AK107" s="3214"/>
      <c r="AL107" s="3214"/>
      <c r="AM107" s="3214"/>
      <c r="AN107" s="3214"/>
      <c r="AO107" s="3214"/>
      <c r="AP107" s="3214"/>
      <c r="AQ107" s="3214"/>
      <c r="AR107" s="3214"/>
      <c r="AS107" s="3214"/>
      <c r="AT107" s="3214"/>
      <c r="AU107" s="3214"/>
      <c r="AV107" s="3214"/>
      <c r="AW107" s="1670"/>
      <c r="AX107" s="3214"/>
      <c r="AY107" s="1670"/>
      <c r="AZ107" s="3214"/>
      <c r="BA107" s="3214"/>
      <c r="BB107" s="3214"/>
      <c r="BC107" s="3214"/>
      <c r="BD107" s="3214"/>
      <c r="BE107" s="3214"/>
      <c r="BF107" s="3214"/>
      <c r="BG107" s="3214"/>
      <c r="BH107" s="3214"/>
      <c r="BI107" s="3214"/>
      <c r="BJ107" s="3214"/>
      <c r="BK107" s="3204"/>
      <c r="BL107" s="3217"/>
      <c r="BM107" s="3217"/>
      <c r="BN107" s="3174"/>
      <c r="BO107" s="3174"/>
      <c r="BP107" s="3174"/>
      <c r="BQ107" s="3174"/>
      <c r="BR107" s="3175"/>
    </row>
    <row r="108" spans="1:70" s="1627" customFormat="1" ht="63" customHeight="1" x14ac:dyDescent="0.2">
      <c r="A108" s="3200"/>
      <c r="B108" s="3201"/>
      <c r="C108" s="3201"/>
      <c r="D108" s="3202"/>
      <c r="E108" s="3201"/>
      <c r="F108" s="3201"/>
      <c r="G108" s="3202"/>
      <c r="H108" s="3203"/>
      <c r="I108" s="3203"/>
      <c r="J108" s="3207"/>
      <c r="K108" s="3154"/>
      <c r="L108" s="3154"/>
      <c r="M108" s="3210"/>
      <c r="N108" s="3212"/>
      <c r="O108" s="3152"/>
      <c r="P108" s="3152"/>
      <c r="Q108" s="3247"/>
      <c r="R108" s="3249"/>
      <c r="S108" s="3251"/>
      <c r="T108" s="3160"/>
      <c r="U108" s="3107" t="s">
        <v>1183</v>
      </c>
      <c r="V108" s="3219" t="s">
        <v>1184</v>
      </c>
      <c r="W108" s="1561">
        <f>76230000+59290000-5100000-3370000</f>
        <v>127050000</v>
      </c>
      <c r="X108" s="1625">
        <v>115080066</v>
      </c>
      <c r="Y108" s="1625">
        <v>95503534</v>
      </c>
      <c r="Z108" s="1626">
        <v>20</v>
      </c>
      <c r="AA108" s="1565" t="s">
        <v>125</v>
      </c>
      <c r="AB108" s="3214"/>
      <c r="AC108" s="3214"/>
      <c r="AD108" s="3217"/>
      <c r="AE108" s="3217"/>
      <c r="AF108" s="3214"/>
      <c r="AG108" s="3214"/>
      <c r="AH108" s="3214"/>
      <c r="AI108" s="3214"/>
      <c r="AJ108" s="3214"/>
      <c r="AK108" s="3214"/>
      <c r="AL108" s="3214"/>
      <c r="AM108" s="3214"/>
      <c r="AN108" s="3214"/>
      <c r="AO108" s="3214"/>
      <c r="AP108" s="3214"/>
      <c r="AQ108" s="3214"/>
      <c r="AR108" s="3214"/>
      <c r="AS108" s="3214"/>
      <c r="AT108" s="3214"/>
      <c r="AU108" s="3214"/>
      <c r="AV108" s="3214"/>
      <c r="AW108" s="1670"/>
      <c r="AX108" s="3214"/>
      <c r="AY108" s="1670"/>
      <c r="AZ108" s="3214"/>
      <c r="BA108" s="3214"/>
      <c r="BB108" s="3214"/>
      <c r="BC108" s="3214"/>
      <c r="BD108" s="3214"/>
      <c r="BE108" s="3214"/>
      <c r="BF108" s="3214"/>
      <c r="BG108" s="3214"/>
      <c r="BH108" s="3214"/>
      <c r="BI108" s="3214"/>
      <c r="BJ108" s="3214"/>
      <c r="BK108" s="3204"/>
      <c r="BL108" s="3217"/>
      <c r="BM108" s="3217"/>
      <c r="BN108" s="3174"/>
      <c r="BO108" s="3174"/>
      <c r="BP108" s="3174"/>
      <c r="BQ108" s="3174"/>
      <c r="BR108" s="3175"/>
    </row>
    <row r="109" spans="1:70" s="1627" customFormat="1" ht="63" customHeight="1" x14ac:dyDescent="0.2">
      <c r="A109" s="3200"/>
      <c r="B109" s="3201"/>
      <c r="C109" s="3201"/>
      <c r="D109" s="3202"/>
      <c r="E109" s="3201"/>
      <c r="F109" s="3201"/>
      <c r="G109" s="3202"/>
      <c r="H109" s="3203"/>
      <c r="I109" s="3203"/>
      <c r="J109" s="3207"/>
      <c r="K109" s="3154"/>
      <c r="L109" s="3154"/>
      <c r="M109" s="3210"/>
      <c r="N109" s="3212"/>
      <c r="O109" s="3152"/>
      <c r="P109" s="3152"/>
      <c r="Q109" s="3247"/>
      <c r="R109" s="3249"/>
      <c r="S109" s="3251"/>
      <c r="T109" s="3160"/>
      <c r="U109" s="3107"/>
      <c r="V109" s="3220"/>
      <c r="W109" s="1561">
        <f>0+33880000+8470000+5100000+11840000</f>
        <v>59290000</v>
      </c>
      <c r="X109" s="1625">
        <v>59290000</v>
      </c>
      <c r="Y109" s="1625">
        <v>35661733</v>
      </c>
      <c r="Z109" s="1626">
        <v>88</v>
      </c>
      <c r="AA109" s="1563" t="s">
        <v>1185</v>
      </c>
      <c r="AB109" s="3214"/>
      <c r="AC109" s="3214"/>
      <c r="AD109" s="3217"/>
      <c r="AE109" s="3217"/>
      <c r="AF109" s="3214"/>
      <c r="AG109" s="3214"/>
      <c r="AH109" s="3214"/>
      <c r="AI109" s="3214"/>
      <c r="AJ109" s="3214"/>
      <c r="AK109" s="3214"/>
      <c r="AL109" s="3214"/>
      <c r="AM109" s="3214"/>
      <c r="AN109" s="3214"/>
      <c r="AO109" s="3214"/>
      <c r="AP109" s="3214"/>
      <c r="AQ109" s="3214"/>
      <c r="AR109" s="3214"/>
      <c r="AS109" s="3214"/>
      <c r="AT109" s="3214"/>
      <c r="AU109" s="3214"/>
      <c r="AV109" s="3214"/>
      <c r="AW109" s="1670"/>
      <c r="AX109" s="3214"/>
      <c r="AY109" s="1670"/>
      <c r="AZ109" s="3214"/>
      <c r="BA109" s="3214"/>
      <c r="BB109" s="3214"/>
      <c r="BC109" s="3214"/>
      <c r="BD109" s="3214"/>
      <c r="BE109" s="3214"/>
      <c r="BF109" s="3214"/>
      <c r="BG109" s="3214"/>
      <c r="BH109" s="3214"/>
      <c r="BI109" s="3214"/>
      <c r="BJ109" s="3214"/>
      <c r="BK109" s="3204"/>
      <c r="BL109" s="3217"/>
      <c r="BM109" s="3217"/>
      <c r="BN109" s="3174"/>
      <c r="BO109" s="3174"/>
      <c r="BP109" s="3174"/>
      <c r="BQ109" s="3174"/>
      <c r="BR109" s="3175"/>
    </row>
    <row r="110" spans="1:70" s="1627" customFormat="1" ht="63" customHeight="1" x14ac:dyDescent="0.2">
      <c r="A110" s="3200"/>
      <c r="B110" s="3201"/>
      <c r="C110" s="3201"/>
      <c r="D110" s="3202"/>
      <c r="E110" s="3201"/>
      <c r="F110" s="3201"/>
      <c r="G110" s="3202"/>
      <c r="H110" s="3203"/>
      <c r="I110" s="3203"/>
      <c r="J110" s="3207"/>
      <c r="K110" s="3154"/>
      <c r="L110" s="3154"/>
      <c r="M110" s="3210"/>
      <c r="N110" s="3212"/>
      <c r="O110" s="3152"/>
      <c r="P110" s="3152"/>
      <c r="Q110" s="3247"/>
      <c r="R110" s="3249"/>
      <c r="S110" s="3251"/>
      <c r="T110" s="3160"/>
      <c r="U110" s="3107"/>
      <c r="V110" s="3221" t="s">
        <v>1186</v>
      </c>
      <c r="W110" s="1561">
        <f>19800000-5100000+5100000</f>
        <v>19800000</v>
      </c>
      <c r="X110" s="1561">
        <v>19800000</v>
      </c>
      <c r="Y110" s="1561">
        <v>19800000</v>
      </c>
      <c r="Z110" s="1672">
        <v>20</v>
      </c>
      <c r="AA110" s="1565" t="s">
        <v>125</v>
      </c>
      <c r="AB110" s="3214"/>
      <c r="AC110" s="3214"/>
      <c r="AD110" s="3217"/>
      <c r="AE110" s="3217"/>
      <c r="AF110" s="3214"/>
      <c r="AG110" s="3214"/>
      <c r="AH110" s="3214"/>
      <c r="AI110" s="3214"/>
      <c r="AJ110" s="3214"/>
      <c r="AK110" s="3214"/>
      <c r="AL110" s="3214"/>
      <c r="AM110" s="3214"/>
      <c r="AN110" s="3214"/>
      <c r="AO110" s="3214"/>
      <c r="AP110" s="3214"/>
      <c r="AQ110" s="3214"/>
      <c r="AR110" s="3214"/>
      <c r="AS110" s="3214"/>
      <c r="AT110" s="3214"/>
      <c r="AU110" s="3214"/>
      <c r="AV110" s="3214"/>
      <c r="AW110" s="1670"/>
      <c r="AX110" s="3214"/>
      <c r="AY110" s="1670"/>
      <c r="AZ110" s="3214"/>
      <c r="BA110" s="3214"/>
      <c r="BB110" s="3214"/>
      <c r="BC110" s="3214"/>
      <c r="BD110" s="3214"/>
      <c r="BE110" s="3214"/>
      <c r="BF110" s="3214"/>
      <c r="BG110" s="3214"/>
      <c r="BH110" s="3214"/>
      <c r="BI110" s="3214"/>
      <c r="BJ110" s="3214"/>
      <c r="BK110" s="3204"/>
      <c r="BL110" s="3217"/>
      <c r="BM110" s="3217"/>
      <c r="BN110" s="3174"/>
      <c r="BO110" s="3174"/>
      <c r="BP110" s="3174"/>
      <c r="BQ110" s="3174"/>
      <c r="BR110" s="3175"/>
    </row>
    <row r="111" spans="1:70" s="1627" customFormat="1" ht="63" customHeight="1" x14ac:dyDescent="0.2">
      <c r="A111" s="3200"/>
      <c r="B111" s="3201"/>
      <c r="C111" s="3201"/>
      <c r="D111" s="3202"/>
      <c r="E111" s="3201"/>
      <c r="F111" s="3201"/>
      <c r="G111" s="3202"/>
      <c r="H111" s="3203"/>
      <c r="I111" s="3203"/>
      <c r="J111" s="3207"/>
      <c r="K111" s="3154"/>
      <c r="L111" s="3154"/>
      <c r="M111" s="3210"/>
      <c r="N111" s="3212"/>
      <c r="O111" s="3152"/>
      <c r="P111" s="3152"/>
      <c r="Q111" s="3247"/>
      <c r="R111" s="3249"/>
      <c r="S111" s="3251"/>
      <c r="T111" s="3160"/>
      <c r="U111" s="3107"/>
      <c r="V111" s="3222"/>
      <c r="W111" s="1650">
        <f>0+5100000-5100000</f>
        <v>0</v>
      </c>
      <c r="X111" s="1650"/>
      <c r="Y111" s="1650"/>
      <c r="Z111" s="1672"/>
      <c r="AA111" s="1565"/>
      <c r="AB111" s="3216"/>
      <c r="AC111" s="3216"/>
      <c r="AD111" s="3217"/>
      <c r="AE111" s="3217"/>
      <c r="AF111" s="3214"/>
      <c r="AG111" s="3214"/>
      <c r="AH111" s="3214"/>
      <c r="AI111" s="3214"/>
      <c r="AJ111" s="3214"/>
      <c r="AK111" s="3214"/>
      <c r="AL111" s="3214"/>
      <c r="AM111" s="3214"/>
      <c r="AN111" s="3214"/>
      <c r="AO111" s="3214"/>
      <c r="AP111" s="3214"/>
      <c r="AQ111" s="3214"/>
      <c r="AR111" s="3214"/>
      <c r="AS111" s="3214"/>
      <c r="AT111" s="3214"/>
      <c r="AU111" s="3214"/>
      <c r="AV111" s="3214"/>
      <c r="AW111" s="1670"/>
      <c r="AX111" s="3214"/>
      <c r="AY111" s="1670"/>
      <c r="AZ111" s="3214"/>
      <c r="BA111" s="3214"/>
      <c r="BB111" s="3214"/>
      <c r="BC111" s="3214"/>
      <c r="BD111" s="3214"/>
      <c r="BE111" s="3214"/>
      <c r="BF111" s="3214"/>
      <c r="BG111" s="3214"/>
      <c r="BH111" s="3214"/>
      <c r="BI111" s="3214"/>
      <c r="BJ111" s="3214"/>
      <c r="BK111" s="3204"/>
      <c r="BL111" s="3217"/>
      <c r="BM111" s="3217"/>
      <c r="BN111" s="3174"/>
      <c r="BO111" s="3174"/>
      <c r="BP111" s="3174"/>
      <c r="BQ111" s="3174"/>
      <c r="BR111" s="3175"/>
    </row>
    <row r="112" spans="1:70" s="1627" customFormat="1" ht="63" customHeight="1" x14ac:dyDescent="0.2">
      <c r="A112" s="3200"/>
      <c r="B112" s="3201"/>
      <c r="C112" s="3201"/>
      <c r="D112" s="3202"/>
      <c r="E112" s="3201"/>
      <c r="F112" s="3201"/>
      <c r="G112" s="3202"/>
      <c r="H112" s="3203"/>
      <c r="I112" s="3203"/>
      <c r="J112" s="3207"/>
      <c r="K112" s="3154"/>
      <c r="L112" s="3154"/>
      <c r="M112" s="3210"/>
      <c r="N112" s="3212"/>
      <c r="O112" s="3152"/>
      <c r="P112" s="3152"/>
      <c r="Q112" s="3247"/>
      <c r="R112" s="3249"/>
      <c r="S112" s="3251"/>
      <c r="T112" s="3160"/>
      <c r="U112" s="3107"/>
      <c r="V112" s="3223" t="s">
        <v>1187</v>
      </c>
      <c r="W112" s="1673">
        <f>20000+4160000</f>
        <v>4180000</v>
      </c>
      <c r="X112" s="1650">
        <v>4045664</v>
      </c>
      <c r="Y112" s="1650">
        <v>0</v>
      </c>
      <c r="Z112" s="1671">
        <v>20</v>
      </c>
      <c r="AA112" s="1565" t="s">
        <v>125</v>
      </c>
      <c r="AB112" s="3216"/>
      <c r="AC112" s="3216"/>
      <c r="AD112" s="3217"/>
      <c r="AE112" s="3217"/>
      <c r="AF112" s="3214"/>
      <c r="AG112" s="3214"/>
      <c r="AH112" s="3214"/>
      <c r="AI112" s="3214"/>
      <c r="AJ112" s="3214"/>
      <c r="AK112" s="3214"/>
      <c r="AL112" s="3214"/>
      <c r="AM112" s="3214"/>
      <c r="AN112" s="3214"/>
      <c r="AO112" s="3214"/>
      <c r="AP112" s="3214"/>
      <c r="AQ112" s="3214"/>
      <c r="AR112" s="3214"/>
      <c r="AS112" s="3214"/>
      <c r="AT112" s="3214"/>
      <c r="AU112" s="3214"/>
      <c r="AV112" s="3214"/>
      <c r="AW112" s="1670"/>
      <c r="AX112" s="3214"/>
      <c r="AY112" s="1670"/>
      <c r="AZ112" s="3214"/>
      <c r="BA112" s="3214"/>
      <c r="BB112" s="3214"/>
      <c r="BC112" s="3214"/>
      <c r="BD112" s="3214"/>
      <c r="BE112" s="3214"/>
      <c r="BF112" s="3214"/>
      <c r="BG112" s="3214"/>
      <c r="BH112" s="3214"/>
      <c r="BI112" s="3214"/>
      <c r="BJ112" s="3214"/>
      <c r="BK112" s="3204"/>
      <c r="BL112" s="3217"/>
      <c r="BM112" s="3217"/>
      <c r="BN112" s="3174"/>
      <c r="BO112" s="3174"/>
      <c r="BP112" s="3174"/>
      <c r="BQ112" s="3174"/>
      <c r="BR112" s="3175"/>
    </row>
    <row r="113" spans="1:70" s="1627" customFormat="1" ht="63" customHeight="1" x14ac:dyDescent="0.2">
      <c r="A113" s="3200"/>
      <c r="B113" s="3201"/>
      <c r="C113" s="3201"/>
      <c r="D113" s="3202"/>
      <c r="E113" s="3201"/>
      <c r="F113" s="3201"/>
      <c r="G113" s="3202"/>
      <c r="H113" s="3203"/>
      <c r="I113" s="3203"/>
      <c r="J113" s="3207"/>
      <c r="K113" s="3154"/>
      <c r="L113" s="3154"/>
      <c r="M113" s="3210"/>
      <c r="N113" s="3212"/>
      <c r="O113" s="3152"/>
      <c r="P113" s="3152"/>
      <c r="Q113" s="3247"/>
      <c r="R113" s="3249"/>
      <c r="S113" s="3251"/>
      <c r="T113" s="3160"/>
      <c r="U113" s="3107"/>
      <c r="V113" s="3224"/>
      <c r="W113" s="1673">
        <f>2030000-1940000</f>
        <v>90000</v>
      </c>
      <c r="X113" s="1650"/>
      <c r="Y113" s="1650"/>
      <c r="Z113" s="1674">
        <v>88</v>
      </c>
      <c r="AA113" s="1675" t="s">
        <v>1185</v>
      </c>
      <c r="AB113" s="3216"/>
      <c r="AC113" s="3216"/>
      <c r="AD113" s="3217"/>
      <c r="AE113" s="3217"/>
      <c r="AF113" s="3214"/>
      <c r="AG113" s="3214"/>
      <c r="AH113" s="3214"/>
      <c r="AI113" s="3214"/>
      <c r="AJ113" s="3214"/>
      <c r="AK113" s="3214"/>
      <c r="AL113" s="3214"/>
      <c r="AM113" s="3214"/>
      <c r="AN113" s="3214"/>
      <c r="AO113" s="3214"/>
      <c r="AP113" s="3214"/>
      <c r="AQ113" s="3214"/>
      <c r="AR113" s="3214"/>
      <c r="AS113" s="3214"/>
      <c r="AT113" s="3214"/>
      <c r="AU113" s="3214"/>
      <c r="AV113" s="3214"/>
      <c r="AW113" s="1670"/>
      <c r="AX113" s="3214"/>
      <c r="AY113" s="1670"/>
      <c r="AZ113" s="3214"/>
      <c r="BA113" s="3214"/>
      <c r="BB113" s="3214"/>
      <c r="BC113" s="3214"/>
      <c r="BD113" s="3214"/>
      <c r="BE113" s="3214"/>
      <c r="BF113" s="3214"/>
      <c r="BG113" s="3214"/>
      <c r="BH113" s="3214"/>
      <c r="BI113" s="3214"/>
      <c r="BJ113" s="3214"/>
      <c r="BK113" s="3204"/>
      <c r="BL113" s="3217"/>
      <c r="BM113" s="3217"/>
      <c r="BN113" s="3174"/>
      <c r="BO113" s="3174"/>
      <c r="BP113" s="3174"/>
      <c r="BQ113" s="3174"/>
      <c r="BR113" s="3175"/>
    </row>
    <row r="114" spans="1:70" s="1627" customFormat="1" ht="63" customHeight="1" x14ac:dyDescent="0.2">
      <c r="A114" s="3200"/>
      <c r="B114" s="3201"/>
      <c r="C114" s="3201"/>
      <c r="D114" s="3202"/>
      <c r="E114" s="3201"/>
      <c r="F114" s="3201"/>
      <c r="G114" s="3202"/>
      <c r="H114" s="3203"/>
      <c r="I114" s="3203"/>
      <c r="J114" s="3207"/>
      <c r="K114" s="3154"/>
      <c r="L114" s="3154"/>
      <c r="M114" s="3210"/>
      <c r="N114" s="3212"/>
      <c r="O114" s="3152"/>
      <c r="P114" s="3152"/>
      <c r="Q114" s="3247"/>
      <c r="R114" s="3249"/>
      <c r="S114" s="3251"/>
      <c r="T114" s="3160"/>
      <c r="U114" s="3107"/>
      <c r="V114" s="3221" t="s">
        <v>1188</v>
      </c>
      <c r="W114" s="1561">
        <f>72600000+29800000+1000000</f>
        <v>103400000</v>
      </c>
      <c r="X114" s="1561">
        <v>102657803</v>
      </c>
      <c r="Y114" s="1561">
        <v>87560467</v>
      </c>
      <c r="Z114" s="1676">
        <v>20</v>
      </c>
      <c r="AA114" s="1563" t="s">
        <v>125</v>
      </c>
      <c r="AB114" s="3216"/>
      <c r="AC114" s="3216"/>
      <c r="AD114" s="3217"/>
      <c r="AE114" s="3217"/>
      <c r="AF114" s="3214"/>
      <c r="AG114" s="3214"/>
      <c r="AH114" s="3214"/>
      <c r="AI114" s="3214"/>
      <c r="AJ114" s="3214"/>
      <c r="AK114" s="3214"/>
      <c r="AL114" s="3214"/>
      <c r="AM114" s="3214"/>
      <c r="AN114" s="3214"/>
      <c r="AO114" s="3214"/>
      <c r="AP114" s="3214"/>
      <c r="AQ114" s="3214"/>
      <c r="AR114" s="3214"/>
      <c r="AS114" s="3214"/>
      <c r="AT114" s="3214"/>
      <c r="AU114" s="3214"/>
      <c r="AV114" s="3214"/>
      <c r="AW114" s="1670"/>
      <c r="AX114" s="3214"/>
      <c r="AY114" s="1670"/>
      <c r="AZ114" s="3214"/>
      <c r="BA114" s="3214"/>
      <c r="BB114" s="3214"/>
      <c r="BC114" s="3214"/>
      <c r="BD114" s="3214"/>
      <c r="BE114" s="3214"/>
      <c r="BF114" s="3214"/>
      <c r="BG114" s="3214"/>
      <c r="BH114" s="3214"/>
      <c r="BI114" s="3214"/>
      <c r="BJ114" s="3214"/>
      <c r="BK114" s="3204"/>
      <c r="BL114" s="3217"/>
      <c r="BM114" s="3217"/>
      <c r="BN114" s="3174"/>
      <c r="BO114" s="3174"/>
      <c r="BP114" s="3174"/>
      <c r="BQ114" s="3174"/>
      <c r="BR114" s="3175"/>
    </row>
    <row r="115" spans="1:70" s="1627" customFormat="1" ht="63" customHeight="1" x14ac:dyDescent="0.2">
      <c r="A115" s="3200"/>
      <c r="B115" s="3201"/>
      <c r="C115" s="3201"/>
      <c r="D115" s="3202"/>
      <c r="E115" s="3201"/>
      <c r="F115" s="3201"/>
      <c r="G115" s="3202"/>
      <c r="H115" s="3203"/>
      <c r="I115" s="3203"/>
      <c r="J115" s="3207"/>
      <c r="K115" s="3154"/>
      <c r="L115" s="3154"/>
      <c r="M115" s="3210"/>
      <c r="N115" s="3212"/>
      <c r="O115" s="3152"/>
      <c r="P115" s="3152"/>
      <c r="Q115" s="3247"/>
      <c r="R115" s="3249"/>
      <c r="S115" s="3251"/>
      <c r="T115" s="3160"/>
      <c r="U115" s="3107"/>
      <c r="V115" s="3222"/>
      <c r="W115" s="1561">
        <f>0+33900000+8200000-9900000</f>
        <v>32200000</v>
      </c>
      <c r="X115" s="1561">
        <v>25436136</v>
      </c>
      <c r="Y115" s="1561">
        <v>8394000</v>
      </c>
      <c r="Z115" s="1677">
        <v>88</v>
      </c>
      <c r="AA115" s="1678" t="s">
        <v>76</v>
      </c>
      <c r="AB115" s="3214"/>
      <c r="AC115" s="3214"/>
      <c r="AD115" s="3217"/>
      <c r="AE115" s="3217"/>
      <c r="AF115" s="3214"/>
      <c r="AG115" s="3214"/>
      <c r="AH115" s="3214"/>
      <c r="AI115" s="3214"/>
      <c r="AJ115" s="3214"/>
      <c r="AK115" s="3214"/>
      <c r="AL115" s="3214"/>
      <c r="AM115" s="3214"/>
      <c r="AN115" s="3214"/>
      <c r="AO115" s="3214"/>
      <c r="AP115" s="3214"/>
      <c r="AQ115" s="3214"/>
      <c r="AR115" s="3214"/>
      <c r="AS115" s="3214"/>
      <c r="AT115" s="3214"/>
      <c r="AU115" s="3214"/>
      <c r="AV115" s="3214"/>
      <c r="AW115" s="1670"/>
      <c r="AX115" s="3214"/>
      <c r="AY115" s="1670"/>
      <c r="AZ115" s="3214"/>
      <c r="BA115" s="3214"/>
      <c r="BB115" s="3214"/>
      <c r="BC115" s="3214"/>
      <c r="BD115" s="3214"/>
      <c r="BE115" s="3214"/>
      <c r="BF115" s="3214"/>
      <c r="BG115" s="3214"/>
      <c r="BH115" s="3214"/>
      <c r="BI115" s="3214"/>
      <c r="BJ115" s="3214"/>
      <c r="BK115" s="3204"/>
      <c r="BL115" s="3217"/>
      <c r="BM115" s="3217"/>
      <c r="BN115" s="3174"/>
      <c r="BO115" s="3174"/>
      <c r="BP115" s="3174"/>
      <c r="BQ115" s="3174"/>
      <c r="BR115" s="3175"/>
    </row>
    <row r="116" spans="1:70" s="1627" customFormat="1" ht="63" customHeight="1" x14ac:dyDescent="0.2">
      <c r="A116" s="3200"/>
      <c r="B116" s="3201"/>
      <c r="C116" s="3201"/>
      <c r="D116" s="3202"/>
      <c r="E116" s="3201"/>
      <c r="F116" s="3201"/>
      <c r="G116" s="3202"/>
      <c r="H116" s="3203"/>
      <c r="I116" s="3203"/>
      <c r="J116" s="3207"/>
      <c r="K116" s="3154"/>
      <c r="L116" s="3154"/>
      <c r="M116" s="3210"/>
      <c r="N116" s="3212"/>
      <c r="O116" s="3152"/>
      <c r="P116" s="3152"/>
      <c r="Q116" s="3247"/>
      <c r="R116" s="3249"/>
      <c r="S116" s="3251"/>
      <c r="T116" s="3160"/>
      <c r="U116" s="3107"/>
      <c r="V116" s="3221" t="s">
        <v>1189</v>
      </c>
      <c r="W116" s="1561">
        <f>2100000</f>
        <v>2100000</v>
      </c>
      <c r="X116" s="1561">
        <v>2073500</v>
      </c>
      <c r="Y116" s="1561">
        <v>2073500</v>
      </c>
      <c r="Z116" s="1672">
        <v>20</v>
      </c>
      <c r="AA116" s="1565" t="s">
        <v>125</v>
      </c>
      <c r="AB116" s="3214"/>
      <c r="AC116" s="3214"/>
      <c r="AD116" s="3217"/>
      <c r="AE116" s="3217"/>
      <c r="AF116" s="3214"/>
      <c r="AG116" s="3214"/>
      <c r="AH116" s="3214"/>
      <c r="AI116" s="3214"/>
      <c r="AJ116" s="3214"/>
      <c r="AK116" s="3214"/>
      <c r="AL116" s="3214"/>
      <c r="AM116" s="3214"/>
      <c r="AN116" s="3214"/>
      <c r="AO116" s="3214"/>
      <c r="AP116" s="3214"/>
      <c r="AQ116" s="3214"/>
      <c r="AR116" s="3214"/>
      <c r="AS116" s="3214"/>
      <c r="AT116" s="3214"/>
      <c r="AU116" s="3214"/>
      <c r="AV116" s="3214"/>
      <c r="AW116" s="1670"/>
      <c r="AX116" s="3214"/>
      <c r="AY116" s="1670"/>
      <c r="AZ116" s="3214"/>
      <c r="BA116" s="3214"/>
      <c r="BB116" s="3214"/>
      <c r="BC116" s="3214"/>
      <c r="BD116" s="3214"/>
      <c r="BE116" s="3214"/>
      <c r="BF116" s="3214"/>
      <c r="BG116" s="3214"/>
      <c r="BH116" s="3214"/>
      <c r="BI116" s="3214"/>
      <c r="BJ116" s="3214"/>
      <c r="BK116" s="3204"/>
      <c r="BL116" s="3217"/>
      <c r="BM116" s="3217"/>
      <c r="BN116" s="3174"/>
      <c r="BO116" s="3174"/>
      <c r="BP116" s="3174"/>
      <c r="BQ116" s="3174"/>
      <c r="BR116" s="3175"/>
    </row>
    <row r="117" spans="1:70" s="1627" customFormat="1" ht="63" customHeight="1" x14ac:dyDescent="0.2">
      <c r="A117" s="3200"/>
      <c r="B117" s="3201"/>
      <c r="C117" s="3201"/>
      <c r="D117" s="3202"/>
      <c r="E117" s="3201"/>
      <c r="F117" s="3201"/>
      <c r="G117" s="3202"/>
      <c r="H117" s="3203"/>
      <c r="I117" s="3203"/>
      <c r="J117" s="3207"/>
      <c r="K117" s="3154"/>
      <c r="L117" s="3154"/>
      <c r="M117" s="3210"/>
      <c r="N117" s="3212"/>
      <c r="O117" s="3152"/>
      <c r="P117" s="3152"/>
      <c r="Q117" s="3247"/>
      <c r="R117" s="3249"/>
      <c r="S117" s="3251"/>
      <c r="T117" s="3160"/>
      <c r="U117" s="3107"/>
      <c r="V117" s="3238"/>
      <c r="W117" s="1561">
        <f>2100000</f>
        <v>2100000</v>
      </c>
      <c r="X117" s="1561">
        <v>2077533</v>
      </c>
      <c r="Y117" s="1561">
        <v>0</v>
      </c>
      <c r="Z117" s="1672">
        <v>88</v>
      </c>
      <c r="AA117" s="1565" t="s">
        <v>1185</v>
      </c>
      <c r="AB117" s="3214"/>
      <c r="AC117" s="3214"/>
      <c r="AD117" s="3217"/>
      <c r="AE117" s="3217"/>
      <c r="AF117" s="3214"/>
      <c r="AG117" s="3214"/>
      <c r="AH117" s="3214"/>
      <c r="AI117" s="3214"/>
      <c r="AJ117" s="3214"/>
      <c r="AK117" s="3214"/>
      <c r="AL117" s="3214"/>
      <c r="AM117" s="3214"/>
      <c r="AN117" s="3214"/>
      <c r="AO117" s="3214"/>
      <c r="AP117" s="3214"/>
      <c r="AQ117" s="3214"/>
      <c r="AR117" s="3214"/>
      <c r="AS117" s="3214"/>
      <c r="AT117" s="3214"/>
      <c r="AU117" s="3214"/>
      <c r="AV117" s="3214"/>
      <c r="AW117" s="1670"/>
      <c r="AX117" s="3214"/>
      <c r="AY117" s="1670"/>
      <c r="AZ117" s="3214"/>
      <c r="BA117" s="3214"/>
      <c r="BB117" s="3214"/>
      <c r="BC117" s="3214"/>
      <c r="BD117" s="3214"/>
      <c r="BE117" s="3214"/>
      <c r="BF117" s="3214"/>
      <c r="BG117" s="3214"/>
      <c r="BH117" s="3214"/>
      <c r="BI117" s="3214"/>
      <c r="BJ117" s="3214"/>
      <c r="BK117" s="3204"/>
      <c r="BL117" s="3217"/>
      <c r="BM117" s="3217"/>
      <c r="BN117" s="3174"/>
      <c r="BO117" s="3174"/>
      <c r="BP117" s="3174"/>
      <c r="BQ117" s="3174"/>
      <c r="BR117" s="3175"/>
    </row>
    <row r="118" spans="1:70" s="1627" customFormat="1" ht="104.25" customHeight="1" x14ac:dyDescent="0.2">
      <c r="A118" s="3200"/>
      <c r="B118" s="3201"/>
      <c r="C118" s="3201"/>
      <c r="D118" s="3202"/>
      <c r="E118" s="3201"/>
      <c r="F118" s="3201"/>
      <c r="G118" s="3202"/>
      <c r="H118" s="3203"/>
      <c r="I118" s="3203"/>
      <c r="J118" s="3207"/>
      <c r="K118" s="3154"/>
      <c r="L118" s="3154"/>
      <c r="M118" s="3210"/>
      <c r="N118" s="3212"/>
      <c r="O118" s="3152"/>
      <c r="P118" s="3152"/>
      <c r="Q118" s="3247"/>
      <c r="R118" s="3249"/>
      <c r="S118" s="3251"/>
      <c r="T118" s="3160"/>
      <c r="U118" s="3131"/>
      <c r="V118" s="1679" t="s">
        <v>1190</v>
      </c>
      <c r="W118" s="1630">
        <f>4500000-2250000</f>
        <v>2250000</v>
      </c>
      <c r="X118" s="1630">
        <v>2250000</v>
      </c>
      <c r="Y118" s="1630">
        <v>2250000</v>
      </c>
      <c r="Z118" s="1674">
        <v>20</v>
      </c>
      <c r="AA118" s="1680" t="s">
        <v>125</v>
      </c>
      <c r="AB118" s="3216"/>
      <c r="AC118" s="3216"/>
      <c r="AD118" s="3217"/>
      <c r="AE118" s="3217"/>
      <c r="AF118" s="3214"/>
      <c r="AG118" s="3214"/>
      <c r="AH118" s="3214"/>
      <c r="AI118" s="3214"/>
      <c r="AJ118" s="3214"/>
      <c r="AK118" s="3214"/>
      <c r="AL118" s="3214"/>
      <c r="AM118" s="3214"/>
      <c r="AN118" s="3214"/>
      <c r="AO118" s="3214"/>
      <c r="AP118" s="3214"/>
      <c r="AQ118" s="3214"/>
      <c r="AR118" s="3214"/>
      <c r="AS118" s="3214"/>
      <c r="AT118" s="3214"/>
      <c r="AU118" s="3214"/>
      <c r="AV118" s="3214"/>
      <c r="AW118" s="1670"/>
      <c r="AX118" s="3214"/>
      <c r="AY118" s="1670"/>
      <c r="AZ118" s="3214"/>
      <c r="BA118" s="3214"/>
      <c r="BB118" s="3214"/>
      <c r="BC118" s="3214"/>
      <c r="BD118" s="3214"/>
      <c r="BE118" s="3214"/>
      <c r="BF118" s="3214"/>
      <c r="BG118" s="3214"/>
      <c r="BH118" s="3214"/>
      <c r="BI118" s="3214"/>
      <c r="BJ118" s="3214"/>
      <c r="BK118" s="3204"/>
      <c r="BL118" s="3217"/>
      <c r="BM118" s="3217"/>
      <c r="BN118" s="3174"/>
      <c r="BO118" s="3174"/>
      <c r="BP118" s="3174"/>
      <c r="BQ118" s="3174"/>
      <c r="BR118" s="3175"/>
    </row>
    <row r="119" spans="1:70" s="1627" customFormat="1" ht="63" customHeight="1" x14ac:dyDescent="0.2">
      <c r="A119" s="3200"/>
      <c r="B119" s="3201"/>
      <c r="C119" s="3201"/>
      <c r="D119" s="3202"/>
      <c r="E119" s="3201"/>
      <c r="F119" s="3201"/>
      <c r="G119" s="3202"/>
      <c r="H119" s="3203"/>
      <c r="I119" s="3203"/>
      <c r="J119" s="3207"/>
      <c r="K119" s="3154"/>
      <c r="L119" s="3154"/>
      <c r="M119" s="3210"/>
      <c r="N119" s="3212"/>
      <c r="O119" s="3152"/>
      <c r="P119" s="3152"/>
      <c r="Q119" s="3247"/>
      <c r="R119" s="3249"/>
      <c r="S119" s="3251"/>
      <c r="T119" s="3160"/>
      <c r="U119" s="3107"/>
      <c r="V119" s="1681" t="s">
        <v>1191</v>
      </c>
      <c r="W119" s="1682">
        <f>0+2250000</f>
        <v>2250000</v>
      </c>
      <c r="X119" s="1682">
        <v>2250000</v>
      </c>
      <c r="Y119" s="1682">
        <v>2250000</v>
      </c>
      <c r="Z119" s="1680">
        <v>20</v>
      </c>
      <c r="AA119" s="1675" t="s">
        <v>125</v>
      </c>
      <c r="AB119" s="3216"/>
      <c r="AC119" s="3216"/>
      <c r="AD119" s="3218"/>
      <c r="AE119" s="3218"/>
      <c r="AF119" s="3215"/>
      <c r="AG119" s="3215"/>
      <c r="AH119" s="3215"/>
      <c r="AI119" s="3215"/>
      <c r="AJ119" s="3215"/>
      <c r="AK119" s="3215"/>
      <c r="AL119" s="3215"/>
      <c r="AM119" s="3215"/>
      <c r="AN119" s="3215"/>
      <c r="AO119" s="3215"/>
      <c r="AP119" s="3215"/>
      <c r="AQ119" s="3215"/>
      <c r="AR119" s="3215"/>
      <c r="AS119" s="3215"/>
      <c r="AT119" s="3215"/>
      <c r="AU119" s="3215"/>
      <c r="AV119" s="3215"/>
      <c r="AW119" s="1683"/>
      <c r="AX119" s="3215"/>
      <c r="AY119" s="1683"/>
      <c r="AZ119" s="3215"/>
      <c r="BA119" s="3215"/>
      <c r="BB119" s="3215"/>
      <c r="BC119" s="3215"/>
      <c r="BD119" s="3215"/>
      <c r="BE119" s="3215"/>
      <c r="BF119" s="3215"/>
      <c r="BG119" s="3215"/>
      <c r="BH119" s="3215"/>
      <c r="BI119" s="3215"/>
      <c r="BJ119" s="3215"/>
      <c r="BK119" s="3205"/>
      <c r="BL119" s="3218"/>
      <c r="BM119" s="3218"/>
      <c r="BN119" s="3174"/>
      <c r="BO119" s="3174"/>
      <c r="BP119" s="3174"/>
      <c r="BQ119" s="3174"/>
      <c r="BR119" s="3175"/>
    </row>
    <row r="120" spans="1:70" ht="60.75" customHeight="1" x14ac:dyDescent="0.2">
      <c r="A120" s="1556"/>
      <c r="B120" s="1539"/>
      <c r="C120" s="1539"/>
      <c r="D120" s="1557"/>
      <c r="E120" s="1539"/>
      <c r="F120" s="1539"/>
      <c r="G120" s="1557"/>
      <c r="H120" s="1539"/>
      <c r="I120" s="1539"/>
      <c r="J120" s="3239">
        <v>266</v>
      </c>
      <c r="K120" s="3068" t="s">
        <v>1192</v>
      </c>
      <c r="L120" s="3241" t="s">
        <v>1193</v>
      </c>
      <c r="M120" s="3237">
        <v>1</v>
      </c>
      <c r="N120" s="3242">
        <v>0.75</v>
      </c>
      <c r="O120" s="3234" t="s">
        <v>1194</v>
      </c>
      <c r="P120" s="3234" t="s">
        <v>1195</v>
      </c>
      <c r="Q120" s="3244" t="s">
        <v>1196</v>
      </c>
      <c r="R120" s="3229">
        <v>1</v>
      </c>
      <c r="S120" s="3230">
        <f>SUM(W120:W131)</f>
        <v>48000000</v>
      </c>
      <c r="T120" s="3047" t="s">
        <v>1197</v>
      </c>
      <c r="U120" s="3232" t="s">
        <v>1198</v>
      </c>
      <c r="V120" s="1684" t="s">
        <v>1199</v>
      </c>
      <c r="W120" s="1685">
        <v>4800000</v>
      </c>
      <c r="X120" s="1685">
        <v>4800000</v>
      </c>
      <c r="Y120" s="1685">
        <v>4800000</v>
      </c>
      <c r="Z120" s="1686">
        <v>20</v>
      </c>
      <c r="AA120" s="1531" t="s">
        <v>125</v>
      </c>
      <c r="AB120" s="3235">
        <v>282326</v>
      </c>
      <c r="AC120" s="3235">
        <v>282326</v>
      </c>
      <c r="AD120" s="3253">
        <v>292684</v>
      </c>
      <c r="AE120" s="3253">
        <v>292684</v>
      </c>
      <c r="AF120" s="3235">
        <v>135912</v>
      </c>
      <c r="AG120" s="3235">
        <v>135912</v>
      </c>
      <c r="AH120" s="3235">
        <v>45122</v>
      </c>
      <c r="AI120" s="3235">
        <v>45122</v>
      </c>
      <c r="AJ120" s="3235">
        <v>307101</v>
      </c>
      <c r="AK120" s="3235">
        <v>307101</v>
      </c>
      <c r="AL120" s="3235">
        <v>86875</v>
      </c>
      <c r="AM120" s="3235">
        <v>86875</v>
      </c>
      <c r="AN120" s="3235">
        <v>2145</v>
      </c>
      <c r="AO120" s="3235">
        <v>2145</v>
      </c>
      <c r="AP120" s="3235">
        <v>12718</v>
      </c>
      <c r="AQ120" s="3235">
        <v>12718</v>
      </c>
      <c r="AR120" s="3235">
        <v>26</v>
      </c>
      <c r="AS120" s="3235">
        <v>26</v>
      </c>
      <c r="AT120" s="3235">
        <v>37</v>
      </c>
      <c r="AU120" s="3235">
        <v>37</v>
      </c>
      <c r="AV120" s="3235"/>
      <c r="AW120" s="1687"/>
      <c r="AX120" s="3235"/>
      <c r="AY120" s="1687"/>
      <c r="AZ120" s="3235">
        <v>43029</v>
      </c>
      <c r="BA120" s="3235">
        <v>43029</v>
      </c>
      <c r="BB120" s="3256">
        <f>BB97</f>
        <v>16982</v>
      </c>
      <c r="BC120" s="3256">
        <f>BC97</f>
        <v>16982</v>
      </c>
      <c r="BD120" s="3235">
        <v>60013</v>
      </c>
      <c r="BE120" s="3235">
        <v>60013</v>
      </c>
      <c r="BF120" s="3256">
        <f>AB120+AD120</f>
        <v>575010</v>
      </c>
      <c r="BG120" s="3256">
        <f>AC120+AE120</f>
        <v>575010</v>
      </c>
      <c r="BH120" s="3256">
        <v>2</v>
      </c>
      <c r="BI120" s="3256">
        <f>SUM(X120:X131)</f>
        <v>37740933</v>
      </c>
      <c r="BJ120" s="3256">
        <f>SUM(Y120:Y131)</f>
        <v>25081000</v>
      </c>
      <c r="BK120" s="3091">
        <f>BJ120/BI120</f>
        <v>0.66455696789477881</v>
      </c>
      <c r="BL120" s="3270" t="s">
        <v>1060</v>
      </c>
      <c r="BM120" s="3270" t="s">
        <v>1200</v>
      </c>
      <c r="BN120" s="3089">
        <v>43467</v>
      </c>
      <c r="BO120" s="3089">
        <v>43489</v>
      </c>
      <c r="BP120" s="3089">
        <v>43830</v>
      </c>
      <c r="BQ120" s="3089">
        <v>43466</v>
      </c>
      <c r="BR120" s="3072" t="s">
        <v>1147</v>
      </c>
    </row>
    <row r="121" spans="1:70" ht="60.75" customHeight="1" x14ac:dyDescent="0.2">
      <c r="A121" s="1556"/>
      <c r="B121" s="1539"/>
      <c r="C121" s="1539"/>
      <c r="D121" s="1557"/>
      <c r="E121" s="1539"/>
      <c r="F121" s="1539"/>
      <c r="G121" s="1557"/>
      <c r="H121" s="1539"/>
      <c r="I121" s="1539"/>
      <c r="J121" s="3112"/>
      <c r="K121" s="3047"/>
      <c r="L121" s="3088"/>
      <c r="M121" s="3103"/>
      <c r="N121" s="3243"/>
      <c r="O121" s="3045"/>
      <c r="P121" s="3045"/>
      <c r="Q121" s="3245"/>
      <c r="R121" s="3086"/>
      <c r="S121" s="3231"/>
      <c r="T121" s="3047"/>
      <c r="U121" s="3233"/>
      <c r="V121" s="1684" t="s">
        <v>1201</v>
      </c>
      <c r="W121" s="1685">
        <v>2120000</v>
      </c>
      <c r="X121" s="1688">
        <v>2115000</v>
      </c>
      <c r="Y121" s="1688">
        <v>2115000</v>
      </c>
      <c r="Z121" s="1689">
        <v>20</v>
      </c>
      <c r="AA121" s="1531" t="s">
        <v>125</v>
      </c>
      <c r="AB121" s="3236"/>
      <c r="AC121" s="3236"/>
      <c r="AD121" s="3254"/>
      <c r="AE121" s="3254"/>
      <c r="AF121" s="3236"/>
      <c r="AG121" s="3236"/>
      <c r="AH121" s="3236"/>
      <c r="AI121" s="3236"/>
      <c r="AJ121" s="3236"/>
      <c r="AK121" s="3236"/>
      <c r="AL121" s="3236"/>
      <c r="AM121" s="3236"/>
      <c r="AN121" s="3236"/>
      <c r="AO121" s="3236"/>
      <c r="AP121" s="3236"/>
      <c r="AQ121" s="3236"/>
      <c r="AR121" s="3236"/>
      <c r="AS121" s="3236"/>
      <c r="AT121" s="3236"/>
      <c r="AU121" s="3236"/>
      <c r="AV121" s="3236"/>
      <c r="AW121" s="1690"/>
      <c r="AX121" s="3236"/>
      <c r="AY121" s="1690"/>
      <c r="AZ121" s="3236"/>
      <c r="BA121" s="3236"/>
      <c r="BB121" s="3257"/>
      <c r="BC121" s="3257"/>
      <c r="BD121" s="3236"/>
      <c r="BE121" s="3236"/>
      <c r="BF121" s="3257"/>
      <c r="BG121" s="3257"/>
      <c r="BH121" s="3257"/>
      <c r="BI121" s="3257"/>
      <c r="BJ121" s="3257"/>
      <c r="BK121" s="3092"/>
      <c r="BL121" s="3271"/>
      <c r="BM121" s="3257"/>
      <c r="BN121" s="3089"/>
      <c r="BO121" s="3089"/>
      <c r="BP121" s="3089"/>
      <c r="BQ121" s="3089"/>
      <c r="BR121" s="3072"/>
    </row>
    <row r="122" spans="1:70" ht="60.75" customHeight="1" x14ac:dyDescent="0.2">
      <c r="A122" s="1556"/>
      <c r="B122" s="1539"/>
      <c r="C122" s="1539"/>
      <c r="D122" s="1557"/>
      <c r="E122" s="1539"/>
      <c r="F122" s="1539"/>
      <c r="G122" s="1557"/>
      <c r="H122" s="1539"/>
      <c r="I122" s="1539"/>
      <c r="J122" s="3112"/>
      <c r="K122" s="3047"/>
      <c r="L122" s="3088"/>
      <c r="M122" s="3103"/>
      <c r="N122" s="3243"/>
      <c r="O122" s="3045"/>
      <c r="P122" s="3045"/>
      <c r="Q122" s="3245"/>
      <c r="R122" s="3086"/>
      <c r="S122" s="3231"/>
      <c r="T122" s="3047"/>
      <c r="U122" s="3233"/>
      <c r="V122" s="1691" t="s">
        <v>1202</v>
      </c>
      <c r="W122" s="1685">
        <v>14250000</v>
      </c>
      <c r="X122" s="1688">
        <v>14250000</v>
      </c>
      <c r="Y122" s="1688">
        <v>13216000</v>
      </c>
      <c r="Z122" s="1689">
        <v>20</v>
      </c>
      <c r="AA122" s="1531" t="s">
        <v>125</v>
      </c>
      <c r="AB122" s="3236"/>
      <c r="AC122" s="3236"/>
      <c r="AD122" s="3254"/>
      <c r="AE122" s="3254"/>
      <c r="AF122" s="3236"/>
      <c r="AG122" s="3236"/>
      <c r="AH122" s="3236"/>
      <c r="AI122" s="3236"/>
      <c r="AJ122" s="3236"/>
      <c r="AK122" s="3236"/>
      <c r="AL122" s="3236"/>
      <c r="AM122" s="3236"/>
      <c r="AN122" s="3236"/>
      <c r="AO122" s="3236"/>
      <c r="AP122" s="3236"/>
      <c r="AQ122" s="3236"/>
      <c r="AR122" s="3236"/>
      <c r="AS122" s="3236"/>
      <c r="AT122" s="3236"/>
      <c r="AU122" s="3236"/>
      <c r="AV122" s="3236"/>
      <c r="AW122" s="1690"/>
      <c r="AX122" s="3236"/>
      <c r="AY122" s="1690"/>
      <c r="AZ122" s="3236"/>
      <c r="BA122" s="3236"/>
      <c r="BB122" s="3257"/>
      <c r="BC122" s="3257"/>
      <c r="BD122" s="3236"/>
      <c r="BE122" s="3236"/>
      <c r="BF122" s="3257"/>
      <c r="BG122" s="3257"/>
      <c r="BH122" s="3257"/>
      <c r="BI122" s="3257"/>
      <c r="BJ122" s="3257"/>
      <c r="BK122" s="3092"/>
      <c r="BL122" s="3271"/>
      <c r="BM122" s="3257"/>
      <c r="BN122" s="3089"/>
      <c r="BO122" s="3089"/>
      <c r="BP122" s="3089"/>
      <c r="BQ122" s="3089"/>
      <c r="BR122" s="3072"/>
    </row>
    <row r="123" spans="1:70" ht="60.75" customHeight="1" x14ac:dyDescent="0.2">
      <c r="A123" s="1556"/>
      <c r="B123" s="1539"/>
      <c r="C123" s="1539"/>
      <c r="D123" s="1557"/>
      <c r="E123" s="1539"/>
      <c r="F123" s="1539"/>
      <c r="G123" s="1557"/>
      <c r="H123" s="1539"/>
      <c r="I123" s="1539"/>
      <c r="J123" s="3112"/>
      <c r="K123" s="3047"/>
      <c r="L123" s="3088"/>
      <c r="M123" s="3103"/>
      <c r="N123" s="3243"/>
      <c r="O123" s="3045"/>
      <c r="P123" s="3045"/>
      <c r="Q123" s="3245"/>
      <c r="R123" s="3086"/>
      <c r="S123" s="3231"/>
      <c r="T123" s="3047"/>
      <c r="U123" s="3233"/>
      <c r="V123" s="1684" t="s">
        <v>1203</v>
      </c>
      <c r="W123" s="1685">
        <v>2850000</v>
      </c>
      <c r="X123" s="1688">
        <v>2850000</v>
      </c>
      <c r="Y123" s="1688">
        <v>2850000</v>
      </c>
      <c r="Z123" s="1689">
        <v>20</v>
      </c>
      <c r="AA123" s="1531" t="s">
        <v>125</v>
      </c>
      <c r="AB123" s="3236"/>
      <c r="AC123" s="3236"/>
      <c r="AD123" s="3254"/>
      <c r="AE123" s="3254"/>
      <c r="AF123" s="3236"/>
      <c r="AG123" s="3236"/>
      <c r="AH123" s="3236"/>
      <c r="AI123" s="3236"/>
      <c r="AJ123" s="3236"/>
      <c r="AK123" s="3236"/>
      <c r="AL123" s="3236"/>
      <c r="AM123" s="3236"/>
      <c r="AN123" s="3236"/>
      <c r="AO123" s="3236"/>
      <c r="AP123" s="3236"/>
      <c r="AQ123" s="3236"/>
      <c r="AR123" s="3236"/>
      <c r="AS123" s="3236"/>
      <c r="AT123" s="3236"/>
      <c r="AU123" s="3236"/>
      <c r="AV123" s="3236"/>
      <c r="AW123" s="1690"/>
      <c r="AX123" s="3236"/>
      <c r="AY123" s="1690"/>
      <c r="AZ123" s="3236"/>
      <c r="BA123" s="3236"/>
      <c r="BB123" s="3257"/>
      <c r="BC123" s="3257"/>
      <c r="BD123" s="3236"/>
      <c r="BE123" s="3236"/>
      <c r="BF123" s="3257"/>
      <c r="BG123" s="3257"/>
      <c r="BH123" s="3257"/>
      <c r="BI123" s="3257"/>
      <c r="BJ123" s="3257"/>
      <c r="BK123" s="3092"/>
      <c r="BL123" s="3271"/>
      <c r="BM123" s="3257"/>
      <c r="BN123" s="3089"/>
      <c r="BO123" s="3089"/>
      <c r="BP123" s="3089"/>
      <c r="BQ123" s="3089"/>
      <c r="BR123" s="3072"/>
    </row>
    <row r="124" spans="1:70" ht="60.75" customHeight="1" x14ac:dyDescent="0.2">
      <c r="A124" s="1556"/>
      <c r="B124" s="1539"/>
      <c r="C124" s="1539"/>
      <c r="D124" s="1557"/>
      <c r="E124" s="1539"/>
      <c r="F124" s="1539"/>
      <c r="G124" s="1557"/>
      <c r="H124" s="1539"/>
      <c r="I124" s="1539"/>
      <c r="J124" s="3112"/>
      <c r="K124" s="3047"/>
      <c r="L124" s="3088"/>
      <c r="M124" s="3103"/>
      <c r="N124" s="3243"/>
      <c r="O124" s="3045"/>
      <c r="P124" s="3045"/>
      <c r="Q124" s="3245"/>
      <c r="R124" s="3086"/>
      <c r="S124" s="3231"/>
      <c r="T124" s="3047"/>
      <c r="U124" s="3233"/>
      <c r="V124" s="1684" t="s">
        <v>1204</v>
      </c>
      <c r="W124" s="1685">
        <v>1200000</v>
      </c>
      <c r="X124" s="1688">
        <v>1200000</v>
      </c>
      <c r="Y124" s="1688">
        <v>600000</v>
      </c>
      <c r="Z124" s="1689">
        <v>20</v>
      </c>
      <c r="AA124" s="1531" t="s">
        <v>125</v>
      </c>
      <c r="AB124" s="3236"/>
      <c r="AC124" s="3236"/>
      <c r="AD124" s="3254"/>
      <c r="AE124" s="3254"/>
      <c r="AF124" s="3236"/>
      <c r="AG124" s="3236"/>
      <c r="AH124" s="3236"/>
      <c r="AI124" s="3236"/>
      <c r="AJ124" s="3236"/>
      <c r="AK124" s="3236"/>
      <c r="AL124" s="3236"/>
      <c r="AM124" s="3236"/>
      <c r="AN124" s="3236"/>
      <c r="AO124" s="3236"/>
      <c r="AP124" s="3236"/>
      <c r="AQ124" s="3236"/>
      <c r="AR124" s="3236"/>
      <c r="AS124" s="3236"/>
      <c r="AT124" s="3236"/>
      <c r="AU124" s="3236"/>
      <c r="AV124" s="3236"/>
      <c r="AW124" s="1690"/>
      <c r="AX124" s="3236"/>
      <c r="AY124" s="1690"/>
      <c r="AZ124" s="3236"/>
      <c r="BA124" s="3236"/>
      <c r="BB124" s="3257"/>
      <c r="BC124" s="3257"/>
      <c r="BD124" s="3236"/>
      <c r="BE124" s="3236"/>
      <c r="BF124" s="3257"/>
      <c r="BG124" s="3257"/>
      <c r="BH124" s="3257"/>
      <c r="BI124" s="3257"/>
      <c r="BJ124" s="3257"/>
      <c r="BK124" s="3092"/>
      <c r="BL124" s="3271"/>
      <c r="BM124" s="3257"/>
      <c r="BN124" s="3089"/>
      <c r="BO124" s="3089"/>
      <c r="BP124" s="3089"/>
      <c r="BQ124" s="3089"/>
      <c r="BR124" s="3072"/>
    </row>
    <row r="125" spans="1:70" ht="60.75" customHeight="1" x14ac:dyDescent="0.2">
      <c r="A125" s="1556"/>
      <c r="B125" s="1539"/>
      <c r="C125" s="1539"/>
      <c r="D125" s="1557"/>
      <c r="E125" s="1539"/>
      <c r="F125" s="1539"/>
      <c r="G125" s="1557"/>
      <c r="H125" s="1539"/>
      <c r="I125" s="1539"/>
      <c r="J125" s="3112"/>
      <c r="K125" s="3047"/>
      <c r="L125" s="3088"/>
      <c r="M125" s="3103"/>
      <c r="N125" s="3243"/>
      <c r="O125" s="3045"/>
      <c r="P125" s="3045"/>
      <c r="Q125" s="3245"/>
      <c r="R125" s="3086"/>
      <c r="S125" s="3231"/>
      <c r="T125" s="3047"/>
      <c r="U125" s="3233"/>
      <c r="V125" s="1684" t="s">
        <v>1205</v>
      </c>
      <c r="W125" s="1685">
        <v>1200000</v>
      </c>
      <c r="X125" s="1688">
        <v>1200000</v>
      </c>
      <c r="Y125" s="1688">
        <v>600000</v>
      </c>
      <c r="Z125" s="1689">
        <v>20</v>
      </c>
      <c r="AA125" s="1531" t="s">
        <v>125</v>
      </c>
      <c r="AB125" s="3236"/>
      <c r="AC125" s="3236"/>
      <c r="AD125" s="3254"/>
      <c r="AE125" s="3254"/>
      <c r="AF125" s="3236"/>
      <c r="AG125" s="3236"/>
      <c r="AH125" s="3236"/>
      <c r="AI125" s="3236"/>
      <c r="AJ125" s="3236"/>
      <c r="AK125" s="3236"/>
      <c r="AL125" s="3236"/>
      <c r="AM125" s="3236"/>
      <c r="AN125" s="3236"/>
      <c r="AO125" s="3236"/>
      <c r="AP125" s="3236"/>
      <c r="AQ125" s="3236"/>
      <c r="AR125" s="3236"/>
      <c r="AS125" s="3236"/>
      <c r="AT125" s="3236"/>
      <c r="AU125" s="3236"/>
      <c r="AV125" s="3236"/>
      <c r="AW125" s="1690"/>
      <c r="AX125" s="3236"/>
      <c r="AY125" s="1690"/>
      <c r="AZ125" s="3236"/>
      <c r="BA125" s="3236"/>
      <c r="BB125" s="3257"/>
      <c r="BC125" s="3257"/>
      <c r="BD125" s="3236"/>
      <c r="BE125" s="3236"/>
      <c r="BF125" s="3257"/>
      <c r="BG125" s="3257"/>
      <c r="BH125" s="3257"/>
      <c r="BI125" s="3257"/>
      <c r="BJ125" s="3257"/>
      <c r="BK125" s="3092"/>
      <c r="BL125" s="3271"/>
      <c r="BM125" s="3257"/>
      <c r="BN125" s="3089"/>
      <c r="BO125" s="3089"/>
      <c r="BP125" s="3089"/>
      <c r="BQ125" s="3089"/>
      <c r="BR125" s="3072"/>
    </row>
    <row r="126" spans="1:70" ht="60.75" customHeight="1" x14ac:dyDescent="0.2">
      <c r="A126" s="1556"/>
      <c r="B126" s="1539"/>
      <c r="C126" s="1539"/>
      <c r="D126" s="1557"/>
      <c r="E126" s="1539"/>
      <c r="F126" s="1539"/>
      <c r="G126" s="1557"/>
      <c r="H126" s="1539"/>
      <c r="I126" s="1539"/>
      <c r="J126" s="3112"/>
      <c r="K126" s="3047"/>
      <c r="L126" s="3088"/>
      <c r="M126" s="3103"/>
      <c r="N126" s="3243"/>
      <c r="O126" s="3045"/>
      <c r="P126" s="3045"/>
      <c r="Q126" s="3245"/>
      <c r="R126" s="3086"/>
      <c r="S126" s="3231"/>
      <c r="T126" s="3047"/>
      <c r="U126" s="3233"/>
      <c r="V126" s="1684" t="s">
        <v>1206</v>
      </c>
      <c r="W126" s="1685">
        <v>300000</v>
      </c>
      <c r="X126" s="1688">
        <v>300000</v>
      </c>
      <c r="Y126" s="1688">
        <v>300000</v>
      </c>
      <c r="Z126" s="1689">
        <v>20</v>
      </c>
      <c r="AA126" s="1531" t="s">
        <v>125</v>
      </c>
      <c r="AB126" s="3236"/>
      <c r="AC126" s="3236"/>
      <c r="AD126" s="3254"/>
      <c r="AE126" s="3254"/>
      <c r="AF126" s="3236"/>
      <c r="AG126" s="3236"/>
      <c r="AH126" s="3236"/>
      <c r="AI126" s="3236"/>
      <c r="AJ126" s="3236"/>
      <c r="AK126" s="3236"/>
      <c r="AL126" s="3236"/>
      <c r="AM126" s="3236"/>
      <c r="AN126" s="3236"/>
      <c r="AO126" s="3236"/>
      <c r="AP126" s="3236"/>
      <c r="AQ126" s="3236"/>
      <c r="AR126" s="3236"/>
      <c r="AS126" s="3236"/>
      <c r="AT126" s="3236"/>
      <c r="AU126" s="3236"/>
      <c r="AV126" s="3236"/>
      <c r="AW126" s="1690"/>
      <c r="AX126" s="3236"/>
      <c r="AY126" s="1690"/>
      <c r="AZ126" s="3236"/>
      <c r="BA126" s="3236"/>
      <c r="BB126" s="3257"/>
      <c r="BC126" s="3257"/>
      <c r="BD126" s="3236"/>
      <c r="BE126" s="3236"/>
      <c r="BF126" s="3257"/>
      <c r="BG126" s="3257"/>
      <c r="BH126" s="3257"/>
      <c r="BI126" s="3257"/>
      <c r="BJ126" s="3257"/>
      <c r="BK126" s="3092"/>
      <c r="BL126" s="3271"/>
      <c r="BM126" s="3257"/>
      <c r="BN126" s="3089"/>
      <c r="BO126" s="3089"/>
      <c r="BP126" s="3089"/>
      <c r="BQ126" s="3089"/>
      <c r="BR126" s="3072"/>
    </row>
    <row r="127" spans="1:70" ht="60.75" customHeight="1" x14ac:dyDescent="0.2">
      <c r="A127" s="1556"/>
      <c r="B127" s="1539"/>
      <c r="C127" s="1539"/>
      <c r="D127" s="1557"/>
      <c r="E127" s="1539"/>
      <c r="F127" s="1539"/>
      <c r="G127" s="1557"/>
      <c r="H127" s="1539"/>
      <c r="I127" s="1539"/>
      <c r="J127" s="3112"/>
      <c r="K127" s="3047"/>
      <c r="L127" s="3088"/>
      <c r="M127" s="3103"/>
      <c r="N127" s="3243"/>
      <c r="O127" s="3045"/>
      <c r="P127" s="3045"/>
      <c r="Q127" s="3245"/>
      <c r="R127" s="3086"/>
      <c r="S127" s="3231"/>
      <c r="T127" s="3047"/>
      <c r="U127" s="3233"/>
      <c r="V127" s="1684" t="s">
        <v>1207</v>
      </c>
      <c r="W127" s="1685">
        <v>3760000</v>
      </c>
      <c r="X127" s="1688">
        <v>1025933</v>
      </c>
      <c r="Y127" s="1688">
        <v>600000</v>
      </c>
      <c r="Z127" s="1689">
        <v>20</v>
      </c>
      <c r="AA127" s="1531" t="s">
        <v>125</v>
      </c>
      <c r="AB127" s="3236"/>
      <c r="AC127" s="3236"/>
      <c r="AD127" s="3254"/>
      <c r="AE127" s="3254"/>
      <c r="AF127" s="3236"/>
      <c r="AG127" s="3236"/>
      <c r="AH127" s="3236"/>
      <c r="AI127" s="3236"/>
      <c r="AJ127" s="3236"/>
      <c r="AK127" s="3236"/>
      <c r="AL127" s="3236"/>
      <c r="AM127" s="3236"/>
      <c r="AN127" s="3236"/>
      <c r="AO127" s="3236"/>
      <c r="AP127" s="3236"/>
      <c r="AQ127" s="3236"/>
      <c r="AR127" s="3236"/>
      <c r="AS127" s="3236"/>
      <c r="AT127" s="3236"/>
      <c r="AU127" s="3236"/>
      <c r="AV127" s="3236"/>
      <c r="AW127" s="1690"/>
      <c r="AX127" s="3236"/>
      <c r="AY127" s="1690"/>
      <c r="AZ127" s="3236"/>
      <c r="BA127" s="3236"/>
      <c r="BB127" s="3257"/>
      <c r="BC127" s="3257"/>
      <c r="BD127" s="3236"/>
      <c r="BE127" s="3236"/>
      <c r="BF127" s="3257"/>
      <c r="BG127" s="3257"/>
      <c r="BH127" s="3257"/>
      <c r="BI127" s="3257"/>
      <c r="BJ127" s="3257"/>
      <c r="BK127" s="3092"/>
      <c r="BL127" s="3271"/>
      <c r="BM127" s="3257"/>
      <c r="BN127" s="3089"/>
      <c r="BO127" s="3089"/>
      <c r="BP127" s="3089"/>
      <c r="BQ127" s="3089"/>
      <c r="BR127" s="3072"/>
    </row>
    <row r="128" spans="1:70" ht="49.5" customHeight="1" x14ac:dyDescent="0.2">
      <c r="A128" s="1556"/>
      <c r="B128" s="1539"/>
      <c r="C128" s="1539"/>
      <c r="D128" s="1557"/>
      <c r="E128" s="1539"/>
      <c r="F128" s="1539"/>
      <c r="G128" s="1557"/>
      <c r="H128" s="1539"/>
      <c r="I128" s="1539"/>
      <c r="J128" s="3112"/>
      <c r="K128" s="3047"/>
      <c r="L128" s="3088"/>
      <c r="M128" s="3103"/>
      <c r="N128" s="3243"/>
      <c r="O128" s="3045"/>
      <c r="P128" s="3045"/>
      <c r="Q128" s="3245"/>
      <c r="R128" s="3086"/>
      <c r="S128" s="3231"/>
      <c r="T128" s="3047"/>
      <c r="U128" s="3233"/>
      <c r="V128" s="1684" t="s">
        <v>1208</v>
      </c>
      <c r="W128" s="1685">
        <v>3760000</v>
      </c>
      <c r="X128" s="1688"/>
      <c r="Y128" s="1688"/>
      <c r="Z128" s="1689">
        <v>20</v>
      </c>
      <c r="AA128" s="1531" t="s">
        <v>125</v>
      </c>
      <c r="AB128" s="3236"/>
      <c r="AC128" s="3236"/>
      <c r="AD128" s="3254"/>
      <c r="AE128" s="3254"/>
      <c r="AF128" s="3236"/>
      <c r="AG128" s="3236"/>
      <c r="AH128" s="3236"/>
      <c r="AI128" s="3236"/>
      <c r="AJ128" s="3236"/>
      <c r="AK128" s="3236"/>
      <c r="AL128" s="3236"/>
      <c r="AM128" s="3236"/>
      <c r="AN128" s="3236"/>
      <c r="AO128" s="3236"/>
      <c r="AP128" s="3236"/>
      <c r="AQ128" s="3236"/>
      <c r="AR128" s="3236"/>
      <c r="AS128" s="3236"/>
      <c r="AT128" s="3236"/>
      <c r="AU128" s="3236"/>
      <c r="AV128" s="3236"/>
      <c r="AW128" s="1690"/>
      <c r="AX128" s="3236"/>
      <c r="AY128" s="1690"/>
      <c r="AZ128" s="3236"/>
      <c r="BA128" s="3236"/>
      <c r="BB128" s="3257"/>
      <c r="BC128" s="3257"/>
      <c r="BD128" s="3236"/>
      <c r="BE128" s="3236"/>
      <c r="BF128" s="3257"/>
      <c r="BG128" s="3257"/>
      <c r="BH128" s="3257"/>
      <c r="BI128" s="3257"/>
      <c r="BJ128" s="3257"/>
      <c r="BK128" s="3092"/>
      <c r="BL128" s="3271"/>
      <c r="BM128" s="3257"/>
      <c r="BN128" s="3089"/>
      <c r="BO128" s="3089"/>
      <c r="BP128" s="3089"/>
      <c r="BQ128" s="3089"/>
      <c r="BR128" s="3072"/>
    </row>
    <row r="129" spans="1:70" ht="49.5" customHeight="1" x14ac:dyDescent="0.2">
      <c r="A129" s="1556"/>
      <c r="B129" s="1539"/>
      <c r="C129" s="1539"/>
      <c r="D129" s="1557"/>
      <c r="E129" s="1539"/>
      <c r="F129" s="1539"/>
      <c r="G129" s="1557"/>
      <c r="H129" s="1539"/>
      <c r="I129" s="1539"/>
      <c r="J129" s="3112"/>
      <c r="K129" s="3047"/>
      <c r="L129" s="3088"/>
      <c r="M129" s="3103"/>
      <c r="N129" s="3243"/>
      <c r="O129" s="3045"/>
      <c r="P129" s="3045"/>
      <c r="Q129" s="3245"/>
      <c r="R129" s="3086"/>
      <c r="S129" s="3231"/>
      <c r="T129" s="3047"/>
      <c r="U129" s="3233"/>
      <c r="V129" s="1692" t="s">
        <v>1209</v>
      </c>
      <c r="W129" s="1685">
        <f>0+3500000</f>
        <v>3500000</v>
      </c>
      <c r="X129" s="1685">
        <v>3500000</v>
      </c>
      <c r="Y129" s="1685"/>
      <c r="Z129" s="1693">
        <v>88</v>
      </c>
      <c r="AA129" s="1694" t="s">
        <v>76</v>
      </c>
      <c r="AB129" s="3236"/>
      <c r="AC129" s="3236"/>
      <c r="AD129" s="3254"/>
      <c r="AE129" s="3254"/>
      <c r="AF129" s="3236"/>
      <c r="AG129" s="3236"/>
      <c r="AH129" s="3236"/>
      <c r="AI129" s="3236"/>
      <c r="AJ129" s="3236"/>
      <c r="AK129" s="3236"/>
      <c r="AL129" s="3236"/>
      <c r="AM129" s="3236"/>
      <c r="AN129" s="3236"/>
      <c r="AO129" s="3236"/>
      <c r="AP129" s="3236"/>
      <c r="AQ129" s="3236"/>
      <c r="AR129" s="3236"/>
      <c r="AS129" s="3236"/>
      <c r="AT129" s="3236"/>
      <c r="AU129" s="3236"/>
      <c r="AV129" s="3236"/>
      <c r="AW129" s="1690"/>
      <c r="AX129" s="3236"/>
      <c r="AY129" s="1690"/>
      <c r="AZ129" s="3236"/>
      <c r="BA129" s="3236"/>
      <c r="BB129" s="3257"/>
      <c r="BC129" s="3257"/>
      <c r="BD129" s="3236"/>
      <c r="BE129" s="3236"/>
      <c r="BF129" s="3257"/>
      <c r="BG129" s="3257"/>
      <c r="BH129" s="3257"/>
      <c r="BI129" s="3257"/>
      <c r="BJ129" s="3257"/>
      <c r="BK129" s="3092"/>
      <c r="BL129" s="3271"/>
      <c r="BM129" s="3257"/>
      <c r="BN129" s="3089"/>
      <c r="BO129" s="3089"/>
      <c r="BP129" s="3089"/>
      <c r="BQ129" s="3089"/>
      <c r="BR129" s="3072"/>
    </row>
    <row r="130" spans="1:70" ht="49.5" customHeight="1" x14ac:dyDescent="0.2">
      <c r="A130" s="1556"/>
      <c r="B130" s="1539"/>
      <c r="C130" s="1539"/>
      <c r="D130" s="1557"/>
      <c r="E130" s="1539"/>
      <c r="F130" s="1539"/>
      <c r="G130" s="1557"/>
      <c r="H130" s="1539"/>
      <c r="I130" s="1539"/>
      <c r="J130" s="3112"/>
      <c r="K130" s="3047"/>
      <c r="L130" s="3088"/>
      <c r="M130" s="3103"/>
      <c r="N130" s="3243"/>
      <c r="O130" s="3045"/>
      <c r="P130" s="3045"/>
      <c r="Q130" s="3245"/>
      <c r="R130" s="3086"/>
      <c r="S130" s="3231"/>
      <c r="T130" s="3047"/>
      <c r="U130" s="3234"/>
      <c r="V130" s="1692" t="s">
        <v>1210</v>
      </c>
      <c r="W130" s="1685">
        <f>0+6500000</f>
        <v>6500000</v>
      </c>
      <c r="X130" s="1685">
        <v>6500000</v>
      </c>
      <c r="Y130" s="1685"/>
      <c r="Z130" s="1693">
        <v>88</v>
      </c>
      <c r="AA130" s="1694" t="s">
        <v>76</v>
      </c>
      <c r="AB130" s="3236"/>
      <c r="AC130" s="3236"/>
      <c r="AD130" s="3254"/>
      <c r="AE130" s="3254"/>
      <c r="AF130" s="3236"/>
      <c r="AG130" s="3236"/>
      <c r="AH130" s="3236"/>
      <c r="AI130" s="3236"/>
      <c r="AJ130" s="3236"/>
      <c r="AK130" s="3236"/>
      <c r="AL130" s="3236"/>
      <c r="AM130" s="3236"/>
      <c r="AN130" s="3236"/>
      <c r="AO130" s="3236"/>
      <c r="AP130" s="3236"/>
      <c r="AQ130" s="3236"/>
      <c r="AR130" s="3236"/>
      <c r="AS130" s="3236"/>
      <c r="AT130" s="3236"/>
      <c r="AU130" s="3236"/>
      <c r="AV130" s="3236"/>
      <c r="AW130" s="1690"/>
      <c r="AX130" s="3236"/>
      <c r="AY130" s="1690"/>
      <c r="AZ130" s="3236"/>
      <c r="BA130" s="3236"/>
      <c r="BB130" s="3257"/>
      <c r="BC130" s="3257"/>
      <c r="BD130" s="3236"/>
      <c r="BE130" s="3236"/>
      <c r="BF130" s="3257"/>
      <c r="BG130" s="3257"/>
      <c r="BH130" s="3257"/>
      <c r="BI130" s="3257"/>
      <c r="BJ130" s="3257"/>
      <c r="BK130" s="3092"/>
      <c r="BL130" s="3271"/>
      <c r="BM130" s="3257"/>
      <c r="BN130" s="3089"/>
      <c r="BO130" s="3089"/>
      <c r="BP130" s="3089"/>
      <c r="BQ130" s="3089"/>
      <c r="BR130" s="3072"/>
    </row>
    <row r="131" spans="1:70" ht="105.75" customHeight="1" x14ac:dyDescent="0.2">
      <c r="A131" s="1556"/>
      <c r="B131" s="1539"/>
      <c r="C131" s="1539"/>
      <c r="D131" s="1557"/>
      <c r="E131" s="1539"/>
      <c r="F131" s="1539"/>
      <c r="G131" s="1557"/>
      <c r="H131" s="1539"/>
      <c r="I131" s="1539"/>
      <c r="J131" s="3240"/>
      <c r="K131" s="3084"/>
      <c r="L131" s="3088"/>
      <c r="M131" s="3103"/>
      <c r="N131" s="3243"/>
      <c r="O131" s="3045"/>
      <c r="P131" s="3045"/>
      <c r="Q131" s="3245"/>
      <c r="R131" s="3086"/>
      <c r="S131" s="3231"/>
      <c r="T131" s="3047"/>
      <c r="U131" s="1695" t="s">
        <v>1211</v>
      </c>
      <c r="V131" s="1692" t="s">
        <v>1212</v>
      </c>
      <c r="W131" s="1685">
        <v>3760000</v>
      </c>
      <c r="X131" s="1685"/>
      <c r="Y131" s="1685"/>
      <c r="Z131" s="1696">
        <v>20</v>
      </c>
      <c r="AA131" s="1531" t="s">
        <v>125</v>
      </c>
      <c r="AB131" s="3237"/>
      <c r="AC131" s="3237"/>
      <c r="AD131" s="3255"/>
      <c r="AE131" s="3255"/>
      <c r="AF131" s="3237"/>
      <c r="AG131" s="3237"/>
      <c r="AH131" s="3237"/>
      <c r="AI131" s="3237"/>
      <c r="AJ131" s="3237"/>
      <c r="AK131" s="3237"/>
      <c r="AL131" s="3237"/>
      <c r="AM131" s="3237"/>
      <c r="AN131" s="3237"/>
      <c r="AO131" s="3237"/>
      <c r="AP131" s="3237"/>
      <c r="AQ131" s="3237"/>
      <c r="AR131" s="3237"/>
      <c r="AS131" s="3237"/>
      <c r="AT131" s="3237"/>
      <c r="AU131" s="3237"/>
      <c r="AV131" s="3237"/>
      <c r="AW131" s="1690"/>
      <c r="AX131" s="3237"/>
      <c r="AY131" s="1690"/>
      <c r="AZ131" s="3237"/>
      <c r="BA131" s="3237"/>
      <c r="BB131" s="3258"/>
      <c r="BC131" s="3258"/>
      <c r="BD131" s="3237"/>
      <c r="BE131" s="3237"/>
      <c r="BF131" s="3258"/>
      <c r="BG131" s="3258"/>
      <c r="BH131" s="3258"/>
      <c r="BI131" s="3258"/>
      <c r="BJ131" s="3258"/>
      <c r="BK131" s="3093"/>
      <c r="BL131" s="3272"/>
      <c r="BM131" s="3258"/>
      <c r="BN131" s="3089"/>
      <c r="BO131" s="3089"/>
      <c r="BP131" s="3089"/>
      <c r="BQ131" s="3089"/>
      <c r="BR131" s="3072"/>
    </row>
    <row r="132" spans="1:70" s="1665" customFormat="1" ht="49.5" customHeight="1" x14ac:dyDescent="0.2">
      <c r="A132" s="1619"/>
      <c r="B132" s="1620"/>
      <c r="C132" s="1620"/>
      <c r="D132" s="1621"/>
      <c r="E132" s="1620"/>
      <c r="F132" s="1620"/>
      <c r="G132" s="1621"/>
      <c r="H132" s="1620"/>
      <c r="I132" s="1620"/>
      <c r="J132" s="3259">
        <v>267</v>
      </c>
      <c r="K132" s="3260" t="s">
        <v>1213</v>
      </c>
      <c r="L132" s="3261" t="s">
        <v>1214</v>
      </c>
      <c r="M132" s="3263">
        <v>1</v>
      </c>
      <c r="N132" s="3265">
        <v>0.5</v>
      </c>
      <c r="O132" s="3267" t="s">
        <v>1215</v>
      </c>
      <c r="P132" s="3268" t="s">
        <v>1216</v>
      </c>
      <c r="Q132" s="3275" t="s">
        <v>1217</v>
      </c>
      <c r="R132" s="3277">
        <f>SUM(W132+W133)/S132</f>
        <v>0.10732699054937611</v>
      </c>
      <c r="S132" s="3279">
        <f>SUM(W132:W152)</f>
        <v>232187634</v>
      </c>
      <c r="T132" s="3107" t="s">
        <v>1218</v>
      </c>
      <c r="U132" s="3281" t="s">
        <v>1219</v>
      </c>
      <c r="V132" s="3282" t="s">
        <v>1220</v>
      </c>
      <c r="W132" s="1561">
        <v>9500000</v>
      </c>
      <c r="X132" s="1561">
        <v>4500000</v>
      </c>
      <c r="Y132" s="1561">
        <v>811600</v>
      </c>
      <c r="Z132" s="1676">
        <v>20</v>
      </c>
      <c r="AA132" s="1628" t="s">
        <v>124</v>
      </c>
      <c r="AB132" s="3172">
        <v>294321</v>
      </c>
      <c r="AC132" s="3172">
        <v>294321</v>
      </c>
      <c r="AD132" s="3273">
        <v>283947</v>
      </c>
      <c r="AE132" s="3273">
        <v>283947</v>
      </c>
      <c r="AF132" s="3165">
        <v>135754</v>
      </c>
      <c r="AG132" s="3165">
        <v>135754</v>
      </c>
      <c r="AH132" s="3165">
        <v>44640</v>
      </c>
      <c r="AI132" s="3165">
        <v>44640</v>
      </c>
      <c r="AJ132" s="3165">
        <v>308178</v>
      </c>
      <c r="AK132" s="3165">
        <v>308178</v>
      </c>
      <c r="AL132" s="3165">
        <v>89696</v>
      </c>
      <c r="AM132" s="3165">
        <v>89696</v>
      </c>
      <c r="AN132" s="3165">
        <v>2145</v>
      </c>
      <c r="AO132" s="3165">
        <v>2145</v>
      </c>
      <c r="AP132" s="3165">
        <v>12718</v>
      </c>
      <c r="AQ132" s="3165">
        <v>12718</v>
      </c>
      <c r="AR132" s="3165">
        <v>26</v>
      </c>
      <c r="AS132" s="3165">
        <v>26</v>
      </c>
      <c r="AT132" s="3165">
        <v>37</v>
      </c>
      <c r="AU132" s="3165">
        <v>37</v>
      </c>
      <c r="AV132" s="3165"/>
      <c r="AW132" s="3165"/>
      <c r="AX132" s="3165"/>
      <c r="AY132" s="3165"/>
      <c r="AZ132" s="3165">
        <v>54612</v>
      </c>
      <c r="BA132" s="3165">
        <v>54612</v>
      </c>
      <c r="BB132" s="3165">
        <v>16982</v>
      </c>
      <c r="BC132" s="3165">
        <v>16982</v>
      </c>
      <c r="BD132" s="3141">
        <v>1010</v>
      </c>
      <c r="BE132" s="3141">
        <v>1010</v>
      </c>
      <c r="BF132" s="3165">
        <f>AB132+AD132</f>
        <v>578268</v>
      </c>
      <c r="BG132" s="3165">
        <f>AC132+AE132</f>
        <v>578268</v>
      </c>
      <c r="BH132" s="3165">
        <v>13</v>
      </c>
      <c r="BI132" s="3165">
        <f>SUM(X132:X152)</f>
        <v>196993899</v>
      </c>
      <c r="BJ132" s="3165">
        <f>SUM(Y132:Y152)</f>
        <v>129067166</v>
      </c>
      <c r="BK132" s="3182">
        <f>BJ132/BI132</f>
        <v>0.65518356992365534</v>
      </c>
      <c r="BL132" s="3106" t="s">
        <v>1060</v>
      </c>
      <c r="BM132" s="3106" t="s">
        <v>1221</v>
      </c>
      <c r="BN132" s="3174">
        <v>43467</v>
      </c>
      <c r="BO132" s="3174">
        <v>43481</v>
      </c>
      <c r="BP132" s="3174">
        <v>43830</v>
      </c>
      <c r="BQ132" s="3174">
        <v>43830</v>
      </c>
      <c r="BR132" s="3175" t="s">
        <v>1147</v>
      </c>
    </row>
    <row r="133" spans="1:70" s="1627" customFormat="1" ht="49.5" customHeight="1" x14ac:dyDescent="0.2">
      <c r="A133" s="1619"/>
      <c r="B133" s="1620"/>
      <c r="C133" s="1620"/>
      <c r="D133" s="1621"/>
      <c r="E133" s="1620"/>
      <c r="F133" s="1620"/>
      <c r="G133" s="1621"/>
      <c r="H133" s="1620"/>
      <c r="I133" s="1620"/>
      <c r="J133" s="3259"/>
      <c r="K133" s="3260"/>
      <c r="L133" s="3262"/>
      <c r="M133" s="3264"/>
      <c r="N133" s="3266"/>
      <c r="O133" s="3267"/>
      <c r="P133" s="3268"/>
      <c r="Q133" s="3275"/>
      <c r="R133" s="3278"/>
      <c r="S133" s="3279"/>
      <c r="T133" s="3107"/>
      <c r="U133" s="3180"/>
      <c r="V133" s="3282"/>
      <c r="W133" s="1561">
        <f>0+15420000</f>
        <v>15420000</v>
      </c>
      <c r="X133" s="1561"/>
      <c r="Y133" s="1561"/>
      <c r="Z133" s="1676">
        <v>88</v>
      </c>
      <c r="AA133" s="1563" t="s">
        <v>76</v>
      </c>
      <c r="AB133" s="3172"/>
      <c r="AC133" s="3172"/>
      <c r="AD133" s="3273"/>
      <c r="AE133" s="3273"/>
      <c r="AF133" s="3165"/>
      <c r="AG133" s="3165"/>
      <c r="AH133" s="3165"/>
      <c r="AI133" s="3165"/>
      <c r="AJ133" s="3165"/>
      <c r="AK133" s="3165"/>
      <c r="AL133" s="3165"/>
      <c r="AM133" s="3165"/>
      <c r="AN133" s="3165"/>
      <c r="AO133" s="3165"/>
      <c r="AP133" s="3165"/>
      <c r="AQ133" s="3165"/>
      <c r="AR133" s="3165"/>
      <c r="AS133" s="3165"/>
      <c r="AT133" s="3165"/>
      <c r="AU133" s="3165"/>
      <c r="AV133" s="3165"/>
      <c r="AW133" s="3165"/>
      <c r="AX133" s="3165"/>
      <c r="AY133" s="3165"/>
      <c r="AZ133" s="3165"/>
      <c r="BA133" s="3165"/>
      <c r="BB133" s="3165"/>
      <c r="BC133" s="3165"/>
      <c r="BD133" s="3142"/>
      <c r="BE133" s="3142"/>
      <c r="BF133" s="3165"/>
      <c r="BG133" s="3165"/>
      <c r="BH133" s="3165"/>
      <c r="BI133" s="3165"/>
      <c r="BJ133" s="3165"/>
      <c r="BK133" s="3182"/>
      <c r="BL133" s="3165"/>
      <c r="BM133" s="3165"/>
      <c r="BN133" s="3174"/>
      <c r="BO133" s="3174"/>
      <c r="BP133" s="3174"/>
      <c r="BQ133" s="3174"/>
      <c r="BR133" s="3175"/>
    </row>
    <row r="134" spans="1:70" s="1627" customFormat="1" ht="49.5" customHeight="1" x14ac:dyDescent="0.2">
      <c r="A134" s="1619"/>
      <c r="B134" s="1620"/>
      <c r="C134" s="1620"/>
      <c r="D134" s="1621"/>
      <c r="E134" s="1620"/>
      <c r="F134" s="1620"/>
      <c r="G134" s="1621"/>
      <c r="H134" s="1620"/>
      <c r="I134" s="1697"/>
      <c r="J134" s="3287">
        <v>268</v>
      </c>
      <c r="K134" s="3289" t="s">
        <v>1222</v>
      </c>
      <c r="L134" s="3261" t="s">
        <v>1223</v>
      </c>
      <c r="M134" s="3263">
        <v>12</v>
      </c>
      <c r="N134" s="3263">
        <v>12</v>
      </c>
      <c r="O134" s="3267"/>
      <c r="P134" s="3268"/>
      <c r="Q134" s="3275"/>
      <c r="R134" s="3277">
        <f>SUM(W134:W136)/S132</f>
        <v>0.13075631753928807</v>
      </c>
      <c r="S134" s="3279"/>
      <c r="T134" s="3107"/>
      <c r="U134" s="3107" t="s">
        <v>1224</v>
      </c>
      <c r="V134" s="3294" t="s">
        <v>1225</v>
      </c>
      <c r="W134" s="1561">
        <v>19720000</v>
      </c>
      <c r="X134" s="1561">
        <v>19720000</v>
      </c>
      <c r="Y134" s="1561">
        <v>16414933</v>
      </c>
      <c r="Z134" s="1672">
        <v>20</v>
      </c>
      <c r="AA134" s="1628" t="s">
        <v>124</v>
      </c>
      <c r="AB134" s="3172"/>
      <c r="AC134" s="3172"/>
      <c r="AD134" s="3273"/>
      <c r="AE134" s="3273"/>
      <c r="AF134" s="3165"/>
      <c r="AG134" s="3165"/>
      <c r="AH134" s="3165"/>
      <c r="AI134" s="3165"/>
      <c r="AJ134" s="3165"/>
      <c r="AK134" s="3165"/>
      <c r="AL134" s="3165"/>
      <c r="AM134" s="3165"/>
      <c r="AN134" s="3165"/>
      <c r="AO134" s="3165"/>
      <c r="AP134" s="3165"/>
      <c r="AQ134" s="3165"/>
      <c r="AR134" s="3165"/>
      <c r="AS134" s="3165"/>
      <c r="AT134" s="3165"/>
      <c r="AU134" s="3165"/>
      <c r="AV134" s="3165"/>
      <c r="AW134" s="3165"/>
      <c r="AX134" s="3165"/>
      <c r="AY134" s="3165"/>
      <c r="AZ134" s="3165"/>
      <c r="BA134" s="3165"/>
      <c r="BB134" s="3165"/>
      <c r="BC134" s="3165"/>
      <c r="BD134" s="3142"/>
      <c r="BE134" s="3142"/>
      <c r="BF134" s="3165"/>
      <c r="BG134" s="3165"/>
      <c r="BH134" s="3165"/>
      <c r="BI134" s="3165"/>
      <c r="BJ134" s="3165"/>
      <c r="BK134" s="3182"/>
      <c r="BL134" s="3165"/>
      <c r="BM134" s="3165"/>
      <c r="BN134" s="3174"/>
      <c r="BO134" s="3174"/>
      <c r="BP134" s="3174"/>
      <c r="BQ134" s="3174"/>
      <c r="BR134" s="3175"/>
    </row>
    <row r="135" spans="1:70" s="1627" customFormat="1" ht="49.5" customHeight="1" x14ac:dyDescent="0.2">
      <c r="A135" s="1619"/>
      <c r="B135" s="1620"/>
      <c r="C135" s="1620"/>
      <c r="D135" s="1621"/>
      <c r="E135" s="1620"/>
      <c r="F135" s="1620"/>
      <c r="G135" s="1621"/>
      <c r="H135" s="1620"/>
      <c r="I135" s="1697"/>
      <c r="J135" s="3287"/>
      <c r="K135" s="3289"/>
      <c r="L135" s="3291"/>
      <c r="M135" s="3292"/>
      <c r="N135" s="3292"/>
      <c r="O135" s="3267"/>
      <c r="P135" s="3268"/>
      <c r="Q135" s="3275"/>
      <c r="R135" s="3293"/>
      <c r="S135" s="3279"/>
      <c r="T135" s="3107"/>
      <c r="U135" s="3107"/>
      <c r="V135" s="3295"/>
      <c r="W135" s="1561">
        <f>0+9860000</f>
        <v>9860000</v>
      </c>
      <c r="X135" s="1561">
        <v>9860000</v>
      </c>
      <c r="Y135" s="1561">
        <v>2798000</v>
      </c>
      <c r="Z135" s="1671">
        <v>88</v>
      </c>
      <c r="AA135" s="1698" t="s">
        <v>76</v>
      </c>
      <c r="AB135" s="3172"/>
      <c r="AC135" s="3172"/>
      <c r="AD135" s="3273"/>
      <c r="AE135" s="3273"/>
      <c r="AF135" s="3165"/>
      <c r="AG135" s="3165"/>
      <c r="AH135" s="3165"/>
      <c r="AI135" s="3165"/>
      <c r="AJ135" s="3165"/>
      <c r="AK135" s="3165"/>
      <c r="AL135" s="3165"/>
      <c r="AM135" s="3165"/>
      <c r="AN135" s="3165"/>
      <c r="AO135" s="3165"/>
      <c r="AP135" s="3165"/>
      <c r="AQ135" s="3165"/>
      <c r="AR135" s="3165"/>
      <c r="AS135" s="3165"/>
      <c r="AT135" s="3165"/>
      <c r="AU135" s="3165"/>
      <c r="AV135" s="3165"/>
      <c r="AW135" s="3165"/>
      <c r="AX135" s="3165"/>
      <c r="AY135" s="3165"/>
      <c r="AZ135" s="3165"/>
      <c r="BA135" s="3165"/>
      <c r="BB135" s="3165"/>
      <c r="BC135" s="3165"/>
      <c r="BD135" s="3142"/>
      <c r="BE135" s="3142"/>
      <c r="BF135" s="3165"/>
      <c r="BG135" s="3165"/>
      <c r="BH135" s="3165"/>
      <c r="BI135" s="3165"/>
      <c r="BJ135" s="3165"/>
      <c r="BK135" s="3182"/>
      <c r="BL135" s="3165"/>
      <c r="BM135" s="3165"/>
      <c r="BN135" s="3174"/>
      <c r="BO135" s="3174"/>
      <c r="BP135" s="3174"/>
      <c r="BQ135" s="3174"/>
      <c r="BR135" s="3175"/>
    </row>
    <row r="136" spans="1:70" s="1627" customFormat="1" ht="49.5" customHeight="1" x14ac:dyDescent="0.2">
      <c r="A136" s="1619"/>
      <c r="B136" s="1620"/>
      <c r="C136" s="1620"/>
      <c r="D136" s="1621"/>
      <c r="E136" s="1620"/>
      <c r="F136" s="1620"/>
      <c r="G136" s="1621"/>
      <c r="H136" s="1620"/>
      <c r="I136" s="1697"/>
      <c r="J136" s="3288"/>
      <c r="K136" s="3290"/>
      <c r="L136" s="3262"/>
      <c r="M136" s="3264"/>
      <c r="N136" s="3264"/>
      <c r="O136" s="3267"/>
      <c r="P136" s="3268"/>
      <c r="Q136" s="3275"/>
      <c r="R136" s="3278"/>
      <c r="S136" s="3279"/>
      <c r="T136" s="3107"/>
      <c r="U136" s="3107"/>
      <c r="V136" s="1699" t="s">
        <v>1226</v>
      </c>
      <c r="W136" s="1668">
        <v>780000</v>
      </c>
      <c r="X136" s="1700">
        <v>780000</v>
      </c>
      <c r="Y136" s="1700"/>
      <c r="Z136" s="1626">
        <v>20</v>
      </c>
      <c r="AA136" s="1628" t="s">
        <v>124</v>
      </c>
      <c r="AB136" s="3165"/>
      <c r="AC136" s="3165"/>
      <c r="AD136" s="3273"/>
      <c r="AE136" s="3273"/>
      <c r="AF136" s="3165"/>
      <c r="AG136" s="3165"/>
      <c r="AH136" s="3165"/>
      <c r="AI136" s="3165"/>
      <c r="AJ136" s="3165"/>
      <c r="AK136" s="3165"/>
      <c r="AL136" s="3165"/>
      <c r="AM136" s="3165"/>
      <c r="AN136" s="3165"/>
      <c r="AO136" s="3165"/>
      <c r="AP136" s="3165"/>
      <c r="AQ136" s="3165"/>
      <c r="AR136" s="3165"/>
      <c r="AS136" s="3165"/>
      <c r="AT136" s="3165"/>
      <c r="AU136" s="3165"/>
      <c r="AV136" s="3165"/>
      <c r="AW136" s="3165"/>
      <c r="AX136" s="3165"/>
      <c r="AY136" s="3165"/>
      <c r="AZ136" s="3165"/>
      <c r="BA136" s="3165"/>
      <c r="BB136" s="3165"/>
      <c r="BC136" s="3165"/>
      <c r="BD136" s="3142"/>
      <c r="BE136" s="3142"/>
      <c r="BF136" s="3165"/>
      <c r="BG136" s="3165"/>
      <c r="BH136" s="3165"/>
      <c r="BI136" s="3165"/>
      <c r="BJ136" s="3165"/>
      <c r="BK136" s="3182"/>
      <c r="BL136" s="3165"/>
      <c r="BM136" s="3165"/>
      <c r="BN136" s="3174"/>
      <c r="BO136" s="3174"/>
      <c r="BP136" s="3174"/>
      <c r="BQ136" s="3174"/>
      <c r="BR136" s="3175"/>
    </row>
    <row r="137" spans="1:70" s="1627" customFormat="1" ht="49.5" customHeight="1" x14ac:dyDescent="0.2">
      <c r="A137" s="1619"/>
      <c r="B137" s="1620"/>
      <c r="C137" s="1620"/>
      <c r="D137" s="1621"/>
      <c r="E137" s="1620"/>
      <c r="F137" s="1620"/>
      <c r="G137" s="1621"/>
      <c r="H137" s="1620"/>
      <c r="I137" s="1697"/>
      <c r="J137" s="3296">
        <v>269</v>
      </c>
      <c r="K137" s="3297" t="s">
        <v>1227</v>
      </c>
      <c r="L137" s="3261" t="s">
        <v>1228</v>
      </c>
      <c r="M137" s="3263">
        <v>12</v>
      </c>
      <c r="N137" s="3263">
        <v>12</v>
      </c>
      <c r="O137" s="3267"/>
      <c r="P137" s="3268"/>
      <c r="Q137" s="3275"/>
      <c r="R137" s="3277">
        <f>SUM(W137:W138)/S132</f>
        <v>9.0444093159586611E-2</v>
      </c>
      <c r="S137" s="3279"/>
      <c r="T137" s="3107"/>
      <c r="U137" s="3107"/>
      <c r="V137" s="1699" t="s">
        <v>1229</v>
      </c>
      <c r="W137" s="1561">
        <v>20300000</v>
      </c>
      <c r="X137" s="1625">
        <v>20300000</v>
      </c>
      <c r="Y137" s="1625">
        <v>17915000</v>
      </c>
      <c r="Z137" s="1626">
        <v>20</v>
      </c>
      <c r="AA137" s="1628" t="s">
        <v>124</v>
      </c>
      <c r="AB137" s="3165"/>
      <c r="AC137" s="3165"/>
      <c r="AD137" s="3273"/>
      <c r="AE137" s="3273"/>
      <c r="AF137" s="3165"/>
      <c r="AG137" s="3165"/>
      <c r="AH137" s="3165"/>
      <c r="AI137" s="3165"/>
      <c r="AJ137" s="3165"/>
      <c r="AK137" s="3165"/>
      <c r="AL137" s="3165"/>
      <c r="AM137" s="3165"/>
      <c r="AN137" s="3165"/>
      <c r="AO137" s="3165"/>
      <c r="AP137" s="3165"/>
      <c r="AQ137" s="3165"/>
      <c r="AR137" s="3165"/>
      <c r="AS137" s="3165"/>
      <c r="AT137" s="3165"/>
      <c r="AU137" s="3165"/>
      <c r="AV137" s="3165"/>
      <c r="AW137" s="3165"/>
      <c r="AX137" s="3165"/>
      <c r="AY137" s="3165"/>
      <c r="AZ137" s="3165"/>
      <c r="BA137" s="3165"/>
      <c r="BB137" s="3165"/>
      <c r="BC137" s="3165"/>
      <c r="BD137" s="3142"/>
      <c r="BE137" s="3142"/>
      <c r="BF137" s="3165"/>
      <c r="BG137" s="3165"/>
      <c r="BH137" s="3165"/>
      <c r="BI137" s="3165"/>
      <c r="BJ137" s="3165"/>
      <c r="BK137" s="3182"/>
      <c r="BL137" s="3165"/>
      <c r="BM137" s="3165"/>
      <c r="BN137" s="3174"/>
      <c r="BO137" s="3174"/>
      <c r="BP137" s="3174"/>
      <c r="BQ137" s="3174"/>
      <c r="BR137" s="3175"/>
    </row>
    <row r="138" spans="1:70" s="1627" customFormat="1" ht="49.5" customHeight="1" x14ac:dyDescent="0.2">
      <c r="A138" s="1619"/>
      <c r="B138" s="1620"/>
      <c r="C138" s="1620"/>
      <c r="D138" s="1621"/>
      <c r="E138" s="1620"/>
      <c r="F138" s="1620"/>
      <c r="G138" s="1621"/>
      <c r="H138" s="1620"/>
      <c r="I138" s="1697"/>
      <c r="J138" s="3288"/>
      <c r="K138" s="3290"/>
      <c r="L138" s="3262"/>
      <c r="M138" s="3264"/>
      <c r="N138" s="3264"/>
      <c r="O138" s="3267"/>
      <c r="P138" s="3268"/>
      <c r="Q138" s="3275"/>
      <c r="R138" s="3278"/>
      <c r="S138" s="3279"/>
      <c r="T138" s="3107"/>
      <c r="U138" s="3107"/>
      <c r="V138" s="1699" t="s">
        <v>1226</v>
      </c>
      <c r="W138" s="1561">
        <v>700000</v>
      </c>
      <c r="X138" s="1625">
        <v>700000</v>
      </c>
      <c r="Y138" s="1625"/>
      <c r="Z138" s="1626">
        <v>20</v>
      </c>
      <c r="AA138" s="1628" t="s">
        <v>124</v>
      </c>
      <c r="AB138" s="3165"/>
      <c r="AC138" s="3165"/>
      <c r="AD138" s="3273"/>
      <c r="AE138" s="3273"/>
      <c r="AF138" s="3165"/>
      <c r="AG138" s="3165"/>
      <c r="AH138" s="3165"/>
      <c r="AI138" s="3165"/>
      <c r="AJ138" s="3165"/>
      <c r="AK138" s="3165"/>
      <c r="AL138" s="3165"/>
      <c r="AM138" s="3165"/>
      <c r="AN138" s="3165"/>
      <c r="AO138" s="3165"/>
      <c r="AP138" s="3165"/>
      <c r="AQ138" s="3165"/>
      <c r="AR138" s="3165"/>
      <c r="AS138" s="3165"/>
      <c r="AT138" s="3165"/>
      <c r="AU138" s="3165"/>
      <c r="AV138" s="3165"/>
      <c r="AW138" s="3165"/>
      <c r="AX138" s="3165"/>
      <c r="AY138" s="3165"/>
      <c r="AZ138" s="3165"/>
      <c r="BA138" s="3165"/>
      <c r="BB138" s="3165"/>
      <c r="BC138" s="3165"/>
      <c r="BD138" s="3142"/>
      <c r="BE138" s="3142"/>
      <c r="BF138" s="3165"/>
      <c r="BG138" s="3165"/>
      <c r="BH138" s="3165"/>
      <c r="BI138" s="3165"/>
      <c r="BJ138" s="3165"/>
      <c r="BK138" s="3182"/>
      <c r="BL138" s="3165"/>
      <c r="BM138" s="3165"/>
      <c r="BN138" s="3174"/>
      <c r="BO138" s="3174"/>
      <c r="BP138" s="3174"/>
      <c r="BQ138" s="3174"/>
      <c r="BR138" s="3175"/>
    </row>
    <row r="139" spans="1:70" s="1627" customFormat="1" ht="49.5" customHeight="1" x14ac:dyDescent="0.2">
      <c r="A139" s="1619"/>
      <c r="B139" s="1620"/>
      <c r="C139" s="1620"/>
      <c r="D139" s="1621"/>
      <c r="E139" s="1620"/>
      <c r="F139" s="1620"/>
      <c r="G139" s="1621"/>
      <c r="H139" s="1620"/>
      <c r="I139" s="1697"/>
      <c r="J139" s="3296">
        <v>270</v>
      </c>
      <c r="K139" s="3297" t="s">
        <v>1230</v>
      </c>
      <c r="L139" s="3261" t="s">
        <v>1231</v>
      </c>
      <c r="M139" s="3263">
        <v>12</v>
      </c>
      <c r="N139" s="3263">
        <v>12</v>
      </c>
      <c r="O139" s="3267"/>
      <c r="P139" s="3268"/>
      <c r="Q139" s="3275"/>
      <c r="R139" s="3277">
        <f>SUM(W139:W140)/S132</f>
        <v>9.0444093159586611E-2</v>
      </c>
      <c r="S139" s="3279"/>
      <c r="T139" s="3107"/>
      <c r="U139" s="3107"/>
      <c r="V139" s="1699" t="s">
        <v>1232</v>
      </c>
      <c r="W139" s="1561">
        <v>20300000</v>
      </c>
      <c r="X139" s="1625">
        <v>17440933</v>
      </c>
      <c r="Y139" s="1625">
        <v>10749000</v>
      </c>
      <c r="Z139" s="1626">
        <v>20</v>
      </c>
      <c r="AA139" s="1628" t="s">
        <v>124</v>
      </c>
      <c r="AB139" s="3165"/>
      <c r="AC139" s="3165"/>
      <c r="AD139" s="3273"/>
      <c r="AE139" s="3273"/>
      <c r="AF139" s="3165"/>
      <c r="AG139" s="3165"/>
      <c r="AH139" s="3165"/>
      <c r="AI139" s="3165"/>
      <c r="AJ139" s="3165"/>
      <c r="AK139" s="3165"/>
      <c r="AL139" s="3165"/>
      <c r="AM139" s="3165"/>
      <c r="AN139" s="3165"/>
      <c r="AO139" s="3165"/>
      <c r="AP139" s="3165"/>
      <c r="AQ139" s="3165"/>
      <c r="AR139" s="3165"/>
      <c r="AS139" s="3165"/>
      <c r="AT139" s="3165"/>
      <c r="AU139" s="3165"/>
      <c r="AV139" s="3165"/>
      <c r="AW139" s="3165"/>
      <c r="AX139" s="3165"/>
      <c r="AY139" s="3165"/>
      <c r="AZ139" s="3165"/>
      <c r="BA139" s="3165"/>
      <c r="BB139" s="3165"/>
      <c r="BC139" s="3165"/>
      <c r="BD139" s="3142"/>
      <c r="BE139" s="3142"/>
      <c r="BF139" s="3165"/>
      <c r="BG139" s="3165"/>
      <c r="BH139" s="3165"/>
      <c r="BI139" s="3165"/>
      <c r="BJ139" s="3165"/>
      <c r="BK139" s="3182"/>
      <c r="BL139" s="3165"/>
      <c r="BM139" s="3165"/>
      <c r="BN139" s="3174"/>
      <c r="BO139" s="3174"/>
      <c r="BP139" s="3174"/>
      <c r="BQ139" s="3174"/>
      <c r="BR139" s="3175"/>
    </row>
    <row r="140" spans="1:70" s="1627" customFormat="1" ht="49.5" customHeight="1" x14ac:dyDescent="0.2">
      <c r="A140" s="1619"/>
      <c r="B140" s="1620"/>
      <c r="C140" s="1620"/>
      <c r="D140" s="1621"/>
      <c r="E140" s="1620"/>
      <c r="F140" s="1620"/>
      <c r="G140" s="1621"/>
      <c r="H140" s="1620"/>
      <c r="I140" s="1697"/>
      <c r="J140" s="3288"/>
      <c r="K140" s="3290"/>
      <c r="L140" s="3262"/>
      <c r="M140" s="3264"/>
      <c r="N140" s="3264"/>
      <c r="O140" s="3267"/>
      <c r="P140" s="3268"/>
      <c r="Q140" s="3275"/>
      <c r="R140" s="3278"/>
      <c r="S140" s="3279"/>
      <c r="T140" s="3107"/>
      <c r="U140" s="3107"/>
      <c r="V140" s="1699" t="s">
        <v>1226</v>
      </c>
      <c r="W140" s="1561">
        <v>700000</v>
      </c>
      <c r="X140" s="1561">
        <v>700000</v>
      </c>
      <c r="Y140" s="1625"/>
      <c r="Z140" s="1626">
        <v>20</v>
      </c>
      <c r="AA140" s="1628" t="s">
        <v>124</v>
      </c>
      <c r="AB140" s="3165"/>
      <c r="AC140" s="3165"/>
      <c r="AD140" s="3273"/>
      <c r="AE140" s="3273"/>
      <c r="AF140" s="3165"/>
      <c r="AG140" s="3165"/>
      <c r="AH140" s="3165"/>
      <c r="AI140" s="3165"/>
      <c r="AJ140" s="3165"/>
      <c r="AK140" s="3165"/>
      <c r="AL140" s="3165"/>
      <c r="AM140" s="3165"/>
      <c r="AN140" s="3165"/>
      <c r="AO140" s="3165"/>
      <c r="AP140" s="3165"/>
      <c r="AQ140" s="3165"/>
      <c r="AR140" s="3165"/>
      <c r="AS140" s="3165"/>
      <c r="AT140" s="3165"/>
      <c r="AU140" s="3165"/>
      <c r="AV140" s="3165"/>
      <c r="AW140" s="3165"/>
      <c r="AX140" s="3165"/>
      <c r="AY140" s="3165"/>
      <c r="AZ140" s="3165"/>
      <c r="BA140" s="3165"/>
      <c r="BB140" s="3165"/>
      <c r="BC140" s="3165"/>
      <c r="BD140" s="3142"/>
      <c r="BE140" s="3142"/>
      <c r="BF140" s="3165"/>
      <c r="BG140" s="3165"/>
      <c r="BH140" s="3165"/>
      <c r="BI140" s="3165"/>
      <c r="BJ140" s="3165"/>
      <c r="BK140" s="3182"/>
      <c r="BL140" s="3165"/>
      <c r="BM140" s="3165"/>
      <c r="BN140" s="3174"/>
      <c r="BO140" s="3174"/>
      <c r="BP140" s="3174"/>
      <c r="BQ140" s="3174"/>
      <c r="BR140" s="3175"/>
    </row>
    <row r="141" spans="1:70" s="1627" customFormat="1" ht="49.5" customHeight="1" x14ac:dyDescent="0.2">
      <c r="A141" s="1619"/>
      <c r="B141" s="1620"/>
      <c r="C141" s="1620"/>
      <c r="D141" s="1621"/>
      <c r="E141" s="1620"/>
      <c r="F141" s="1620"/>
      <c r="G141" s="1621"/>
      <c r="H141" s="1620"/>
      <c r="I141" s="1697"/>
      <c r="J141" s="3296">
        <v>271</v>
      </c>
      <c r="K141" s="3297" t="s">
        <v>1233</v>
      </c>
      <c r="L141" s="3261" t="s">
        <v>1231</v>
      </c>
      <c r="M141" s="3263">
        <v>12</v>
      </c>
      <c r="N141" s="3263">
        <v>12</v>
      </c>
      <c r="O141" s="3267"/>
      <c r="P141" s="3268"/>
      <c r="Q141" s="3275"/>
      <c r="R141" s="3277">
        <f>SUM(W141:W143)/S132</f>
        <v>0.17326504132429379</v>
      </c>
      <c r="S141" s="3279"/>
      <c r="T141" s="3107"/>
      <c r="U141" s="3107"/>
      <c r="V141" s="3283" t="s">
        <v>1234</v>
      </c>
      <c r="W141" s="1561">
        <v>37410000</v>
      </c>
      <c r="X141" s="1625">
        <f>'[1]PROYECTO 14'!$L$26+'[1]PROYECTO 14'!$L$27</f>
        <v>36666400</v>
      </c>
      <c r="Y141" s="1625">
        <v>28664000</v>
      </c>
      <c r="Z141" s="1626">
        <v>20</v>
      </c>
      <c r="AA141" s="1628" t="s">
        <v>124</v>
      </c>
      <c r="AB141" s="3165"/>
      <c r="AC141" s="3165"/>
      <c r="AD141" s="3273"/>
      <c r="AE141" s="3273"/>
      <c r="AF141" s="3165"/>
      <c r="AG141" s="3165"/>
      <c r="AH141" s="3165"/>
      <c r="AI141" s="3165"/>
      <c r="AJ141" s="3165"/>
      <c r="AK141" s="3165"/>
      <c r="AL141" s="3165"/>
      <c r="AM141" s="3165"/>
      <c r="AN141" s="3165"/>
      <c r="AO141" s="3165"/>
      <c r="AP141" s="3165"/>
      <c r="AQ141" s="3165"/>
      <c r="AR141" s="3165"/>
      <c r="AS141" s="3165"/>
      <c r="AT141" s="3165"/>
      <c r="AU141" s="3165"/>
      <c r="AV141" s="3165"/>
      <c r="AW141" s="3165"/>
      <c r="AX141" s="3165"/>
      <c r="AY141" s="3165"/>
      <c r="AZ141" s="3165"/>
      <c r="BA141" s="3165"/>
      <c r="BB141" s="3165"/>
      <c r="BC141" s="3165"/>
      <c r="BD141" s="3142"/>
      <c r="BE141" s="3142"/>
      <c r="BF141" s="3165"/>
      <c r="BG141" s="3165"/>
      <c r="BH141" s="3165"/>
      <c r="BI141" s="3165"/>
      <c r="BJ141" s="3165"/>
      <c r="BK141" s="3182"/>
      <c r="BL141" s="3165"/>
      <c r="BM141" s="3165"/>
      <c r="BN141" s="3174"/>
      <c r="BO141" s="3174"/>
      <c r="BP141" s="3174"/>
      <c r="BQ141" s="3174"/>
      <c r="BR141" s="3175"/>
    </row>
    <row r="142" spans="1:70" s="1627" customFormat="1" ht="49.5" customHeight="1" x14ac:dyDescent="0.2">
      <c r="A142" s="1619"/>
      <c r="B142" s="1620"/>
      <c r="C142" s="1620"/>
      <c r="D142" s="1621"/>
      <c r="E142" s="1620"/>
      <c r="F142" s="1620"/>
      <c r="G142" s="1621"/>
      <c r="H142" s="1620"/>
      <c r="I142" s="1697"/>
      <c r="J142" s="3287"/>
      <c r="K142" s="3298"/>
      <c r="L142" s="3291"/>
      <c r="M142" s="3292"/>
      <c r="N142" s="3292"/>
      <c r="O142" s="3110"/>
      <c r="P142" s="3269"/>
      <c r="Q142" s="3276"/>
      <c r="R142" s="3293"/>
      <c r="S142" s="3280"/>
      <c r="T142" s="3128"/>
      <c r="U142" s="3128"/>
      <c r="V142" s="3284"/>
      <c r="W142" s="1625">
        <f>0+2030000</f>
        <v>2030000</v>
      </c>
      <c r="X142" s="1625">
        <v>2030000</v>
      </c>
      <c r="Y142" s="1625"/>
      <c r="Z142" s="1628">
        <v>88</v>
      </c>
      <c r="AA142" s="1628" t="s">
        <v>451</v>
      </c>
      <c r="AB142" s="3141"/>
      <c r="AC142" s="3141"/>
      <c r="AD142" s="3274"/>
      <c r="AE142" s="3274"/>
      <c r="AF142" s="3141"/>
      <c r="AG142" s="3141"/>
      <c r="AH142" s="3141"/>
      <c r="AI142" s="3141"/>
      <c r="AJ142" s="3141"/>
      <c r="AK142" s="3141"/>
      <c r="AL142" s="3141"/>
      <c r="AM142" s="3141"/>
      <c r="AN142" s="3141"/>
      <c r="AO142" s="3141"/>
      <c r="AP142" s="3141"/>
      <c r="AQ142" s="3141"/>
      <c r="AR142" s="3141"/>
      <c r="AS142" s="3141"/>
      <c r="AT142" s="3141"/>
      <c r="AU142" s="3141"/>
      <c r="AV142" s="3141"/>
      <c r="AW142" s="3141"/>
      <c r="AX142" s="3141"/>
      <c r="AY142" s="3141"/>
      <c r="AZ142" s="3141"/>
      <c r="BA142" s="3141"/>
      <c r="BB142" s="3141"/>
      <c r="BC142" s="3141"/>
      <c r="BD142" s="3142"/>
      <c r="BE142" s="3142"/>
      <c r="BF142" s="3141"/>
      <c r="BG142" s="3141"/>
      <c r="BH142" s="3141"/>
      <c r="BI142" s="3141"/>
      <c r="BJ142" s="3141"/>
      <c r="BK142" s="3227"/>
      <c r="BL142" s="3141"/>
      <c r="BM142" s="3141"/>
      <c r="BN142" s="3145"/>
      <c r="BO142" s="3145"/>
      <c r="BP142" s="3145"/>
      <c r="BQ142" s="3145"/>
      <c r="BR142" s="3133"/>
    </row>
    <row r="143" spans="1:70" s="1627" customFormat="1" ht="49.5" customHeight="1" x14ac:dyDescent="0.2">
      <c r="A143" s="1619"/>
      <c r="B143" s="1620"/>
      <c r="C143" s="1620"/>
      <c r="D143" s="1621"/>
      <c r="E143" s="1620"/>
      <c r="F143" s="1620"/>
      <c r="G143" s="1621"/>
      <c r="H143" s="1620"/>
      <c r="I143" s="1697"/>
      <c r="J143" s="3288"/>
      <c r="K143" s="3290"/>
      <c r="L143" s="3262"/>
      <c r="M143" s="3264"/>
      <c r="N143" s="3264"/>
      <c r="O143" s="3110"/>
      <c r="P143" s="3269"/>
      <c r="Q143" s="3276"/>
      <c r="R143" s="3278"/>
      <c r="S143" s="3280"/>
      <c r="T143" s="3128"/>
      <c r="U143" s="3128"/>
      <c r="V143" s="1699" t="s">
        <v>1226</v>
      </c>
      <c r="W143" s="1625">
        <v>790000</v>
      </c>
      <c r="X143" s="1625">
        <v>790000</v>
      </c>
      <c r="Y143" s="1625"/>
      <c r="Z143" s="1626">
        <v>20</v>
      </c>
      <c r="AA143" s="1628" t="s">
        <v>124</v>
      </c>
      <c r="AB143" s="3141"/>
      <c r="AC143" s="3141"/>
      <c r="AD143" s="3274"/>
      <c r="AE143" s="3274"/>
      <c r="AF143" s="3141"/>
      <c r="AG143" s="3141"/>
      <c r="AH143" s="3141"/>
      <c r="AI143" s="3141"/>
      <c r="AJ143" s="3141"/>
      <c r="AK143" s="3141"/>
      <c r="AL143" s="3141"/>
      <c r="AM143" s="3141"/>
      <c r="AN143" s="3141"/>
      <c r="AO143" s="3141"/>
      <c r="AP143" s="3141"/>
      <c r="AQ143" s="3141"/>
      <c r="AR143" s="3141"/>
      <c r="AS143" s="3141"/>
      <c r="AT143" s="3141"/>
      <c r="AU143" s="3141"/>
      <c r="AV143" s="3141"/>
      <c r="AW143" s="3141"/>
      <c r="AX143" s="3141"/>
      <c r="AY143" s="3141"/>
      <c r="AZ143" s="3141"/>
      <c r="BA143" s="3141"/>
      <c r="BB143" s="3141"/>
      <c r="BC143" s="3141"/>
      <c r="BD143" s="3142"/>
      <c r="BE143" s="3142"/>
      <c r="BF143" s="3141"/>
      <c r="BG143" s="3141"/>
      <c r="BH143" s="3141"/>
      <c r="BI143" s="3141"/>
      <c r="BJ143" s="3141"/>
      <c r="BK143" s="3227"/>
      <c r="BL143" s="3141"/>
      <c r="BM143" s="3141"/>
      <c r="BN143" s="3145"/>
      <c r="BO143" s="3145"/>
      <c r="BP143" s="3145"/>
      <c r="BQ143" s="3145"/>
      <c r="BR143" s="3133"/>
    </row>
    <row r="144" spans="1:70" s="1627" customFormat="1" ht="49.5" customHeight="1" x14ac:dyDescent="0.2">
      <c r="A144" s="1619"/>
      <c r="B144" s="1620"/>
      <c r="C144" s="1620"/>
      <c r="D144" s="1621"/>
      <c r="E144" s="1620"/>
      <c r="F144" s="1620"/>
      <c r="G144" s="1621"/>
      <c r="H144" s="1620"/>
      <c r="I144" s="1697"/>
      <c r="J144" s="3296">
        <v>272</v>
      </c>
      <c r="K144" s="3297" t="s">
        <v>1235</v>
      </c>
      <c r="L144" s="3261" t="s">
        <v>1231</v>
      </c>
      <c r="M144" s="3263">
        <v>12</v>
      </c>
      <c r="N144" s="3263">
        <v>12</v>
      </c>
      <c r="O144" s="3110"/>
      <c r="P144" s="3269"/>
      <c r="Q144" s="3276"/>
      <c r="R144" s="3277">
        <f>SUM(W144:W146)/S132</f>
        <v>0.17326504132429379</v>
      </c>
      <c r="S144" s="3280"/>
      <c r="T144" s="3128"/>
      <c r="U144" s="3128"/>
      <c r="V144" s="3283" t="s">
        <v>1236</v>
      </c>
      <c r="W144" s="1625">
        <v>37410000</v>
      </c>
      <c r="X144" s="1625">
        <f>'[1]PROYECTO 14'!$L$35+'[1]PROYECTO 14'!$L$36</f>
        <v>36666400</v>
      </c>
      <c r="Y144" s="1625">
        <v>26753433</v>
      </c>
      <c r="Z144" s="1626">
        <v>20</v>
      </c>
      <c r="AA144" s="1628" t="s">
        <v>124</v>
      </c>
      <c r="AB144" s="3141"/>
      <c r="AC144" s="3141"/>
      <c r="AD144" s="3274"/>
      <c r="AE144" s="3274"/>
      <c r="AF144" s="3141"/>
      <c r="AG144" s="3141"/>
      <c r="AH144" s="3141"/>
      <c r="AI144" s="3141"/>
      <c r="AJ144" s="3141"/>
      <c r="AK144" s="3141"/>
      <c r="AL144" s="3141"/>
      <c r="AM144" s="3141"/>
      <c r="AN144" s="3141"/>
      <c r="AO144" s="3141"/>
      <c r="AP144" s="3141"/>
      <c r="AQ144" s="3141"/>
      <c r="AR144" s="3141"/>
      <c r="AS144" s="3141"/>
      <c r="AT144" s="3141"/>
      <c r="AU144" s="3141"/>
      <c r="AV144" s="3141"/>
      <c r="AW144" s="3141"/>
      <c r="AX144" s="3141"/>
      <c r="AY144" s="3141"/>
      <c r="AZ144" s="3141"/>
      <c r="BA144" s="3141"/>
      <c r="BB144" s="3141"/>
      <c r="BC144" s="3141"/>
      <c r="BD144" s="3142"/>
      <c r="BE144" s="3142"/>
      <c r="BF144" s="3141"/>
      <c r="BG144" s="3141"/>
      <c r="BH144" s="3141"/>
      <c r="BI144" s="3141"/>
      <c r="BJ144" s="3141"/>
      <c r="BK144" s="3227"/>
      <c r="BL144" s="3141"/>
      <c r="BM144" s="3141"/>
      <c r="BN144" s="3145"/>
      <c r="BO144" s="3145"/>
      <c r="BP144" s="3145"/>
      <c r="BQ144" s="3145"/>
      <c r="BR144" s="3133"/>
    </row>
    <row r="145" spans="1:70" s="1627" customFormat="1" ht="49.5" customHeight="1" x14ac:dyDescent="0.2">
      <c r="A145" s="1619"/>
      <c r="B145" s="1620"/>
      <c r="C145" s="1620"/>
      <c r="D145" s="1621"/>
      <c r="E145" s="1620"/>
      <c r="F145" s="1620"/>
      <c r="G145" s="1621"/>
      <c r="H145" s="1620"/>
      <c r="I145" s="1697"/>
      <c r="J145" s="3287"/>
      <c r="K145" s="3298"/>
      <c r="L145" s="3291"/>
      <c r="M145" s="3292"/>
      <c r="N145" s="3292"/>
      <c r="O145" s="3110"/>
      <c r="P145" s="3269"/>
      <c r="Q145" s="3276"/>
      <c r="R145" s="3293"/>
      <c r="S145" s="3280"/>
      <c r="T145" s="3128"/>
      <c r="U145" s="3128"/>
      <c r="V145" s="3284"/>
      <c r="W145" s="1625">
        <f>0+2030000</f>
        <v>2030000</v>
      </c>
      <c r="X145" s="1625">
        <v>1910567</v>
      </c>
      <c r="Y145" s="1625">
        <v>1910567</v>
      </c>
      <c r="Z145" s="1628">
        <v>88</v>
      </c>
      <c r="AA145" s="1628" t="s">
        <v>76</v>
      </c>
      <c r="AB145" s="3141"/>
      <c r="AC145" s="3141"/>
      <c r="AD145" s="3274"/>
      <c r="AE145" s="3274"/>
      <c r="AF145" s="3141"/>
      <c r="AG145" s="3141"/>
      <c r="AH145" s="3141"/>
      <c r="AI145" s="3141"/>
      <c r="AJ145" s="3141"/>
      <c r="AK145" s="3141"/>
      <c r="AL145" s="3141"/>
      <c r="AM145" s="3141"/>
      <c r="AN145" s="3141"/>
      <c r="AO145" s="3141"/>
      <c r="AP145" s="3141"/>
      <c r="AQ145" s="3141"/>
      <c r="AR145" s="3141"/>
      <c r="AS145" s="3141"/>
      <c r="AT145" s="3141"/>
      <c r="AU145" s="3141"/>
      <c r="AV145" s="3141"/>
      <c r="AW145" s="3141"/>
      <c r="AX145" s="3141"/>
      <c r="AY145" s="3141"/>
      <c r="AZ145" s="3141"/>
      <c r="BA145" s="3141"/>
      <c r="BB145" s="3141"/>
      <c r="BC145" s="3141"/>
      <c r="BD145" s="3142"/>
      <c r="BE145" s="3142"/>
      <c r="BF145" s="3141"/>
      <c r="BG145" s="3141"/>
      <c r="BH145" s="3141"/>
      <c r="BI145" s="3141"/>
      <c r="BJ145" s="3141"/>
      <c r="BK145" s="3227"/>
      <c r="BL145" s="3141"/>
      <c r="BM145" s="3141"/>
      <c r="BN145" s="3145"/>
      <c r="BO145" s="3145"/>
      <c r="BP145" s="3145"/>
      <c r="BQ145" s="3145"/>
      <c r="BR145" s="3133"/>
    </row>
    <row r="146" spans="1:70" s="1627" customFormat="1" ht="49.5" customHeight="1" x14ac:dyDescent="0.2">
      <c r="A146" s="1619"/>
      <c r="B146" s="1620"/>
      <c r="C146" s="1620"/>
      <c r="D146" s="1621"/>
      <c r="E146" s="1620"/>
      <c r="F146" s="1620"/>
      <c r="G146" s="1621"/>
      <c r="H146" s="1620"/>
      <c r="I146" s="1697"/>
      <c r="J146" s="3287"/>
      <c r="K146" s="3298"/>
      <c r="L146" s="3262"/>
      <c r="M146" s="3264"/>
      <c r="N146" s="3264"/>
      <c r="O146" s="3110"/>
      <c r="P146" s="3269"/>
      <c r="Q146" s="3276"/>
      <c r="R146" s="3278"/>
      <c r="S146" s="3280"/>
      <c r="T146" s="3128"/>
      <c r="U146" s="3128"/>
      <c r="V146" s="1701" t="s">
        <v>1226</v>
      </c>
      <c r="W146" s="1625">
        <v>790000</v>
      </c>
      <c r="X146" s="1625">
        <v>790000</v>
      </c>
      <c r="Y146" s="1625"/>
      <c r="Z146" s="1628">
        <v>20</v>
      </c>
      <c r="AA146" s="1628" t="s">
        <v>124</v>
      </c>
      <c r="AB146" s="3141"/>
      <c r="AC146" s="3141"/>
      <c r="AD146" s="3274"/>
      <c r="AE146" s="3274"/>
      <c r="AF146" s="3141"/>
      <c r="AG146" s="3141"/>
      <c r="AH146" s="3141"/>
      <c r="AI146" s="3141"/>
      <c r="AJ146" s="3141"/>
      <c r="AK146" s="3141"/>
      <c r="AL146" s="3141"/>
      <c r="AM146" s="3141"/>
      <c r="AN146" s="3141"/>
      <c r="AO146" s="3141"/>
      <c r="AP146" s="3141"/>
      <c r="AQ146" s="3141"/>
      <c r="AR146" s="3141"/>
      <c r="AS146" s="3141"/>
      <c r="AT146" s="3141"/>
      <c r="AU146" s="3141"/>
      <c r="AV146" s="3141"/>
      <c r="AW146" s="3141"/>
      <c r="AX146" s="3141"/>
      <c r="AY146" s="3141"/>
      <c r="AZ146" s="3141"/>
      <c r="BA146" s="3141"/>
      <c r="BB146" s="3141"/>
      <c r="BC146" s="3141"/>
      <c r="BD146" s="3142"/>
      <c r="BE146" s="3142"/>
      <c r="BF146" s="3141"/>
      <c r="BG146" s="3141"/>
      <c r="BH146" s="3141"/>
      <c r="BI146" s="3141"/>
      <c r="BJ146" s="3141"/>
      <c r="BK146" s="3227"/>
      <c r="BL146" s="3141"/>
      <c r="BM146" s="3141"/>
      <c r="BN146" s="3145"/>
      <c r="BO146" s="3145"/>
      <c r="BP146" s="3145"/>
      <c r="BQ146" s="3145"/>
      <c r="BR146" s="3133"/>
    </row>
    <row r="147" spans="1:70" s="1627" customFormat="1" ht="96.75" customHeight="1" x14ac:dyDescent="0.2">
      <c r="A147" s="1619"/>
      <c r="B147" s="1620"/>
      <c r="C147" s="1620"/>
      <c r="D147" s="1621"/>
      <c r="E147" s="1620"/>
      <c r="F147" s="1620"/>
      <c r="G147" s="1621"/>
      <c r="H147" s="1620"/>
      <c r="I147" s="1620"/>
      <c r="J147" s="1702">
        <v>273</v>
      </c>
      <c r="K147" s="1703" t="s">
        <v>1237</v>
      </c>
      <c r="L147" s="1704" t="s">
        <v>1228</v>
      </c>
      <c r="M147" s="1157">
        <v>12</v>
      </c>
      <c r="N147" s="1157">
        <v>12</v>
      </c>
      <c r="O147" s="3110"/>
      <c r="P147" s="3269"/>
      <c r="Q147" s="3276"/>
      <c r="R147" s="1705">
        <f>SUM(W147)/S132</f>
        <v>8.1830370001530744E-3</v>
      </c>
      <c r="S147" s="3280"/>
      <c r="T147" s="3128"/>
      <c r="U147" s="3128"/>
      <c r="V147" s="1701" t="s">
        <v>1226</v>
      </c>
      <c r="W147" s="1625">
        <v>1900000</v>
      </c>
      <c r="X147" s="1625">
        <v>1900000</v>
      </c>
      <c r="Y147" s="1625"/>
      <c r="Z147" s="1626">
        <v>20</v>
      </c>
      <c r="AA147" s="1628" t="s">
        <v>124</v>
      </c>
      <c r="AB147" s="3141"/>
      <c r="AC147" s="3141"/>
      <c r="AD147" s="3274"/>
      <c r="AE147" s="3274"/>
      <c r="AF147" s="3141"/>
      <c r="AG147" s="3141"/>
      <c r="AH147" s="3141"/>
      <c r="AI147" s="3141"/>
      <c r="AJ147" s="3141"/>
      <c r="AK147" s="3141"/>
      <c r="AL147" s="3141"/>
      <c r="AM147" s="3141"/>
      <c r="AN147" s="3141"/>
      <c r="AO147" s="3141"/>
      <c r="AP147" s="3141"/>
      <c r="AQ147" s="3141"/>
      <c r="AR147" s="3141"/>
      <c r="AS147" s="3141"/>
      <c r="AT147" s="3141"/>
      <c r="AU147" s="3141"/>
      <c r="AV147" s="3141"/>
      <c r="AW147" s="3141"/>
      <c r="AX147" s="3141"/>
      <c r="AY147" s="3141"/>
      <c r="AZ147" s="3141"/>
      <c r="BA147" s="3141"/>
      <c r="BB147" s="3141"/>
      <c r="BC147" s="3141"/>
      <c r="BD147" s="3142"/>
      <c r="BE147" s="3142"/>
      <c r="BF147" s="3141"/>
      <c r="BG147" s="3141"/>
      <c r="BH147" s="3141"/>
      <c r="BI147" s="3141"/>
      <c r="BJ147" s="3141"/>
      <c r="BK147" s="3227"/>
      <c r="BL147" s="3141"/>
      <c r="BM147" s="3141"/>
      <c r="BN147" s="3145"/>
      <c r="BO147" s="3145"/>
      <c r="BP147" s="3145"/>
      <c r="BQ147" s="3145"/>
      <c r="BR147" s="3133"/>
    </row>
    <row r="148" spans="1:70" s="1627" customFormat="1" ht="49.5" customHeight="1" x14ac:dyDescent="0.2">
      <c r="A148" s="1619"/>
      <c r="B148" s="1620"/>
      <c r="C148" s="1620"/>
      <c r="D148" s="1621"/>
      <c r="E148" s="1620"/>
      <c r="F148" s="1620"/>
      <c r="G148" s="1621"/>
      <c r="H148" s="1620"/>
      <c r="I148" s="1620"/>
      <c r="J148" s="3304">
        <v>274</v>
      </c>
      <c r="K148" s="3305" t="s">
        <v>1238</v>
      </c>
      <c r="L148" s="3306" t="s">
        <v>1228</v>
      </c>
      <c r="M148" s="3263">
        <v>12</v>
      </c>
      <c r="N148" s="3263">
        <v>12</v>
      </c>
      <c r="O148" s="3110"/>
      <c r="P148" s="3269"/>
      <c r="Q148" s="3276"/>
      <c r="R148" s="3277">
        <f>SUM(W148:W150)/S132</f>
        <v>0.15573611469765009</v>
      </c>
      <c r="S148" s="3280"/>
      <c r="T148" s="3128"/>
      <c r="U148" s="3128"/>
      <c r="V148" s="3285" t="s">
        <v>1239</v>
      </c>
      <c r="W148" s="1625">
        <v>20300000</v>
      </c>
      <c r="X148" s="1625">
        <v>15884633</v>
      </c>
      <c r="Y148" s="1625">
        <v>15884633</v>
      </c>
      <c r="Z148" s="1628">
        <v>20</v>
      </c>
      <c r="AA148" s="1628" t="s">
        <v>124</v>
      </c>
      <c r="AB148" s="3141"/>
      <c r="AC148" s="3141"/>
      <c r="AD148" s="3274"/>
      <c r="AE148" s="3274"/>
      <c r="AF148" s="3141"/>
      <c r="AG148" s="3141"/>
      <c r="AH148" s="3141"/>
      <c r="AI148" s="3141"/>
      <c r="AJ148" s="3141"/>
      <c r="AK148" s="3141"/>
      <c r="AL148" s="3141"/>
      <c r="AM148" s="3141"/>
      <c r="AN148" s="3141"/>
      <c r="AO148" s="3141"/>
      <c r="AP148" s="3141"/>
      <c r="AQ148" s="3141"/>
      <c r="AR148" s="3141"/>
      <c r="AS148" s="3141"/>
      <c r="AT148" s="3141"/>
      <c r="AU148" s="3141"/>
      <c r="AV148" s="3141"/>
      <c r="AW148" s="3141"/>
      <c r="AX148" s="3141"/>
      <c r="AY148" s="3141"/>
      <c r="AZ148" s="3141"/>
      <c r="BA148" s="3141"/>
      <c r="BB148" s="3141"/>
      <c r="BC148" s="3141"/>
      <c r="BD148" s="3142"/>
      <c r="BE148" s="3142"/>
      <c r="BF148" s="3141"/>
      <c r="BG148" s="3141"/>
      <c r="BH148" s="3141"/>
      <c r="BI148" s="3141"/>
      <c r="BJ148" s="3141"/>
      <c r="BK148" s="3227"/>
      <c r="BL148" s="3141"/>
      <c r="BM148" s="3141"/>
      <c r="BN148" s="3145"/>
      <c r="BO148" s="3145"/>
      <c r="BP148" s="3145"/>
      <c r="BQ148" s="3145"/>
      <c r="BR148" s="3133"/>
    </row>
    <row r="149" spans="1:70" s="1627" customFormat="1" ht="49.5" customHeight="1" x14ac:dyDescent="0.2">
      <c r="A149" s="1619"/>
      <c r="B149" s="1620"/>
      <c r="C149" s="1620"/>
      <c r="D149" s="1621"/>
      <c r="E149" s="1620"/>
      <c r="F149" s="1620"/>
      <c r="G149" s="1621"/>
      <c r="H149" s="1620"/>
      <c r="I149" s="1620"/>
      <c r="J149" s="3304"/>
      <c r="K149" s="3305"/>
      <c r="L149" s="3307"/>
      <c r="M149" s="3292"/>
      <c r="N149" s="3292"/>
      <c r="O149" s="3110"/>
      <c r="P149" s="3269"/>
      <c r="Q149" s="3276"/>
      <c r="R149" s="3293"/>
      <c r="S149" s="3280"/>
      <c r="T149" s="3128"/>
      <c r="U149" s="3128"/>
      <c r="V149" s="3286"/>
      <c r="W149" s="1625">
        <f>0+15660000</f>
        <v>15660000</v>
      </c>
      <c r="X149" s="1625">
        <v>13018233</v>
      </c>
      <c r="Y149" s="1625">
        <v>3583000</v>
      </c>
      <c r="Z149" s="1628">
        <v>88</v>
      </c>
      <c r="AA149" s="1628" t="s">
        <v>451</v>
      </c>
      <c r="AB149" s="3141"/>
      <c r="AC149" s="3141"/>
      <c r="AD149" s="3274"/>
      <c r="AE149" s="3274"/>
      <c r="AF149" s="3141"/>
      <c r="AG149" s="3141"/>
      <c r="AH149" s="3141"/>
      <c r="AI149" s="3141"/>
      <c r="AJ149" s="3141"/>
      <c r="AK149" s="3141"/>
      <c r="AL149" s="3141"/>
      <c r="AM149" s="3141"/>
      <c r="AN149" s="3141"/>
      <c r="AO149" s="3141"/>
      <c r="AP149" s="3141"/>
      <c r="AQ149" s="3141"/>
      <c r="AR149" s="3141"/>
      <c r="AS149" s="3141"/>
      <c r="AT149" s="3141"/>
      <c r="AU149" s="3141"/>
      <c r="AV149" s="3141"/>
      <c r="AW149" s="3141"/>
      <c r="AX149" s="3141"/>
      <c r="AY149" s="3141"/>
      <c r="AZ149" s="3141"/>
      <c r="BA149" s="3141"/>
      <c r="BB149" s="3141"/>
      <c r="BC149" s="3141"/>
      <c r="BD149" s="3142"/>
      <c r="BE149" s="3142"/>
      <c r="BF149" s="3141"/>
      <c r="BG149" s="3141"/>
      <c r="BH149" s="3141"/>
      <c r="BI149" s="3141"/>
      <c r="BJ149" s="3141"/>
      <c r="BK149" s="3227"/>
      <c r="BL149" s="3141"/>
      <c r="BM149" s="3141"/>
      <c r="BN149" s="3145"/>
      <c r="BO149" s="3145"/>
      <c r="BP149" s="3145"/>
      <c r="BQ149" s="3145"/>
      <c r="BR149" s="3133"/>
    </row>
    <row r="150" spans="1:70" s="1627" customFormat="1" ht="49.5" customHeight="1" x14ac:dyDescent="0.2">
      <c r="A150" s="1619"/>
      <c r="B150" s="1620"/>
      <c r="C150" s="1620"/>
      <c r="D150" s="1621"/>
      <c r="E150" s="1620"/>
      <c r="F150" s="1620"/>
      <c r="G150" s="1621"/>
      <c r="H150" s="1620"/>
      <c r="I150" s="1620"/>
      <c r="J150" s="3304"/>
      <c r="K150" s="3305"/>
      <c r="L150" s="3308"/>
      <c r="M150" s="3264"/>
      <c r="N150" s="3264"/>
      <c r="O150" s="3110"/>
      <c r="P150" s="3269"/>
      <c r="Q150" s="3276"/>
      <c r="R150" s="3278"/>
      <c r="S150" s="3280"/>
      <c r="T150" s="3128"/>
      <c r="U150" s="3128"/>
      <c r="V150" s="1699" t="s">
        <v>1226</v>
      </c>
      <c r="W150" s="1625">
        <v>200000</v>
      </c>
      <c r="X150" s="1625">
        <v>200000</v>
      </c>
      <c r="Y150" s="1625"/>
      <c r="Z150" s="1628">
        <v>20</v>
      </c>
      <c r="AA150" s="1628" t="s">
        <v>124</v>
      </c>
      <c r="AB150" s="3141"/>
      <c r="AC150" s="3141"/>
      <c r="AD150" s="3274"/>
      <c r="AE150" s="3274"/>
      <c r="AF150" s="3141"/>
      <c r="AG150" s="3141"/>
      <c r="AH150" s="3141"/>
      <c r="AI150" s="3141"/>
      <c r="AJ150" s="3141"/>
      <c r="AK150" s="3141"/>
      <c r="AL150" s="3141"/>
      <c r="AM150" s="3141"/>
      <c r="AN150" s="3141"/>
      <c r="AO150" s="3141"/>
      <c r="AP150" s="3141"/>
      <c r="AQ150" s="3141"/>
      <c r="AR150" s="3141"/>
      <c r="AS150" s="3141"/>
      <c r="AT150" s="3141"/>
      <c r="AU150" s="3141"/>
      <c r="AV150" s="3141"/>
      <c r="AW150" s="3141"/>
      <c r="AX150" s="3141"/>
      <c r="AY150" s="3141"/>
      <c r="AZ150" s="3141"/>
      <c r="BA150" s="3141"/>
      <c r="BB150" s="3141"/>
      <c r="BC150" s="3141"/>
      <c r="BD150" s="3142"/>
      <c r="BE150" s="3142"/>
      <c r="BF150" s="3141"/>
      <c r="BG150" s="3141"/>
      <c r="BH150" s="3141"/>
      <c r="BI150" s="3141"/>
      <c r="BJ150" s="3141"/>
      <c r="BK150" s="3227"/>
      <c r="BL150" s="3141"/>
      <c r="BM150" s="3141"/>
      <c r="BN150" s="3145"/>
      <c r="BO150" s="3145"/>
      <c r="BP150" s="3145"/>
      <c r="BQ150" s="3145"/>
      <c r="BR150" s="3133"/>
    </row>
    <row r="151" spans="1:70" s="1627" customFormat="1" ht="49.5" customHeight="1" x14ac:dyDescent="0.2">
      <c r="A151" s="1619"/>
      <c r="B151" s="1620"/>
      <c r="C151" s="1620"/>
      <c r="D151" s="1621"/>
      <c r="E151" s="1620"/>
      <c r="F151" s="1620"/>
      <c r="G151" s="1621"/>
      <c r="H151" s="1620"/>
      <c r="I151" s="1697"/>
      <c r="J151" s="3287">
        <v>260</v>
      </c>
      <c r="K151" s="3298" t="s">
        <v>1240</v>
      </c>
      <c r="L151" s="3261" t="s">
        <v>1241</v>
      </c>
      <c r="M151" s="3263">
        <v>12</v>
      </c>
      <c r="N151" s="3263">
        <v>12</v>
      </c>
      <c r="O151" s="3110"/>
      <c r="P151" s="3269"/>
      <c r="Q151" s="3276"/>
      <c r="R151" s="3277">
        <f>SUM(W151:W152)/S132</f>
        <v>7.057927124577186E-2</v>
      </c>
      <c r="S151" s="3280"/>
      <c r="T151" s="3128"/>
      <c r="U151" s="3128"/>
      <c r="V151" s="1699" t="s">
        <v>1242</v>
      </c>
      <c r="W151" s="1625">
        <v>15950000</v>
      </c>
      <c r="X151" s="1625">
        <v>12699099</v>
      </c>
      <c r="Y151" s="1625">
        <v>3583000</v>
      </c>
      <c r="Z151" s="1628">
        <v>20</v>
      </c>
      <c r="AA151" s="1628" t="s">
        <v>124</v>
      </c>
      <c r="AB151" s="3141"/>
      <c r="AC151" s="3141"/>
      <c r="AD151" s="3274"/>
      <c r="AE151" s="3274"/>
      <c r="AF151" s="3141"/>
      <c r="AG151" s="3141"/>
      <c r="AH151" s="3141"/>
      <c r="AI151" s="3141"/>
      <c r="AJ151" s="3141"/>
      <c r="AK151" s="3141"/>
      <c r="AL151" s="3141"/>
      <c r="AM151" s="3141"/>
      <c r="AN151" s="3141"/>
      <c r="AO151" s="3141"/>
      <c r="AP151" s="3141"/>
      <c r="AQ151" s="3141"/>
      <c r="AR151" s="3141"/>
      <c r="AS151" s="3141"/>
      <c r="AT151" s="3141"/>
      <c r="AU151" s="3141"/>
      <c r="AV151" s="3141"/>
      <c r="AW151" s="3141"/>
      <c r="AX151" s="3141"/>
      <c r="AY151" s="3141"/>
      <c r="AZ151" s="3141"/>
      <c r="BA151" s="3141"/>
      <c r="BB151" s="3141"/>
      <c r="BC151" s="3141"/>
      <c r="BD151" s="3142"/>
      <c r="BE151" s="3142"/>
      <c r="BF151" s="3141"/>
      <c r="BG151" s="3141"/>
      <c r="BH151" s="3141"/>
      <c r="BI151" s="3141"/>
      <c r="BJ151" s="3141"/>
      <c r="BK151" s="3227"/>
      <c r="BL151" s="3141"/>
      <c r="BM151" s="3141"/>
      <c r="BN151" s="3145"/>
      <c r="BO151" s="3145"/>
      <c r="BP151" s="3145"/>
      <c r="BQ151" s="3145"/>
      <c r="BR151" s="3133"/>
    </row>
    <row r="152" spans="1:70" s="1627" customFormat="1" ht="49.5" customHeight="1" thickBot="1" x14ac:dyDescent="0.25">
      <c r="A152" s="1619"/>
      <c r="B152" s="1620"/>
      <c r="C152" s="1620"/>
      <c r="D152" s="1706"/>
      <c r="E152" s="1707"/>
      <c r="F152" s="1707"/>
      <c r="G152" s="1706"/>
      <c r="H152" s="1707"/>
      <c r="I152" s="1708"/>
      <c r="J152" s="3299"/>
      <c r="K152" s="3300"/>
      <c r="L152" s="3301"/>
      <c r="M152" s="3302"/>
      <c r="N152" s="3302"/>
      <c r="O152" s="3110"/>
      <c r="P152" s="3269"/>
      <c r="Q152" s="3276"/>
      <c r="R152" s="3303"/>
      <c r="S152" s="3280"/>
      <c r="T152" s="3128"/>
      <c r="U152" s="3128"/>
      <c r="V152" s="1699" t="s">
        <v>1226</v>
      </c>
      <c r="W152" s="1625">
        <v>437634</v>
      </c>
      <c r="X152" s="1625">
        <v>437634</v>
      </c>
      <c r="Y152" s="1625"/>
      <c r="Z152" s="1626">
        <v>20</v>
      </c>
      <c r="AA152" s="1628" t="s">
        <v>124</v>
      </c>
      <c r="AB152" s="3141"/>
      <c r="AC152" s="3141"/>
      <c r="AD152" s="3274"/>
      <c r="AE152" s="3274"/>
      <c r="AF152" s="3141"/>
      <c r="AG152" s="3141"/>
      <c r="AH152" s="3141"/>
      <c r="AI152" s="3141"/>
      <c r="AJ152" s="3141"/>
      <c r="AK152" s="3141"/>
      <c r="AL152" s="3141"/>
      <c r="AM152" s="3141"/>
      <c r="AN152" s="3141"/>
      <c r="AO152" s="3141"/>
      <c r="AP152" s="3141"/>
      <c r="AQ152" s="3141"/>
      <c r="AR152" s="3141"/>
      <c r="AS152" s="3141"/>
      <c r="AT152" s="3141"/>
      <c r="AU152" s="3141"/>
      <c r="AV152" s="3141"/>
      <c r="AW152" s="3141"/>
      <c r="AX152" s="3141"/>
      <c r="AY152" s="3141"/>
      <c r="AZ152" s="3141"/>
      <c r="BA152" s="3141"/>
      <c r="BB152" s="3141"/>
      <c r="BC152" s="3141"/>
      <c r="BD152" s="3142"/>
      <c r="BE152" s="3142"/>
      <c r="BF152" s="3141"/>
      <c r="BG152" s="3141"/>
      <c r="BH152" s="3141"/>
      <c r="BI152" s="3141"/>
      <c r="BJ152" s="3141"/>
      <c r="BK152" s="3227"/>
      <c r="BL152" s="3141"/>
      <c r="BM152" s="3141"/>
      <c r="BN152" s="3145"/>
      <c r="BO152" s="3145"/>
      <c r="BP152" s="3145"/>
      <c r="BQ152" s="3145"/>
      <c r="BR152" s="3133"/>
    </row>
    <row r="153" spans="1:70" ht="24.75" customHeight="1" thickBot="1" x14ac:dyDescent="0.25">
      <c r="A153" s="1709"/>
      <c r="B153" s="1710"/>
      <c r="C153" s="1710"/>
      <c r="D153" s="1710"/>
      <c r="E153" s="1710"/>
      <c r="F153" s="1710"/>
      <c r="G153" s="1710"/>
      <c r="H153" s="1710"/>
      <c r="I153" s="1710"/>
      <c r="J153" s="843"/>
      <c r="K153" s="1711"/>
      <c r="L153" s="1712"/>
      <c r="M153" s="1712"/>
      <c r="N153" s="1712"/>
      <c r="O153" s="1713" t="s">
        <v>104</v>
      </c>
      <c r="P153" s="1714"/>
      <c r="Q153" s="1711"/>
      <c r="R153" s="1715"/>
      <c r="S153" s="1716">
        <f>SUM(S9:S152)</f>
        <v>1489487634</v>
      </c>
      <c r="T153" s="1717"/>
      <c r="U153" s="1711"/>
      <c r="V153" s="1718"/>
      <c r="W153" s="1716">
        <f>SUM(W9:W152)</f>
        <v>1489487634</v>
      </c>
      <c r="X153" s="1716">
        <f t="shared" ref="X153:Y153" si="0">SUM(X9:X152)</f>
        <v>1163623924</v>
      </c>
      <c r="Y153" s="1716">
        <f t="shared" si="0"/>
        <v>794419233</v>
      </c>
      <c r="Z153" s="1719"/>
      <c r="AA153" s="1720"/>
      <c r="AB153" s="1721"/>
      <c r="AC153" s="1721"/>
      <c r="AD153" s="1721"/>
      <c r="AE153" s="1721"/>
      <c r="AF153" s="1721"/>
      <c r="AG153" s="1721"/>
      <c r="AH153" s="1721"/>
      <c r="AI153" s="1721"/>
      <c r="AJ153" s="1721"/>
      <c r="AK153" s="1721"/>
      <c r="AL153" s="1721"/>
      <c r="AM153" s="1721"/>
      <c r="AN153" s="1721"/>
      <c r="AO153" s="1721"/>
      <c r="AP153" s="1721"/>
      <c r="AQ153" s="1721"/>
      <c r="AR153" s="1721"/>
      <c r="AS153" s="1721"/>
      <c r="AT153" s="1721"/>
      <c r="AU153" s="1721"/>
      <c r="AV153" s="1721"/>
      <c r="AW153" s="1721"/>
      <c r="AX153" s="1721"/>
      <c r="AY153" s="1721"/>
      <c r="AZ153" s="1721"/>
      <c r="BA153" s="1721"/>
      <c r="BB153" s="1721"/>
      <c r="BC153" s="1721"/>
      <c r="BD153" s="1721"/>
      <c r="BE153" s="1721"/>
      <c r="BF153" s="1721"/>
      <c r="BG153" s="1721"/>
      <c r="BH153" s="1721"/>
      <c r="BI153" s="1716">
        <f t="shared" ref="BI153:BJ153" si="1">SUM(BI9:BI152)</f>
        <v>1163623924</v>
      </c>
      <c r="BJ153" s="1716">
        <f t="shared" si="1"/>
        <v>794419233</v>
      </c>
      <c r="BK153" s="1722">
        <f>BJ153/BI153</f>
        <v>0.68271132675680535</v>
      </c>
      <c r="BL153" s="1721"/>
      <c r="BM153" s="1721"/>
      <c r="BN153" s="1723"/>
      <c r="BO153" s="1723"/>
      <c r="BP153" s="1724"/>
      <c r="BQ153" s="1724"/>
      <c r="BR153" s="1725"/>
    </row>
    <row r="154" spans="1:70" ht="24.75" customHeight="1" x14ac:dyDescent="0.25">
      <c r="C154" s="1404"/>
      <c r="D154" s="1404"/>
      <c r="W154" s="1729"/>
      <c r="X154" s="1729"/>
      <c r="Y154" s="1729"/>
    </row>
    <row r="155" spans="1:70" s="872" customFormat="1" ht="24.75" customHeight="1" x14ac:dyDescent="0.2">
      <c r="A155" s="1726"/>
      <c r="B155" s="1405"/>
      <c r="C155" s="1405"/>
      <c r="D155" s="1405"/>
      <c r="E155" s="1405"/>
      <c r="F155" s="1405"/>
      <c r="G155" s="1405"/>
      <c r="H155" s="1405"/>
      <c r="I155" s="1405"/>
      <c r="J155" s="1490"/>
      <c r="L155" s="860"/>
      <c r="M155" s="860"/>
      <c r="N155" s="860"/>
      <c r="O155" s="875"/>
      <c r="P155" s="128"/>
      <c r="Q155" s="1405"/>
      <c r="R155" s="867"/>
      <c r="S155" s="1731"/>
      <c r="T155" s="1732"/>
      <c r="W155" s="1733"/>
      <c r="X155" s="1733"/>
      <c r="Y155" s="1733"/>
      <c r="Z155" s="871"/>
      <c r="AA155" s="1730"/>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873"/>
      <c r="BO155" s="873"/>
      <c r="BP155" s="874"/>
      <c r="BQ155" s="874"/>
      <c r="BR155" s="867"/>
    </row>
    <row r="156" spans="1:70" s="872" customFormat="1" ht="24.75" customHeight="1" x14ac:dyDescent="0.25">
      <c r="A156" s="1726"/>
      <c r="B156" s="1405"/>
      <c r="C156" s="1405"/>
      <c r="D156" s="1405"/>
      <c r="E156" s="1405"/>
      <c r="F156" s="1405"/>
      <c r="G156" s="1405"/>
      <c r="H156" s="1405"/>
      <c r="I156" s="1405"/>
      <c r="J156" s="1490"/>
      <c r="L156" s="860"/>
      <c r="M156" s="860"/>
      <c r="N156" s="860"/>
      <c r="O156" s="129" t="s">
        <v>1243</v>
      </c>
      <c r="P156" s="129"/>
      <c r="Q156" s="125"/>
      <c r="R156" s="126"/>
      <c r="S156" s="130"/>
      <c r="T156" s="126"/>
      <c r="W156" s="1733"/>
      <c r="X156" s="1733"/>
      <c r="Y156" s="1733"/>
      <c r="Z156" s="871"/>
      <c r="AA156" s="1730"/>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873"/>
      <c r="BO156" s="873"/>
      <c r="BP156" s="874"/>
      <c r="BQ156" s="874"/>
      <c r="BR156" s="867"/>
    </row>
    <row r="157" spans="1:70" s="872" customFormat="1" ht="24.75" customHeight="1" x14ac:dyDescent="0.25">
      <c r="A157" s="1726"/>
      <c r="B157" s="1405"/>
      <c r="C157" s="1405"/>
      <c r="D157" s="1405"/>
      <c r="E157" s="1405"/>
      <c r="F157" s="1405"/>
      <c r="G157" s="1405"/>
      <c r="H157" s="1405"/>
      <c r="I157" s="1405"/>
      <c r="J157" s="1490"/>
      <c r="L157" s="860"/>
      <c r="M157" s="860"/>
      <c r="N157" s="860"/>
      <c r="O157" s="130" t="s">
        <v>1244</v>
      </c>
      <c r="P157" s="130"/>
      <c r="Q157" s="126"/>
      <c r="R157" s="126"/>
      <c r="S157" s="130"/>
      <c r="T157" s="126"/>
      <c r="W157" s="1733"/>
      <c r="X157" s="1733"/>
      <c r="Y157" s="1733"/>
      <c r="Z157" s="871"/>
      <c r="AA157" s="1730"/>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873"/>
      <c r="BO157" s="873"/>
      <c r="BP157" s="874"/>
      <c r="BQ157" s="874"/>
      <c r="BR157" s="867"/>
    </row>
  </sheetData>
  <sheetProtection password="A60F" sheet="1" objects="1" scenarios="1"/>
  <mergeCells count="644">
    <mergeCell ref="J151:J152"/>
    <mergeCell ref="K151:K152"/>
    <mergeCell ref="L151:L152"/>
    <mergeCell ref="M151:M152"/>
    <mergeCell ref="N151:N152"/>
    <mergeCell ref="R151:R152"/>
    <mergeCell ref="J148:J150"/>
    <mergeCell ref="K148:K150"/>
    <mergeCell ref="L148:L150"/>
    <mergeCell ref="M148:M150"/>
    <mergeCell ref="N148:N150"/>
    <mergeCell ref="R148:R150"/>
    <mergeCell ref="J144:J146"/>
    <mergeCell ref="K144:K146"/>
    <mergeCell ref="L144:L146"/>
    <mergeCell ref="M144:M146"/>
    <mergeCell ref="N144:N146"/>
    <mergeCell ref="R144:R146"/>
    <mergeCell ref="J141:J143"/>
    <mergeCell ref="K141:K143"/>
    <mergeCell ref="L141:L143"/>
    <mergeCell ref="M141:M143"/>
    <mergeCell ref="N141:N143"/>
    <mergeCell ref="R141:R143"/>
    <mergeCell ref="K137:K138"/>
    <mergeCell ref="L137:L138"/>
    <mergeCell ref="M137:M138"/>
    <mergeCell ref="N137:N138"/>
    <mergeCell ref="R137:R138"/>
    <mergeCell ref="J139:J140"/>
    <mergeCell ref="K139:K140"/>
    <mergeCell ref="L139:L140"/>
    <mergeCell ref="M139:M140"/>
    <mergeCell ref="N139:N140"/>
    <mergeCell ref="BR132:BR152"/>
    <mergeCell ref="J134:J136"/>
    <mergeCell ref="K134:K136"/>
    <mergeCell ref="L134:L136"/>
    <mergeCell ref="M134:M136"/>
    <mergeCell ref="N134:N136"/>
    <mergeCell ref="R134:R136"/>
    <mergeCell ref="U134:U152"/>
    <mergeCell ref="V134:V135"/>
    <mergeCell ref="J137:J138"/>
    <mergeCell ref="BL132:BL152"/>
    <mergeCell ref="BM132:BM152"/>
    <mergeCell ref="BN132:BN152"/>
    <mergeCell ref="BO132:BO152"/>
    <mergeCell ref="BP132:BP152"/>
    <mergeCell ref="BQ132:BQ152"/>
    <mergeCell ref="BF132:BF152"/>
    <mergeCell ref="BG132:BG152"/>
    <mergeCell ref="BH132:BH152"/>
    <mergeCell ref="BI132:BI152"/>
    <mergeCell ref="BJ132:BJ152"/>
    <mergeCell ref="BK132:BK152"/>
    <mergeCell ref="AZ132:AZ152"/>
    <mergeCell ref="BA132:BA152"/>
    <mergeCell ref="BB132:BB152"/>
    <mergeCell ref="BC132:BC152"/>
    <mergeCell ref="BD132:BD152"/>
    <mergeCell ref="BE132:BE152"/>
    <mergeCell ref="AT132:AT152"/>
    <mergeCell ref="AU132:AU152"/>
    <mergeCell ref="AV132:AV152"/>
    <mergeCell ref="AW132:AW152"/>
    <mergeCell ref="AX132:AX152"/>
    <mergeCell ref="AY132:AY152"/>
    <mergeCell ref="AN132:AN152"/>
    <mergeCell ref="AO132:AO152"/>
    <mergeCell ref="AP132:AP152"/>
    <mergeCell ref="AQ132:AQ152"/>
    <mergeCell ref="AR132:AR152"/>
    <mergeCell ref="AS132:AS152"/>
    <mergeCell ref="AH132:AH152"/>
    <mergeCell ref="AI132:AI152"/>
    <mergeCell ref="AJ132:AJ152"/>
    <mergeCell ref="AK132:AK152"/>
    <mergeCell ref="AL132:AL152"/>
    <mergeCell ref="AM132:AM152"/>
    <mergeCell ref="AB132:AB152"/>
    <mergeCell ref="AC132:AC152"/>
    <mergeCell ref="AD132:AD152"/>
    <mergeCell ref="AE132:AE152"/>
    <mergeCell ref="AF132:AF152"/>
    <mergeCell ref="AG132:AG152"/>
    <mergeCell ref="Q132:Q152"/>
    <mergeCell ref="R132:R133"/>
    <mergeCell ref="S132:S152"/>
    <mergeCell ref="T132:T152"/>
    <mergeCell ref="U132:U133"/>
    <mergeCell ref="V132:V133"/>
    <mergeCell ref="R139:R140"/>
    <mergeCell ref="V141:V142"/>
    <mergeCell ref="V144:V145"/>
    <mergeCell ref="V148:V149"/>
    <mergeCell ref="BP120:BP131"/>
    <mergeCell ref="BQ120:BQ131"/>
    <mergeCell ref="BR120:BR131"/>
    <mergeCell ref="J132:J133"/>
    <mergeCell ref="K132:K133"/>
    <mergeCell ref="L132:L133"/>
    <mergeCell ref="M132:M133"/>
    <mergeCell ref="N132:N133"/>
    <mergeCell ref="O132:O152"/>
    <mergeCell ref="P132:P152"/>
    <mergeCell ref="BJ120:BJ131"/>
    <mergeCell ref="BK120:BK131"/>
    <mergeCell ref="BL120:BL131"/>
    <mergeCell ref="BM120:BM131"/>
    <mergeCell ref="BN120:BN131"/>
    <mergeCell ref="BO120:BO131"/>
    <mergeCell ref="BD120:BD131"/>
    <mergeCell ref="BE120:BE131"/>
    <mergeCell ref="BF120:BF131"/>
    <mergeCell ref="BG120:BG131"/>
    <mergeCell ref="BH120:BH131"/>
    <mergeCell ref="BI120:BI131"/>
    <mergeCell ref="AV120:AV131"/>
    <mergeCell ref="AX120:AX131"/>
    <mergeCell ref="AZ120:AZ131"/>
    <mergeCell ref="BA120:BA131"/>
    <mergeCell ref="BB120:BB131"/>
    <mergeCell ref="BC120:BC131"/>
    <mergeCell ref="AP120:AP131"/>
    <mergeCell ref="AQ120:AQ131"/>
    <mergeCell ref="AR120:AR131"/>
    <mergeCell ref="AS120:AS131"/>
    <mergeCell ref="AT120:AT131"/>
    <mergeCell ref="AU120:AU131"/>
    <mergeCell ref="AJ120:AJ131"/>
    <mergeCell ref="AK120:AK131"/>
    <mergeCell ref="AL120:AL131"/>
    <mergeCell ref="AM120:AM131"/>
    <mergeCell ref="AN120:AN131"/>
    <mergeCell ref="AO120:AO131"/>
    <mergeCell ref="AD120:AD131"/>
    <mergeCell ref="AE120:AE131"/>
    <mergeCell ref="AF120:AF131"/>
    <mergeCell ref="AG120:AG131"/>
    <mergeCell ref="AH120:AH131"/>
    <mergeCell ref="AI120:AI131"/>
    <mergeCell ref="R120:R131"/>
    <mergeCell ref="S120:S131"/>
    <mergeCell ref="T120:T131"/>
    <mergeCell ref="U120:U130"/>
    <mergeCell ref="AB120:AB131"/>
    <mergeCell ref="AC120:AC131"/>
    <mergeCell ref="V114:V115"/>
    <mergeCell ref="V116:V117"/>
    <mergeCell ref="J120:J131"/>
    <mergeCell ref="K120:K131"/>
    <mergeCell ref="L120:L131"/>
    <mergeCell ref="M120:M131"/>
    <mergeCell ref="N120:N131"/>
    <mergeCell ref="O120:O131"/>
    <mergeCell ref="P120:P131"/>
    <mergeCell ref="Q120:Q131"/>
    <mergeCell ref="P97:P119"/>
    <mergeCell ref="Q97:Q119"/>
    <mergeCell ref="R97:R119"/>
    <mergeCell ref="S97:S119"/>
    <mergeCell ref="T97:T119"/>
    <mergeCell ref="U97:U104"/>
    <mergeCell ref="U105:U107"/>
    <mergeCell ref="U108:U119"/>
    <mergeCell ref="BO97:BO119"/>
    <mergeCell ref="BP97:BP119"/>
    <mergeCell ref="BQ97:BQ119"/>
    <mergeCell ref="BR97:BR119"/>
    <mergeCell ref="V100:V101"/>
    <mergeCell ref="BM100:BM119"/>
    <mergeCell ref="V103:V104"/>
    <mergeCell ref="V108:V109"/>
    <mergeCell ref="V110:V111"/>
    <mergeCell ref="V112:V113"/>
    <mergeCell ref="BH97:BH119"/>
    <mergeCell ref="BI97:BI119"/>
    <mergeCell ref="BJ97:BJ119"/>
    <mergeCell ref="BK97:BK119"/>
    <mergeCell ref="BL97:BL119"/>
    <mergeCell ref="BN97:BN119"/>
    <mergeCell ref="BB97:BB119"/>
    <mergeCell ref="BC97:BC119"/>
    <mergeCell ref="BD97:BD119"/>
    <mergeCell ref="BE97:BE119"/>
    <mergeCell ref="BF97:BF119"/>
    <mergeCell ref="BG97:BG119"/>
    <mergeCell ref="AT97:AT119"/>
    <mergeCell ref="AU97:AU119"/>
    <mergeCell ref="AV97:AV119"/>
    <mergeCell ref="AX97:AX119"/>
    <mergeCell ref="AZ97:AZ119"/>
    <mergeCell ref="BA97:BA119"/>
    <mergeCell ref="AN97:AN119"/>
    <mergeCell ref="AO97:AO119"/>
    <mergeCell ref="AP97:AP119"/>
    <mergeCell ref="AQ97:AQ119"/>
    <mergeCell ref="AR97:AR119"/>
    <mergeCell ref="AS97:AS119"/>
    <mergeCell ref="AH97:AH119"/>
    <mergeCell ref="AI97:AI119"/>
    <mergeCell ref="AJ97:AJ119"/>
    <mergeCell ref="AK97:AK119"/>
    <mergeCell ref="AL97:AL119"/>
    <mergeCell ref="AM97:AM119"/>
    <mergeCell ref="AB97:AB119"/>
    <mergeCell ref="AC97:AC119"/>
    <mergeCell ref="AD97:AD119"/>
    <mergeCell ref="AE97:AE119"/>
    <mergeCell ref="AF97:AF119"/>
    <mergeCell ref="AG97:AG119"/>
    <mergeCell ref="J97:J119"/>
    <mergeCell ref="K97:K119"/>
    <mergeCell ref="L97:L119"/>
    <mergeCell ref="M97:M119"/>
    <mergeCell ref="N97:N119"/>
    <mergeCell ref="O97:O119"/>
    <mergeCell ref="BO94:BO96"/>
    <mergeCell ref="BP94:BP96"/>
    <mergeCell ref="BQ94:BQ96"/>
    <mergeCell ref="BB94:BB96"/>
    <mergeCell ref="AQ94:AQ96"/>
    <mergeCell ref="AR94:AR96"/>
    <mergeCell ref="AS94:AS96"/>
    <mergeCell ref="AT94:AT96"/>
    <mergeCell ref="AU94:AU96"/>
    <mergeCell ref="AV94:AV96"/>
    <mergeCell ref="AK94:AK96"/>
    <mergeCell ref="AL94:AL96"/>
    <mergeCell ref="AM94:AM96"/>
    <mergeCell ref="AN94:AN96"/>
    <mergeCell ref="AO94:AO96"/>
    <mergeCell ref="AP94:AP96"/>
    <mergeCell ref="AE94:AE96"/>
    <mergeCell ref="AF94:AF96"/>
    <mergeCell ref="BR94:BR96"/>
    <mergeCell ref="A97:A119"/>
    <mergeCell ref="B97:C119"/>
    <mergeCell ref="D97:D119"/>
    <mergeCell ref="E97:F119"/>
    <mergeCell ref="G97:G119"/>
    <mergeCell ref="H97:I119"/>
    <mergeCell ref="BI94:BI96"/>
    <mergeCell ref="BJ94:BJ96"/>
    <mergeCell ref="BK94:BK96"/>
    <mergeCell ref="BL94:BL96"/>
    <mergeCell ref="BM94:BM96"/>
    <mergeCell ref="BN94:BN96"/>
    <mergeCell ref="BC94:BC96"/>
    <mergeCell ref="BD94:BD96"/>
    <mergeCell ref="BE94:BE96"/>
    <mergeCell ref="BF94:BF96"/>
    <mergeCell ref="BG94:BG96"/>
    <mergeCell ref="BH94:BH96"/>
    <mergeCell ref="AW94:AW96"/>
    <mergeCell ref="AX94:AX96"/>
    <mergeCell ref="AY94:AY96"/>
    <mergeCell ref="AZ94:AZ96"/>
    <mergeCell ref="BA94:BA96"/>
    <mergeCell ref="AG94:AG96"/>
    <mergeCell ref="AH94:AH96"/>
    <mergeCell ref="AI94:AI96"/>
    <mergeCell ref="AJ94:AJ96"/>
    <mergeCell ref="S94:S96"/>
    <mergeCell ref="T94:T96"/>
    <mergeCell ref="U94:U96"/>
    <mergeCell ref="AB94:AB96"/>
    <mergeCell ref="AC94:AC96"/>
    <mergeCell ref="AD94:AD96"/>
    <mergeCell ref="M94:M96"/>
    <mergeCell ref="N94:N96"/>
    <mergeCell ref="O94:O96"/>
    <mergeCell ref="P94:P96"/>
    <mergeCell ref="Q94:Q96"/>
    <mergeCell ref="R94:R96"/>
    <mergeCell ref="A94:C96"/>
    <mergeCell ref="D94:F96"/>
    <mergeCell ref="G94:I96"/>
    <mergeCell ref="J94:J96"/>
    <mergeCell ref="K94:K96"/>
    <mergeCell ref="L94:L96"/>
    <mergeCell ref="BP84:BP93"/>
    <mergeCell ref="BQ84:BQ93"/>
    <mergeCell ref="BR84:BR93"/>
    <mergeCell ref="V86:V87"/>
    <mergeCell ref="V88:V89"/>
    <mergeCell ref="U90:U93"/>
    <mergeCell ref="V90:V91"/>
    <mergeCell ref="BJ84:BJ93"/>
    <mergeCell ref="BK84:BK93"/>
    <mergeCell ref="BL84:BL93"/>
    <mergeCell ref="BM84:BM93"/>
    <mergeCell ref="BN84:BN93"/>
    <mergeCell ref="BO84:BO93"/>
    <mergeCell ref="BD84:BD93"/>
    <mergeCell ref="BE84:BE93"/>
    <mergeCell ref="BF84:BF93"/>
    <mergeCell ref="BG84:BG93"/>
    <mergeCell ref="BH84:BH93"/>
    <mergeCell ref="BI84:BI93"/>
    <mergeCell ref="AX84:AX93"/>
    <mergeCell ref="AY84:AY93"/>
    <mergeCell ref="AZ84:AZ93"/>
    <mergeCell ref="BA84:BA93"/>
    <mergeCell ref="BB84:BB93"/>
    <mergeCell ref="BC84:BC93"/>
    <mergeCell ref="AR84:AR93"/>
    <mergeCell ref="AS84:AS93"/>
    <mergeCell ref="AT84:AT93"/>
    <mergeCell ref="AU84:AU93"/>
    <mergeCell ref="AV84:AV93"/>
    <mergeCell ref="AW84:AW93"/>
    <mergeCell ref="AL84:AL93"/>
    <mergeCell ref="AM84:AM93"/>
    <mergeCell ref="AN84:AN93"/>
    <mergeCell ref="AO84:AO93"/>
    <mergeCell ref="AP84:AP93"/>
    <mergeCell ref="AQ84:AQ93"/>
    <mergeCell ref="AF84:AF93"/>
    <mergeCell ref="AG84:AG93"/>
    <mergeCell ref="AH84:AH93"/>
    <mergeCell ref="AI84:AI93"/>
    <mergeCell ref="AJ84:AJ93"/>
    <mergeCell ref="AK84:AK93"/>
    <mergeCell ref="U84:U89"/>
    <mergeCell ref="V84:V85"/>
    <mergeCell ref="AB84:AB93"/>
    <mergeCell ref="AC84:AC93"/>
    <mergeCell ref="AD84:AD93"/>
    <mergeCell ref="AE84:AE93"/>
    <mergeCell ref="O84:O93"/>
    <mergeCell ref="P84:P93"/>
    <mergeCell ref="Q84:Q93"/>
    <mergeCell ref="R84:R93"/>
    <mergeCell ref="S84:S93"/>
    <mergeCell ref="T84:T93"/>
    <mergeCell ref="V80:V81"/>
    <mergeCell ref="V82:V83"/>
    <mergeCell ref="E84:F93"/>
    <mergeCell ref="G84:G93"/>
    <mergeCell ref="H84:I93"/>
    <mergeCell ref="J84:J93"/>
    <mergeCell ref="K84:K93"/>
    <mergeCell ref="L84:L93"/>
    <mergeCell ref="M84:M93"/>
    <mergeCell ref="N84:N93"/>
    <mergeCell ref="BR68:BR83"/>
    <mergeCell ref="V70:V71"/>
    <mergeCell ref="V72:V73"/>
    <mergeCell ref="J80:J83"/>
    <mergeCell ref="K80:K83"/>
    <mergeCell ref="L80:L83"/>
    <mergeCell ref="M80:M83"/>
    <mergeCell ref="N80:N83"/>
    <mergeCell ref="R80:R83"/>
    <mergeCell ref="U80:U83"/>
    <mergeCell ref="BL68:BL83"/>
    <mergeCell ref="BM68:BM83"/>
    <mergeCell ref="BN68:BN83"/>
    <mergeCell ref="BO68:BO83"/>
    <mergeCell ref="BP68:BP83"/>
    <mergeCell ref="BQ68:BQ83"/>
    <mergeCell ref="BF68:BF83"/>
    <mergeCell ref="BG68:BG83"/>
    <mergeCell ref="BH68:BH83"/>
    <mergeCell ref="BI68:BI83"/>
    <mergeCell ref="BJ68:BJ83"/>
    <mergeCell ref="BK68:BK83"/>
    <mergeCell ref="AZ68:AZ83"/>
    <mergeCell ref="BA68:BA83"/>
    <mergeCell ref="BB68:BB83"/>
    <mergeCell ref="BC68:BC83"/>
    <mergeCell ref="BD68:BD83"/>
    <mergeCell ref="BE68:BE83"/>
    <mergeCell ref="AT68:AT83"/>
    <mergeCell ref="AU68:AU83"/>
    <mergeCell ref="AV68:AV83"/>
    <mergeCell ref="AW68:AW83"/>
    <mergeCell ref="AX68:AX83"/>
    <mergeCell ref="AY68:AY83"/>
    <mergeCell ref="AN68:AN83"/>
    <mergeCell ref="AO68:AO83"/>
    <mergeCell ref="AP68:AP83"/>
    <mergeCell ref="AQ68:AQ83"/>
    <mergeCell ref="AR68:AR83"/>
    <mergeCell ref="AS68:AS83"/>
    <mergeCell ref="AH68:AH83"/>
    <mergeCell ref="AI68:AI83"/>
    <mergeCell ref="AJ68:AJ83"/>
    <mergeCell ref="AK68:AK83"/>
    <mergeCell ref="AL68:AL83"/>
    <mergeCell ref="AM68:AM83"/>
    <mergeCell ref="AB68:AB83"/>
    <mergeCell ref="AC68:AC83"/>
    <mergeCell ref="AD68:AD83"/>
    <mergeCell ref="AE68:AE83"/>
    <mergeCell ref="AF68:AF83"/>
    <mergeCell ref="AG68:AG83"/>
    <mergeCell ref="P68:P83"/>
    <mergeCell ref="Q68:Q83"/>
    <mergeCell ref="R68:R76"/>
    <mergeCell ref="S68:S83"/>
    <mergeCell ref="T68:T83"/>
    <mergeCell ref="U68:U76"/>
    <mergeCell ref="BR53:BR65"/>
    <mergeCell ref="U57:U63"/>
    <mergeCell ref="U64:U65"/>
    <mergeCell ref="F66:K66"/>
    <mergeCell ref="J68:J76"/>
    <mergeCell ref="K68:K76"/>
    <mergeCell ref="L68:L76"/>
    <mergeCell ref="M68:M76"/>
    <mergeCell ref="N68:N76"/>
    <mergeCell ref="O68:O83"/>
    <mergeCell ref="BL53:BL65"/>
    <mergeCell ref="BM53:BM65"/>
    <mergeCell ref="BN53:BN65"/>
    <mergeCell ref="BO53:BO65"/>
    <mergeCell ref="BP53:BP65"/>
    <mergeCell ref="BQ53:BQ65"/>
    <mergeCell ref="BF53:BF65"/>
    <mergeCell ref="BG53:BG65"/>
    <mergeCell ref="BH53:BH65"/>
    <mergeCell ref="BI53:BI65"/>
    <mergeCell ref="BJ53:BJ65"/>
    <mergeCell ref="BK53:BK65"/>
    <mergeCell ref="AZ53:AZ65"/>
    <mergeCell ref="BA53:BA65"/>
    <mergeCell ref="BB53:BB65"/>
    <mergeCell ref="BC53:BC65"/>
    <mergeCell ref="BD53:BD65"/>
    <mergeCell ref="BE53:BE65"/>
    <mergeCell ref="AT53:AT65"/>
    <mergeCell ref="AU53:AU65"/>
    <mergeCell ref="AV53:AV65"/>
    <mergeCell ref="AW53:AW65"/>
    <mergeCell ref="AX53:AX65"/>
    <mergeCell ref="AY53:AY65"/>
    <mergeCell ref="AN53:AN65"/>
    <mergeCell ref="AO53:AO65"/>
    <mergeCell ref="AP53:AP65"/>
    <mergeCell ref="AQ53:AQ65"/>
    <mergeCell ref="AR53:AR65"/>
    <mergeCell ref="AS53:AS65"/>
    <mergeCell ref="AH53:AH65"/>
    <mergeCell ref="AI53:AI65"/>
    <mergeCell ref="AJ53:AJ65"/>
    <mergeCell ref="AK53:AK65"/>
    <mergeCell ref="AL53:AL65"/>
    <mergeCell ref="AM53:AM65"/>
    <mergeCell ref="AB53:AB65"/>
    <mergeCell ref="AC53:AC65"/>
    <mergeCell ref="AD53:AD65"/>
    <mergeCell ref="AE53:AE65"/>
    <mergeCell ref="AF53:AF65"/>
    <mergeCell ref="AG53:AG65"/>
    <mergeCell ref="P53:P65"/>
    <mergeCell ref="Q53:Q65"/>
    <mergeCell ref="R53:R65"/>
    <mergeCell ref="S53:S65"/>
    <mergeCell ref="T53:T65"/>
    <mergeCell ref="U53:U56"/>
    <mergeCell ref="J53:J65"/>
    <mergeCell ref="K53:K65"/>
    <mergeCell ref="L53:L65"/>
    <mergeCell ref="M53:M65"/>
    <mergeCell ref="N53:N65"/>
    <mergeCell ref="O53:O65"/>
    <mergeCell ref="BQ35:BQ50"/>
    <mergeCell ref="BR35:BR50"/>
    <mergeCell ref="U45:U46"/>
    <mergeCell ref="U47:U50"/>
    <mergeCell ref="E51:K51"/>
    <mergeCell ref="H52:K52"/>
    <mergeCell ref="BK35:BK50"/>
    <mergeCell ref="BL35:BL50"/>
    <mergeCell ref="BM35:BM50"/>
    <mergeCell ref="BN35:BN50"/>
    <mergeCell ref="BO35:BO50"/>
    <mergeCell ref="BP35:BP50"/>
    <mergeCell ref="BE35:BE50"/>
    <mergeCell ref="BF35:BF50"/>
    <mergeCell ref="BG35:BG50"/>
    <mergeCell ref="BH35:BH50"/>
    <mergeCell ref="BI35:BI50"/>
    <mergeCell ref="BJ35:BJ50"/>
    <mergeCell ref="AY35:AY50"/>
    <mergeCell ref="AZ35:AZ50"/>
    <mergeCell ref="BA35:BA50"/>
    <mergeCell ref="BB35:BB50"/>
    <mergeCell ref="BC35:BC50"/>
    <mergeCell ref="BD35:BD50"/>
    <mergeCell ref="AS35:AS50"/>
    <mergeCell ref="AT35:AT50"/>
    <mergeCell ref="AU35:AU50"/>
    <mergeCell ref="AV35:AV50"/>
    <mergeCell ref="AW35:AW50"/>
    <mergeCell ref="AX35:AX50"/>
    <mergeCell ref="AM35:AM50"/>
    <mergeCell ref="AN35:AN50"/>
    <mergeCell ref="AO35:AO50"/>
    <mergeCell ref="AP35:AP50"/>
    <mergeCell ref="AQ35:AQ50"/>
    <mergeCell ref="AR35:AR50"/>
    <mergeCell ref="AG35:AG50"/>
    <mergeCell ref="AH35:AH50"/>
    <mergeCell ref="AI35:AI50"/>
    <mergeCell ref="AJ35:AJ50"/>
    <mergeCell ref="AK35:AK50"/>
    <mergeCell ref="AL35:AL50"/>
    <mergeCell ref="U35:U44"/>
    <mergeCell ref="AB35:AB50"/>
    <mergeCell ref="AC35:AC50"/>
    <mergeCell ref="AD35:AD50"/>
    <mergeCell ref="AE35:AE50"/>
    <mergeCell ref="AF35:AF50"/>
    <mergeCell ref="O35:O50"/>
    <mergeCell ref="P35:P50"/>
    <mergeCell ref="Q35:Q50"/>
    <mergeCell ref="R35:R50"/>
    <mergeCell ref="S35:S50"/>
    <mergeCell ref="T35:T50"/>
    <mergeCell ref="H34:K34"/>
    <mergeCell ref="J35:J50"/>
    <mergeCell ref="K35:K50"/>
    <mergeCell ref="L35:L50"/>
    <mergeCell ref="M35:M50"/>
    <mergeCell ref="N35:N50"/>
    <mergeCell ref="BM12:BM33"/>
    <mergeCell ref="BN12:BN33"/>
    <mergeCell ref="BO12:BO33"/>
    <mergeCell ref="BA12:BA33"/>
    <mergeCell ref="BB12:BB33"/>
    <mergeCell ref="BC12:BC33"/>
    <mergeCell ref="BD12:BD33"/>
    <mergeCell ref="BE12:BE33"/>
    <mergeCell ref="BF12:BF33"/>
    <mergeCell ref="AU12:AU33"/>
    <mergeCell ref="AV12:AV33"/>
    <mergeCell ref="AW12:AW33"/>
    <mergeCell ref="AX12:AX33"/>
    <mergeCell ref="AY12:AY33"/>
    <mergeCell ref="AZ12:AZ33"/>
    <mergeCell ref="AO12:AO33"/>
    <mergeCell ref="AP12:AP33"/>
    <mergeCell ref="AQ12:AQ33"/>
    <mergeCell ref="BP12:BP33"/>
    <mergeCell ref="BQ12:BQ33"/>
    <mergeCell ref="BR12:BR33"/>
    <mergeCell ref="BG12:BG33"/>
    <mergeCell ref="BH12:BH33"/>
    <mergeCell ref="BI12:BI33"/>
    <mergeCell ref="BJ12:BJ33"/>
    <mergeCell ref="BK12:BK33"/>
    <mergeCell ref="BL12:BL33"/>
    <mergeCell ref="AR12:AR33"/>
    <mergeCell ref="AS12:AS33"/>
    <mergeCell ref="AT12:AT33"/>
    <mergeCell ref="AI12:AI33"/>
    <mergeCell ref="AJ12:AJ33"/>
    <mergeCell ref="AK12:AK33"/>
    <mergeCell ref="AL12:AL33"/>
    <mergeCell ref="AM12:AM33"/>
    <mergeCell ref="AN12:AN33"/>
    <mergeCell ref="AC12:AC33"/>
    <mergeCell ref="AD12:AD33"/>
    <mergeCell ref="AE12:AE33"/>
    <mergeCell ref="AF12:AF33"/>
    <mergeCell ref="AG12:AG33"/>
    <mergeCell ref="AH12:AH33"/>
    <mergeCell ref="P12:P33"/>
    <mergeCell ref="Q12:Q33"/>
    <mergeCell ref="R12:R33"/>
    <mergeCell ref="S12:S33"/>
    <mergeCell ref="T12:T33"/>
    <mergeCell ref="AB12:AB33"/>
    <mergeCell ref="U13:U33"/>
    <mergeCell ref="J12:J33"/>
    <mergeCell ref="K12:K33"/>
    <mergeCell ref="L12:L33"/>
    <mergeCell ref="M12:M33"/>
    <mergeCell ref="N12:N33"/>
    <mergeCell ref="O12:O33"/>
    <mergeCell ref="BK7:BK8"/>
    <mergeCell ref="BL7:BL8"/>
    <mergeCell ref="BM7:BM8"/>
    <mergeCell ref="B9:K9"/>
    <mergeCell ref="E10:K10"/>
    <mergeCell ref="H11:K11"/>
    <mergeCell ref="AZ7:BA7"/>
    <mergeCell ref="BB7:BC7"/>
    <mergeCell ref="BD7:BE7"/>
    <mergeCell ref="BH7:BH8"/>
    <mergeCell ref="BI7:BI8"/>
    <mergeCell ref="BJ7:BJ8"/>
    <mergeCell ref="AN7:AO7"/>
    <mergeCell ref="AP7:AQ7"/>
    <mergeCell ref="AR7:AS7"/>
    <mergeCell ref="AT7:AU7"/>
    <mergeCell ref="AV7:AW7"/>
    <mergeCell ref="AX7:AY7"/>
    <mergeCell ref="BN6:BO7"/>
    <mergeCell ref="BP6:BQ7"/>
    <mergeCell ref="BR6:BR7"/>
    <mergeCell ref="W7:W8"/>
    <mergeCell ref="X7:X8"/>
    <mergeCell ref="Y7:Y8"/>
    <mergeCell ref="AB7:AC7"/>
    <mergeCell ref="AD7:AE7"/>
    <mergeCell ref="Z6:Z8"/>
    <mergeCell ref="AA6:AA8"/>
    <mergeCell ref="AB6:AE6"/>
    <mergeCell ref="AF6:AM6"/>
    <mergeCell ref="AN6:AY6"/>
    <mergeCell ref="AZ6:BE6"/>
    <mergeCell ref="AF7:AG7"/>
    <mergeCell ref="AH7:AI7"/>
    <mergeCell ref="AJ7:AK7"/>
    <mergeCell ref="AL7:AM7"/>
    <mergeCell ref="A1:BP4"/>
    <mergeCell ref="A5:M5"/>
    <mergeCell ref="O5:BR5"/>
    <mergeCell ref="A6:A8"/>
    <mergeCell ref="B6:C8"/>
    <mergeCell ref="D6:D8"/>
    <mergeCell ref="E6:F8"/>
    <mergeCell ref="G6:G8"/>
    <mergeCell ref="H6:I8"/>
    <mergeCell ref="J6:J8"/>
    <mergeCell ref="R6:R8"/>
    <mergeCell ref="S6:S8"/>
    <mergeCell ref="T6:T8"/>
    <mergeCell ref="U6:U8"/>
    <mergeCell ref="V6:V8"/>
    <mergeCell ref="W6:Y6"/>
    <mergeCell ref="K6:K8"/>
    <mergeCell ref="L6:L8"/>
    <mergeCell ref="M6:N7"/>
    <mergeCell ref="O6:O8"/>
    <mergeCell ref="P6:P8"/>
    <mergeCell ref="Q6:Q8"/>
    <mergeCell ref="BF6:BG7"/>
    <mergeCell ref="BH6:BM6"/>
  </mergeCells>
  <pageMargins left="1.1023622047244095" right="0.11811023622047245" top="0.35433070866141736" bottom="0.35433070866141736" header="0.31496062992125984" footer="0.31496062992125984"/>
  <pageSetup paperSize="5"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T30"/>
  <sheetViews>
    <sheetView showGridLines="0" zoomScale="60" zoomScaleNormal="60" workbookViewId="0">
      <selection sqref="A1:BN4"/>
    </sheetView>
  </sheetViews>
  <sheetFormatPr baseColWidth="10" defaultColWidth="11.42578125" defaultRowHeight="15.75" x14ac:dyDescent="0.25"/>
  <cols>
    <col min="1" max="1" width="15.7109375" style="865" customWidth="1"/>
    <col min="2" max="2" width="16.7109375" style="4" customWidth="1"/>
    <col min="3" max="3" width="10.28515625" style="4" customWidth="1"/>
    <col min="4" max="4" width="12.42578125" style="4" customWidth="1"/>
    <col min="5" max="5" width="11" style="4" customWidth="1"/>
    <col min="6" max="6" width="17.140625" style="4" customWidth="1"/>
    <col min="7" max="7" width="12.42578125" style="4" customWidth="1"/>
    <col min="8" max="8" width="16.140625" style="4" customWidth="1"/>
    <col min="9" max="9" width="11.7109375" style="4" customWidth="1"/>
    <col min="10" max="10" width="14.5703125" style="4" customWidth="1"/>
    <col min="11" max="11" width="50.5703125" style="872" customWidth="1"/>
    <col min="12" max="12" width="28.7109375" style="860" customWidth="1"/>
    <col min="13" max="13" width="17.28515625" style="875" customWidth="1"/>
    <col min="14" max="14" width="16.140625" style="875" customWidth="1"/>
    <col min="15" max="15" width="36.7109375" style="860" customWidth="1"/>
    <col min="16" max="16" width="24.5703125" style="860" customWidth="1"/>
    <col min="17" max="17" width="31.28515625" style="872" customWidth="1"/>
    <col min="18" max="18" width="17.85546875" style="876" customWidth="1"/>
    <col min="19" max="19" width="27.5703125" style="877" bestFit="1" customWidth="1"/>
    <col min="20" max="20" width="37.28515625" style="872" customWidth="1"/>
    <col min="21" max="21" width="48.42578125" style="872" customWidth="1"/>
    <col min="22" max="22" width="39.5703125" style="872" customWidth="1"/>
    <col min="23" max="23" width="30.7109375" style="878" customWidth="1"/>
    <col min="24" max="24" width="28.85546875" style="878" customWidth="1"/>
    <col min="25" max="25" width="29" style="878" customWidth="1"/>
    <col min="26" max="26" width="18.5703125" style="871" customWidth="1"/>
    <col min="27" max="27" width="19.85546875" style="872" customWidth="1"/>
    <col min="28" max="29" width="10.42578125" style="4" customWidth="1"/>
    <col min="30" max="31" width="10.5703125" style="4" customWidth="1"/>
    <col min="32" max="33" width="11.85546875" style="4" customWidth="1"/>
    <col min="34" max="35" width="10.140625" style="4" customWidth="1"/>
    <col min="36" max="37" width="10.5703125" style="4" customWidth="1"/>
    <col min="38" max="39" width="9.5703125" style="4" customWidth="1"/>
    <col min="40" max="41" width="9.28515625" style="4" customWidth="1"/>
    <col min="42" max="43" width="8.85546875" style="4" customWidth="1"/>
    <col min="44" max="49" width="8" style="4" customWidth="1"/>
    <col min="50" max="51" width="8.7109375" style="4" customWidth="1"/>
    <col min="52" max="53" width="9.85546875" style="4" customWidth="1"/>
    <col min="54" max="55" width="10.5703125" style="4" customWidth="1"/>
    <col min="56" max="57" width="9.85546875" style="4" customWidth="1"/>
    <col min="58" max="59" width="13.140625" style="4" customWidth="1"/>
    <col min="60" max="60" width="15.7109375" style="4" customWidth="1"/>
    <col min="61" max="61" width="27.28515625" style="4" customWidth="1"/>
    <col min="62" max="62" width="27" style="4" customWidth="1"/>
    <col min="63" max="63" width="15.28515625" style="4" customWidth="1"/>
    <col min="64" max="64" width="28.140625" style="4" customWidth="1"/>
    <col min="65" max="65" width="27.7109375" style="4" customWidth="1"/>
    <col min="66" max="66" width="25.85546875" style="873" customWidth="1"/>
    <col min="67" max="67" width="24.28515625" style="873" customWidth="1"/>
    <col min="68" max="68" width="23" style="874" customWidth="1"/>
    <col min="69" max="69" width="27" style="874" customWidth="1"/>
    <col min="70" max="70" width="27.42578125" style="867" customWidth="1"/>
    <col min="71" max="280" width="11.42578125" style="4"/>
    <col min="283" max="283" width="13" bestFit="1" customWidth="1"/>
    <col min="284" max="284" width="6.85546875" customWidth="1"/>
    <col min="285" max="285" width="14.28515625" customWidth="1"/>
    <col min="286" max="286" width="14" customWidth="1"/>
    <col min="287" max="287" width="17.85546875" customWidth="1"/>
    <col min="288" max="288" width="3.5703125" customWidth="1"/>
    <col min="289" max="289" width="13.28515625" customWidth="1"/>
    <col min="290" max="290" width="5.85546875" customWidth="1"/>
    <col min="291" max="291" width="23.28515625" customWidth="1"/>
    <col min="292" max="292" width="17.140625" customWidth="1"/>
    <col min="293" max="293" width="50.5703125" customWidth="1"/>
    <col min="294" max="294" width="28.7109375" customWidth="1"/>
    <col min="295" max="295" width="25.140625" customWidth="1"/>
    <col min="296" max="296" width="36.7109375" customWidth="1"/>
    <col min="297" max="298" width="24.5703125" customWidth="1"/>
    <col min="299" max="299" width="17.85546875" customWidth="1"/>
    <col min="300" max="300" width="27.5703125" bestFit="1" customWidth="1"/>
    <col min="301" max="301" width="37.28515625" customWidth="1"/>
    <col min="302" max="302" width="48.42578125" customWidth="1"/>
    <col min="303" max="303" width="32" customWidth="1"/>
    <col min="304" max="304" width="32.7109375" customWidth="1"/>
    <col min="305" max="305" width="18.5703125" customWidth="1"/>
    <col min="306" max="306" width="16.7109375" customWidth="1"/>
    <col min="307" max="307" width="10.42578125" customWidth="1"/>
    <col min="308" max="308" width="10.5703125" customWidth="1"/>
    <col min="309" max="309" width="9.28515625" customWidth="1"/>
    <col min="310" max="310" width="10.140625" customWidth="1"/>
    <col min="311" max="311" width="8.42578125" customWidth="1"/>
    <col min="312" max="312" width="9.5703125" customWidth="1"/>
    <col min="313" max="313" width="9.28515625" customWidth="1"/>
    <col min="314" max="314" width="8.85546875" customWidth="1"/>
    <col min="315" max="317" width="8" customWidth="1"/>
    <col min="318" max="318" width="8.7109375" customWidth="1"/>
    <col min="319" max="319" width="8.140625" customWidth="1"/>
    <col min="320" max="320" width="10.5703125" customWidth="1"/>
    <col min="321" max="321" width="9.85546875" customWidth="1"/>
    <col min="322" max="322" width="13.140625" customWidth="1"/>
    <col min="323" max="323" width="25.42578125" customWidth="1"/>
    <col min="324" max="324" width="30.85546875" customWidth="1"/>
    <col min="325" max="325" width="27.42578125" customWidth="1"/>
    <col min="539" max="539" width="13" bestFit="1" customWidth="1"/>
    <col min="540" max="540" width="6.85546875" customWidth="1"/>
    <col min="541" max="541" width="14.28515625" customWidth="1"/>
    <col min="542" max="542" width="14" customWidth="1"/>
    <col min="543" max="543" width="17.85546875" customWidth="1"/>
    <col min="544" max="544" width="3.5703125" customWidth="1"/>
    <col min="545" max="545" width="13.28515625" customWidth="1"/>
    <col min="546" max="546" width="5.85546875" customWidth="1"/>
    <col min="547" max="547" width="23.28515625" customWidth="1"/>
    <col min="548" max="548" width="17.140625" customWidth="1"/>
    <col min="549" max="549" width="50.5703125" customWidth="1"/>
    <col min="550" max="550" width="28.7109375" customWidth="1"/>
    <col min="551" max="551" width="25.140625" customWidth="1"/>
    <col min="552" max="552" width="36.7109375" customWidth="1"/>
    <col min="553" max="554" width="24.5703125" customWidth="1"/>
    <col min="555" max="555" width="17.85546875" customWidth="1"/>
    <col min="556" max="556" width="27.5703125" bestFit="1" customWidth="1"/>
    <col min="557" max="557" width="37.28515625" customWidth="1"/>
    <col min="558" max="558" width="48.42578125" customWidth="1"/>
    <col min="559" max="559" width="32" customWidth="1"/>
    <col min="560" max="560" width="32.7109375" customWidth="1"/>
    <col min="561" max="561" width="18.5703125" customWidth="1"/>
    <col min="562" max="562" width="16.7109375" customWidth="1"/>
    <col min="563" max="563" width="10.42578125" customWidth="1"/>
    <col min="564" max="564" width="10.5703125" customWidth="1"/>
    <col min="565" max="565" width="9.28515625" customWidth="1"/>
    <col min="566" max="566" width="10.140625" customWidth="1"/>
    <col min="567" max="567" width="8.42578125" customWidth="1"/>
    <col min="568" max="568" width="9.5703125" customWidth="1"/>
    <col min="569" max="569" width="9.28515625" customWidth="1"/>
    <col min="570" max="570" width="8.85546875" customWidth="1"/>
    <col min="571" max="573" width="8" customWidth="1"/>
    <col min="574" max="574" width="8.7109375" customWidth="1"/>
    <col min="575" max="575" width="8.140625" customWidth="1"/>
    <col min="576" max="576" width="10.5703125" customWidth="1"/>
    <col min="577" max="577" width="9.85546875" customWidth="1"/>
    <col min="578" max="578" width="13.140625" customWidth="1"/>
    <col min="579" max="579" width="25.42578125" customWidth="1"/>
    <col min="580" max="580" width="30.85546875" customWidth="1"/>
    <col min="581" max="581" width="27.42578125" customWidth="1"/>
    <col min="795" max="795" width="13" bestFit="1" customWidth="1"/>
    <col min="796" max="796" width="6.85546875" customWidth="1"/>
    <col min="797" max="797" width="14.28515625" customWidth="1"/>
    <col min="798" max="798" width="14" customWidth="1"/>
    <col min="799" max="799" width="17.85546875" customWidth="1"/>
    <col min="800" max="800" width="3.5703125" customWidth="1"/>
    <col min="801" max="801" width="13.28515625" customWidth="1"/>
    <col min="802" max="802" width="5.85546875" customWidth="1"/>
    <col min="803" max="803" width="23.28515625" customWidth="1"/>
    <col min="804" max="804" width="17.140625" customWidth="1"/>
    <col min="805" max="805" width="50.5703125" customWidth="1"/>
    <col min="806" max="806" width="28.7109375" customWidth="1"/>
    <col min="807" max="807" width="25.140625" customWidth="1"/>
    <col min="808" max="808" width="36.7109375" customWidth="1"/>
    <col min="809" max="810" width="24.5703125" customWidth="1"/>
    <col min="811" max="811" width="17.85546875" customWidth="1"/>
    <col min="812" max="812" width="27.5703125" bestFit="1" customWidth="1"/>
    <col min="813" max="813" width="37.28515625" customWidth="1"/>
    <col min="814" max="814" width="48.42578125" customWidth="1"/>
    <col min="815" max="815" width="32" customWidth="1"/>
    <col min="816" max="816" width="32.7109375" customWidth="1"/>
    <col min="817" max="817" width="18.5703125" customWidth="1"/>
    <col min="818" max="818" width="16.7109375" customWidth="1"/>
    <col min="819" max="819" width="10.42578125" customWidth="1"/>
    <col min="820" max="820" width="10.5703125" customWidth="1"/>
    <col min="821" max="821" width="9.28515625" customWidth="1"/>
    <col min="822" max="822" width="10.140625" customWidth="1"/>
    <col min="823" max="823" width="8.42578125" customWidth="1"/>
    <col min="824" max="824" width="9.5703125" customWidth="1"/>
    <col min="825" max="825" width="9.28515625" customWidth="1"/>
    <col min="826" max="826" width="8.85546875" customWidth="1"/>
    <col min="827" max="829" width="8" customWidth="1"/>
    <col min="830" max="830" width="8.7109375" customWidth="1"/>
    <col min="831" max="831" width="8.140625" customWidth="1"/>
    <col min="832" max="832" width="10.5703125" customWidth="1"/>
    <col min="833" max="833" width="9.85546875" customWidth="1"/>
    <col min="834" max="834" width="13.140625" customWidth="1"/>
    <col min="835" max="835" width="25.42578125" customWidth="1"/>
    <col min="836" max="836" width="30.85546875" customWidth="1"/>
    <col min="837" max="837" width="27.42578125" customWidth="1"/>
    <col min="1051" max="1051" width="13" bestFit="1" customWidth="1"/>
    <col min="1052" max="1052" width="6.85546875" customWidth="1"/>
    <col min="1053" max="1053" width="14.28515625" customWidth="1"/>
    <col min="1054" max="1054" width="14" customWidth="1"/>
    <col min="1055" max="1055" width="17.85546875" customWidth="1"/>
    <col min="1056" max="1056" width="3.5703125" customWidth="1"/>
    <col min="1057" max="1057" width="13.28515625" customWidth="1"/>
    <col min="1058" max="1058" width="5.85546875" customWidth="1"/>
    <col min="1059" max="1059" width="23.28515625" customWidth="1"/>
    <col min="1060" max="1060" width="17.140625" customWidth="1"/>
    <col min="1061" max="1061" width="50.5703125" customWidth="1"/>
    <col min="1062" max="1062" width="28.7109375" customWidth="1"/>
    <col min="1063" max="1063" width="25.140625" customWidth="1"/>
    <col min="1064" max="1064" width="36.7109375" customWidth="1"/>
    <col min="1065" max="1066" width="24.5703125" customWidth="1"/>
    <col min="1067" max="1067" width="17.85546875" customWidth="1"/>
    <col min="1068" max="1068" width="27.5703125" bestFit="1" customWidth="1"/>
    <col min="1069" max="1069" width="37.28515625" customWidth="1"/>
    <col min="1070" max="1070" width="48.42578125" customWidth="1"/>
    <col min="1071" max="1071" width="32" customWidth="1"/>
    <col min="1072" max="1072" width="32.7109375" customWidth="1"/>
    <col min="1073" max="1073" width="18.5703125" customWidth="1"/>
    <col min="1074" max="1074" width="16.7109375" customWidth="1"/>
    <col min="1075" max="1075" width="10.42578125" customWidth="1"/>
    <col min="1076" max="1076" width="10.5703125" customWidth="1"/>
    <col min="1077" max="1077" width="9.28515625" customWidth="1"/>
    <col min="1078" max="1078" width="10.140625" customWidth="1"/>
    <col min="1079" max="1079" width="8.42578125" customWidth="1"/>
    <col min="1080" max="1080" width="9.5703125" customWidth="1"/>
    <col min="1081" max="1081" width="9.28515625" customWidth="1"/>
    <col min="1082" max="1082" width="8.85546875" customWidth="1"/>
    <col min="1083" max="1085" width="8" customWidth="1"/>
    <col min="1086" max="1086" width="8.7109375" customWidth="1"/>
    <col min="1087" max="1087" width="8.140625" customWidth="1"/>
    <col min="1088" max="1088" width="10.5703125" customWidth="1"/>
    <col min="1089" max="1089" width="9.85546875" customWidth="1"/>
    <col min="1090" max="1090" width="13.140625" customWidth="1"/>
    <col min="1091" max="1091" width="25.42578125" customWidth="1"/>
    <col min="1092" max="1092" width="30.85546875" customWidth="1"/>
    <col min="1093" max="1093" width="27.42578125" customWidth="1"/>
    <col min="1307" max="1307" width="13" bestFit="1" customWidth="1"/>
    <col min="1308" max="1308" width="6.85546875" customWidth="1"/>
    <col min="1309" max="1309" width="14.28515625" customWidth="1"/>
    <col min="1310" max="1310" width="14" customWidth="1"/>
    <col min="1311" max="1311" width="17.85546875" customWidth="1"/>
    <col min="1312" max="1312" width="3.5703125" customWidth="1"/>
    <col min="1313" max="1313" width="13.28515625" customWidth="1"/>
    <col min="1314" max="1314" width="5.85546875" customWidth="1"/>
    <col min="1315" max="1315" width="23.28515625" customWidth="1"/>
    <col min="1316" max="1316" width="17.140625" customWidth="1"/>
    <col min="1317" max="1317" width="50.5703125" customWidth="1"/>
    <col min="1318" max="1318" width="28.7109375" customWidth="1"/>
    <col min="1319" max="1319" width="25.140625" customWidth="1"/>
    <col min="1320" max="1320" width="36.7109375" customWidth="1"/>
    <col min="1321" max="1322" width="24.5703125" customWidth="1"/>
    <col min="1323" max="1323" width="17.85546875" customWidth="1"/>
    <col min="1324" max="1324" width="27.5703125" bestFit="1" customWidth="1"/>
    <col min="1325" max="1325" width="37.28515625" customWidth="1"/>
    <col min="1326" max="1326" width="48.42578125" customWidth="1"/>
    <col min="1327" max="1327" width="32" customWidth="1"/>
    <col min="1328" max="1328" width="32.7109375" customWidth="1"/>
    <col min="1329" max="1329" width="18.5703125" customWidth="1"/>
    <col min="1330" max="1330" width="16.7109375" customWidth="1"/>
    <col min="1331" max="1331" width="10.42578125" customWidth="1"/>
    <col min="1332" max="1332" width="10.5703125" customWidth="1"/>
    <col min="1333" max="1333" width="9.28515625" customWidth="1"/>
    <col min="1334" max="1334" width="10.140625" customWidth="1"/>
    <col min="1335" max="1335" width="8.42578125" customWidth="1"/>
    <col min="1336" max="1336" width="9.5703125" customWidth="1"/>
    <col min="1337" max="1337" width="9.28515625" customWidth="1"/>
    <col min="1338" max="1338" width="8.85546875" customWidth="1"/>
    <col min="1339" max="1341" width="8" customWidth="1"/>
    <col min="1342" max="1342" width="8.7109375" customWidth="1"/>
    <col min="1343" max="1343" width="8.140625" customWidth="1"/>
    <col min="1344" max="1344" width="10.5703125" customWidth="1"/>
    <col min="1345" max="1345" width="9.85546875" customWidth="1"/>
    <col min="1346" max="1346" width="13.140625" customWidth="1"/>
    <col min="1347" max="1347" width="25.42578125" customWidth="1"/>
    <col min="1348" max="1348" width="30.85546875" customWidth="1"/>
    <col min="1349" max="1349" width="27.42578125" customWidth="1"/>
    <col min="1563" max="1563" width="13" bestFit="1" customWidth="1"/>
    <col min="1564" max="1564" width="6.85546875" customWidth="1"/>
    <col min="1565" max="1565" width="14.28515625" customWidth="1"/>
    <col min="1566" max="1566" width="14" customWidth="1"/>
    <col min="1567" max="1567" width="17.85546875" customWidth="1"/>
    <col min="1568" max="1568" width="3.5703125" customWidth="1"/>
    <col min="1569" max="1569" width="13.28515625" customWidth="1"/>
    <col min="1570" max="1570" width="5.85546875" customWidth="1"/>
    <col min="1571" max="1571" width="23.28515625" customWidth="1"/>
    <col min="1572" max="1572" width="17.140625" customWidth="1"/>
    <col min="1573" max="1573" width="50.5703125" customWidth="1"/>
    <col min="1574" max="1574" width="28.7109375" customWidth="1"/>
    <col min="1575" max="1575" width="25.140625" customWidth="1"/>
    <col min="1576" max="1576" width="36.7109375" customWidth="1"/>
    <col min="1577" max="1578" width="24.5703125" customWidth="1"/>
    <col min="1579" max="1579" width="17.85546875" customWidth="1"/>
    <col min="1580" max="1580" width="27.5703125" bestFit="1" customWidth="1"/>
    <col min="1581" max="1581" width="37.28515625" customWidth="1"/>
    <col min="1582" max="1582" width="48.42578125" customWidth="1"/>
    <col min="1583" max="1583" width="32" customWidth="1"/>
    <col min="1584" max="1584" width="32.7109375" customWidth="1"/>
    <col min="1585" max="1585" width="18.5703125" customWidth="1"/>
    <col min="1586" max="1586" width="16.7109375" customWidth="1"/>
    <col min="1587" max="1587" width="10.42578125" customWidth="1"/>
    <col min="1588" max="1588" width="10.5703125" customWidth="1"/>
    <col min="1589" max="1589" width="9.28515625" customWidth="1"/>
    <col min="1590" max="1590" width="10.140625" customWidth="1"/>
    <col min="1591" max="1591" width="8.42578125" customWidth="1"/>
    <col min="1592" max="1592" width="9.5703125" customWidth="1"/>
    <col min="1593" max="1593" width="9.28515625" customWidth="1"/>
    <col min="1594" max="1594" width="8.85546875" customWidth="1"/>
    <col min="1595" max="1597" width="8" customWidth="1"/>
    <col min="1598" max="1598" width="8.7109375" customWidth="1"/>
    <col min="1599" max="1599" width="8.140625" customWidth="1"/>
    <col min="1600" max="1600" width="10.5703125" customWidth="1"/>
    <col min="1601" max="1601" width="9.85546875" customWidth="1"/>
    <col min="1602" max="1602" width="13.140625" customWidth="1"/>
    <col min="1603" max="1603" width="25.42578125" customWidth="1"/>
    <col min="1604" max="1604" width="30.85546875" customWidth="1"/>
    <col min="1605" max="1605" width="27.42578125" customWidth="1"/>
    <col min="1819" max="1819" width="13" bestFit="1" customWidth="1"/>
    <col min="1820" max="1820" width="6.85546875" customWidth="1"/>
    <col min="1821" max="1821" width="14.28515625" customWidth="1"/>
    <col min="1822" max="1822" width="14" customWidth="1"/>
    <col min="1823" max="1823" width="17.85546875" customWidth="1"/>
    <col min="1824" max="1824" width="3.5703125" customWidth="1"/>
    <col min="1825" max="1825" width="13.28515625" customWidth="1"/>
    <col min="1826" max="1826" width="5.85546875" customWidth="1"/>
    <col min="1827" max="1827" width="23.28515625" customWidth="1"/>
    <col min="1828" max="1828" width="17.140625" customWidth="1"/>
    <col min="1829" max="1829" width="50.5703125" customWidth="1"/>
    <col min="1830" max="1830" width="28.7109375" customWidth="1"/>
    <col min="1831" max="1831" width="25.140625" customWidth="1"/>
    <col min="1832" max="1832" width="36.7109375" customWidth="1"/>
    <col min="1833" max="1834" width="24.5703125" customWidth="1"/>
    <col min="1835" max="1835" width="17.85546875" customWidth="1"/>
    <col min="1836" max="1836" width="27.5703125" bestFit="1" customWidth="1"/>
    <col min="1837" max="1837" width="37.28515625" customWidth="1"/>
    <col min="1838" max="1838" width="48.42578125" customWidth="1"/>
    <col min="1839" max="1839" width="32" customWidth="1"/>
    <col min="1840" max="1840" width="32.7109375" customWidth="1"/>
    <col min="1841" max="1841" width="18.5703125" customWidth="1"/>
    <col min="1842" max="1842" width="16.7109375" customWidth="1"/>
    <col min="1843" max="1843" width="10.42578125" customWidth="1"/>
    <col min="1844" max="1844" width="10.5703125" customWidth="1"/>
    <col min="1845" max="1845" width="9.28515625" customWidth="1"/>
    <col min="1846" max="1846" width="10.140625" customWidth="1"/>
    <col min="1847" max="1847" width="8.42578125" customWidth="1"/>
    <col min="1848" max="1848" width="9.5703125" customWidth="1"/>
    <col min="1849" max="1849" width="9.28515625" customWidth="1"/>
    <col min="1850" max="1850" width="8.85546875" customWidth="1"/>
    <col min="1851" max="1853" width="8" customWidth="1"/>
    <col min="1854" max="1854" width="8.7109375" customWidth="1"/>
    <col min="1855" max="1855" width="8.140625" customWidth="1"/>
    <col min="1856" max="1856" width="10.5703125" customWidth="1"/>
    <col min="1857" max="1857" width="9.85546875" customWidth="1"/>
    <col min="1858" max="1858" width="13.140625" customWidth="1"/>
    <col min="1859" max="1859" width="25.42578125" customWidth="1"/>
    <col min="1860" max="1860" width="30.85546875" customWidth="1"/>
    <col min="1861" max="1861" width="27.42578125" customWidth="1"/>
    <col min="2075" max="2075" width="13" bestFit="1" customWidth="1"/>
    <col min="2076" max="2076" width="6.85546875" customWidth="1"/>
    <col min="2077" max="2077" width="14.28515625" customWidth="1"/>
    <col min="2078" max="2078" width="14" customWidth="1"/>
    <col min="2079" max="2079" width="17.85546875" customWidth="1"/>
    <col min="2080" max="2080" width="3.5703125" customWidth="1"/>
    <col min="2081" max="2081" width="13.28515625" customWidth="1"/>
    <col min="2082" max="2082" width="5.85546875" customWidth="1"/>
    <col min="2083" max="2083" width="23.28515625" customWidth="1"/>
    <col min="2084" max="2084" width="17.140625" customWidth="1"/>
    <col min="2085" max="2085" width="50.5703125" customWidth="1"/>
    <col min="2086" max="2086" width="28.7109375" customWidth="1"/>
    <col min="2087" max="2087" width="25.140625" customWidth="1"/>
    <col min="2088" max="2088" width="36.7109375" customWidth="1"/>
    <col min="2089" max="2090" width="24.5703125" customWidth="1"/>
    <col min="2091" max="2091" width="17.85546875" customWidth="1"/>
    <col min="2092" max="2092" width="27.5703125" bestFit="1" customWidth="1"/>
    <col min="2093" max="2093" width="37.28515625" customWidth="1"/>
    <col min="2094" max="2094" width="48.42578125" customWidth="1"/>
    <col min="2095" max="2095" width="32" customWidth="1"/>
    <col min="2096" max="2096" width="32.7109375" customWidth="1"/>
    <col min="2097" max="2097" width="18.5703125" customWidth="1"/>
    <col min="2098" max="2098" width="16.7109375" customWidth="1"/>
    <col min="2099" max="2099" width="10.42578125" customWidth="1"/>
    <col min="2100" max="2100" width="10.5703125" customWidth="1"/>
    <col min="2101" max="2101" width="9.28515625" customWidth="1"/>
    <col min="2102" max="2102" width="10.140625" customWidth="1"/>
    <col min="2103" max="2103" width="8.42578125" customWidth="1"/>
    <col min="2104" max="2104" width="9.5703125" customWidth="1"/>
    <col min="2105" max="2105" width="9.28515625" customWidth="1"/>
    <col min="2106" max="2106" width="8.85546875" customWidth="1"/>
    <col min="2107" max="2109" width="8" customWidth="1"/>
    <col min="2110" max="2110" width="8.7109375" customWidth="1"/>
    <col min="2111" max="2111" width="8.140625" customWidth="1"/>
    <col min="2112" max="2112" width="10.5703125" customWidth="1"/>
    <col min="2113" max="2113" width="9.85546875" customWidth="1"/>
    <col min="2114" max="2114" width="13.140625" customWidth="1"/>
    <col min="2115" max="2115" width="25.42578125" customWidth="1"/>
    <col min="2116" max="2116" width="30.85546875" customWidth="1"/>
    <col min="2117" max="2117" width="27.42578125" customWidth="1"/>
    <col min="2331" max="2331" width="13" bestFit="1" customWidth="1"/>
    <col min="2332" max="2332" width="6.85546875" customWidth="1"/>
    <col min="2333" max="2333" width="14.28515625" customWidth="1"/>
    <col min="2334" max="2334" width="14" customWidth="1"/>
    <col min="2335" max="2335" width="17.85546875" customWidth="1"/>
    <col min="2336" max="2336" width="3.5703125" customWidth="1"/>
    <col min="2337" max="2337" width="13.28515625" customWidth="1"/>
    <col min="2338" max="2338" width="5.85546875" customWidth="1"/>
    <col min="2339" max="2339" width="23.28515625" customWidth="1"/>
    <col min="2340" max="2340" width="17.140625" customWidth="1"/>
    <col min="2341" max="2341" width="50.5703125" customWidth="1"/>
    <col min="2342" max="2342" width="28.7109375" customWidth="1"/>
    <col min="2343" max="2343" width="25.140625" customWidth="1"/>
    <col min="2344" max="2344" width="36.7109375" customWidth="1"/>
    <col min="2345" max="2346" width="24.5703125" customWidth="1"/>
    <col min="2347" max="2347" width="17.85546875" customWidth="1"/>
    <col min="2348" max="2348" width="27.5703125" bestFit="1" customWidth="1"/>
    <col min="2349" max="2349" width="37.28515625" customWidth="1"/>
    <col min="2350" max="2350" width="48.42578125" customWidth="1"/>
    <col min="2351" max="2351" width="32" customWidth="1"/>
    <col min="2352" max="2352" width="32.7109375" customWidth="1"/>
    <col min="2353" max="2353" width="18.5703125" customWidth="1"/>
    <col min="2354" max="2354" width="16.7109375" customWidth="1"/>
    <col min="2355" max="2355" width="10.42578125" customWidth="1"/>
    <col min="2356" max="2356" width="10.5703125" customWidth="1"/>
    <col min="2357" max="2357" width="9.28515625" customWidth="1"/>
    <col min="2358" max="2358" width="10.140625" customWidth="1"/>
    <col min="2359" max="2359" width="8.42578125" customWidth="1"/>
    <col min="2360" max="2360" width="9.5703125" customWidth="1"/>
    <col min="2361" max="2361" width="9.28515625" customWidth="1"/>
    <col min="2362" max="2362" width="8.85546875" customWidth="1"/>
    <col min="2363" max="2365" width="8" customWidth="1"/>
    <col min="2366" max="2366" width="8.7109375" customWidth="1"/>
    <col min="2367" max="2367" width="8.140625" customWidth="1"/>
    <col min="2368" max="2368" width="10.5703125" customWidth="1"/>
    <col min="2369" max="2369" width="9.85546875" customWidth="1"/>
    <col min="2370" max="2370" width="13.140625" customWidth="1"/>
    <col min="2371" max="2371" width="25.42578125" customWidth="1"/>
    <col min="2372" max="2372" width="30.85546875" customWidth="1"/>
    <col min="2373" max="2373" width="27.42578125" customWidth="1"/>
    <col min="2587" max="2587" width="13" bestFit="1" customWidth="1"/>
    <col min="2588" max="2588" width="6.85546875" customWidth="1"/>
    <col min="2589" max="2589" width="14.28515625" customWidth="1"/>
    <col min="2590" max="2590" width="14" customWidth="1"/>
    <col min="2591" max="2591" width="17.85546875" customWidth="1"/>
    <col min="2592" max="2592" width="3.5703125" customWidth="1"/>
    <col min="2593" max="2593" width="13.28515625" customWidth="1"/>
    <col min="2594" max="2594" width="5.85546875" customWidth="1"/>
    <col min="2595" max="2595" width="23.28515625" customWidth="1"/>
    <col min="2596" max="2596" width="17.140625" customWidth="1"/>
    <col min="2597" max="2597" width="50.5703125" customWidth="1"/>
    <col min="2598" max="2598" width="28.7109375" customWidth="1"/>
    <col min="2599" max="2599" width="25.140625" customWidth="1"/>
    <col min="2600" max="2600" width="36.7109375" customWidth="1"/>
    <col min="2601" max="2602" width="24.5703125" customWidth="1"/>
    <col min="2603" max="2603" width="17.85546875" customWidth="1"/>
    <col min="2604" max="2604" width="27.5703125" bestFit="1" customWidth="1"/>
    <col min="2605" max="2605" width="37.28515625" customWidth="1"/>
    <col min="2606" max="2606" width="48.42578125" customWidth="1"/>
    <col min="2607" max="2607" width="32" customWidth="1"/>
    <col min="2608" max="2608" width="32.7109375" customWidth="1"/>
    <col min="2609" max="2609" width="18.5703125" customWidth="1"/>
    <col min="2610" max="2610" width="16.7109375" customWidth="1"/>
    <col min="2611" max="2611" width="10.42578125" customWidth="1"/>
    <col min="2612" max="2612" width="10.5703125" customWidth="1"/>
    <col min="2613" max="2613" width="9.28515625" customWidth="1"/>
    <col min="2614" max="2614" width="10.140625" customWidth="1"/>
    <col min="2615" max="2615" width="8.42578125" customWidth="1"/>
    <col min="2616" max="2616" width="9.5703125" customWidth="1"/>
    <col min="2617" max="2617" width="9.28515625" customWidth="1"/>
    <col min="2618" max="2618" width="8.85546875" customWidth="1"/>
    <col min="2619" max="2621" width="8" customWidth="1"/>
    <col min="2622" max="2622" width="8.7109375" customWidth="1"/>
    <col min="2623" max="2623" width="8.140625" customWidth="1"/>
    <col min="2624" max="2624" width="10.5703125" customWidth="1"/>
    <col min="2625" max="2625" width="9.85546875" customWidth="1"/>
    <col min="2626" max="2626" width="13.140625" customWidth="1"/>
    <col min="2627" max="2627" width="25.42578125" customWidth="1"/>
    <col min="2628" max="2628" width="30.85546875" customWidth="1"/>
    <col min="2629" max="2629" width="27.42578125" customWidth="1"/>
    <col min="2843" max="2843" width="13" bestFit="1" customWidth="1"/>
    <col min="2844" max="2844" width="6.85546875" customWidth="1"/>
    <col min="2845" max="2845" width="14.28515625" customWidth="1"/>
    <col min="2846" max="2846" width="14" customWidth="1"/>
    <col min="2847" max="2847" width="17.85546875" customWidth="1"/>
    <col min="2848" max="2848" width="3.5703125" customWidth="1"/>
    <col min="2849" max="2849" width="13.28515625" customWidth="1"/>
    <col min="2850" max="2850" width="5.85546875" customWidth="1"/>
    <col min="2851" max="2851" width="23.28515625" customWidth="1"/>
    <col min="2852" max="2852" width="17.140625" customWidth="1"/>
    <col min="2853" max="2853" width="50.5703125" customWidth="1"/>
    <col min="2854" max="2854" width="28.7109375" customWidth="1"/>
    <col min="2855" max="2855" width="25.140625" customWidth="1"/>
    <col min="2856" max="2856" width="36.7109375" customWidth="1"/>
    <col min="2857" max="2858" width="24.5703125" customWidth="1"/>
    <col min="2859" max="2859" width="17.85546875" customWidth="1"/>
    <col min="2860" max="2860" width="27.5703125" bestFit="1" customWidth="1"/>
    <col min="2861" max="2861" width="37.28515625" customWidth="1"/>
    <col min="2862" max="2862" width="48.42578125" customWidth="1"/>
    <col min="2863" max="2863" width="32" customWidth="1"/>
    <col min="2864" max="2864" width="32.7109375" customWidth="1"/>
    <col min="2865" max="2865" width="18.5703125" customWidth="1"/>
    <col min="2866" max="2866" width="16.7109375" customWidth="1"/>
    <col min="2867" max="2867" width="10.42578125" customWidth="1"/>
    <col min="2868" max="2868" width="10.5703125" customWidth="1"/>
    <col min="2869" max="2869" width="9.28515625" customWidth="1"/>
    <col min="2870" max="2870" width="10.140625" customWidth="1"/>
    <col min="2871" max="2871" width="8.42578125" customWidth="1"/>
    <col min="2872" max="2872" width="9.5703125" customWidth="1"/>
    <col min="2873" max="2873" width="9.28515625" customWidth="1"/>
    <col min="2874" max="2874" width="8.85546875" customWidth="1"/>
    <col min="2875" max="2877" width="8" customWidth="1"/>
    <col min="2878" max="2878" width="8.7109375" customWidth="1"/>
    <col min="2879" max="2879" width="8.140625" customWidth="1"/>
    <col min="2880" max="2880" width="10.5703125" customWidth="1"/>
    <col min="2881" max="2881" width="9.85546875" customWidth="1"/>
    <col min="2882" max="2882" width="13.140625" customWidth="1"/>
    <col min="2883" max="2883" width="25.42578125" customWidth="1"/>
    <col min="2884" max="2884" width="30.85546875" customWidth="1"/>
    <col min="2885" max="2885" width="27.42578125" customWidth="1"/>
    <col min="3099" max="3099" width="13" bestFit="1" customWidth="1"/>
    <col min="3100" max="3100" width="6.85546875" customWidth="1"/>
    <col min="3101" max="3101" width="14.28515625" customWidth="1"/>
    <col min="3102" max="3102" width="14" customWidth="1"/>
    <col min="3103" max="3103" width="17.85546875" customWidth="1"/>
    <col min="3104" max="3104" width="3.5703125" customWidth="1"/>
    <col min="3105" max="3105" width="13.28515625" customWidth="1"/>
    <col min="3106" max="3106" width="5.85546875" customWidth="1"/>
    <col min="3107" max="3107" width="23.28515625" customWidth="1"/>
    <col min="3108" max="3108" width="17.140625" customWidth="1"/>
    <col min="3109" max="3109" width="50.5703125" customWidth="1"/>
    <col min="3110" max="3110" width="28.7109375" customWidth="1"/>
    <col min="3111" max="3111" width="25.140625" customWidth="1"/>
    <col min="3112" max="3112" width="36.7109375" customWidth="1"/>
    <col min="3113" max="3114" width="24.5703125" customWidth="1"/>
    <col min="3115" max="3115" width="17.85546875" customWidth="1"/>
    <col min="3116" max="3116" width="27.5703125" bestFit="1" customWidth="1"/>
    <col min="3117" max="3117" width="37.28515625" customWidth="1"/>
    <col min="3118" max="3118" width="48.42578125" customWidth="1"/>
    <col min="3119" max="3119" width="32" customWidth="1"/>
    <col min="3120" max="3120" width="32.7109375" customWidth="1"/>
    <col min="3121" max="3121" width="18.5703125" customWidth="1"/>
    <col min="3122" max="3122" width="16.7109375" customWidth="1"/>
    <col min="3123" max="3123" width="10.42578125" customWidth="1"/>
    <col min="3124" max="3124" width="10.5703125" customWidth="1"/>
    <col min="3125" max="3125" width="9.28515625" customWidth="1"/>
    <col min="3126" max="3126" width="10.140625" customWidth="1"/>
    <col min="3127" max="3127" width="8.42578125" customWidth="1"/>
    <col min="3128" max="3128" width="9.5703125" customWidth="1"/>
    <col min="3129" max="3129" width="9.28515625" customWidth="1"/>
    <col min="3130" max="3130" width="8.85546875" customWidth="1"/>
    <col min="3131" max="3133" width="8" customWidth="1"/>
    <col min="3134" max="3134" width="8.7109375" customWidth="1"/>
    <col min="3135" max="3135" width="8.140625" customWidth="1"/>
    <col min="3136" max="3136" width="10.5703125" customWidth="1"/>
    <col min="3137" max="3137" width="9.85546875" customWidth="1"/>
    <col min="3138" max="3138" width="13.140625" customWidth="1"/>
    <col min="3139" max="3139" width="25.42578125" customWidth="1"/>
    <col min="3140" max="3140" width="30.85546875" customWidth="1"/>
    <col min="3141" max="3141" width="27.42578125" customWidth="1"/>
    <col min="3355" max="3355" width="13" bestFit="1" customWidth="1"/>
    <col min="3356" max="3356" width="6.85546875" customWidth="1"/>
    <col min="3357" max="3357" width="14.28515625" customWidth="1"/>
    <col min="3358" max="3358" width="14" customWidth="1"/>
    <col min="3359" max="3359" width="17.85546875" customWidth="1"/>
    <col min="3360" max="3360" width="3.5703125" customWidth="1"/>
    <col min="3361" max="3361" width="13.28515625" customWidth="1"/>
    <col min="3362" max="3362" width="5.85546875" customWidth="1"/>
    <col min="3363" max="3363" width="23.28515625" customWidth="1"/>
    <col min="3364" max="3364" width="17.140625" customWidth="1"/>
    <col min="3365" max="3365" width="50.5703125" customWidth="1"/>
    <col min="3366" max="3366" width="28.7109375" customWidth="1"/>
    <col min="3367" max="3367" width="25.140625" customWidth="1"/>
    <col min="3368" max="3368" width="36.7109375" customWidth="1"/>
    <col min="3369" max="3370" width="24.5703125" customWidth="1"/>
    <col min="3371" max="3371" width="17.85546875" customWidth="1"/>
    <col min="3372" max="3372" width="27.5703125" bestFit="1" customWidth="1"/>
    <col min="3373" max="3373" width="37.28515625" customWidth="1"/>
    <col min="3374" max="3374" width="48.42578125" customWidth="1"/>
    <col min="3375" max="3375" width="32" customWidth="1"/>
    <col min="3376" max="3376" width="32.7109375" customWidth="1"/>
    <col min="3377" max="3377" width="18.5703125" customWidth="1"/>
    <col min="3378" max="3378" width="16.7109375" customWidth="1"/>
    <col min="3379" max="3379" width="10.42578125" customWidth="1"/>
    <col min="3380" max="3380" width="10.5703125" customWidth="1"/>
    <col min="3381" max="3381" width="9.28515625" customWidth="1"/>
    <col min="3382" max="3382" width="10.140625" customWidth="1"/>
    <col min="3383" max="3383" width="8.42578125" customWidth="1"/>
    <col min="3384" max="3384" width="9.5703125" customWidth="1"/>
    <col min="3385" max="3385" width="9.28515625" customWidth="1"/>
    <col min="3386" max="3386" width="8.85546875" customWidth="1"/>
    <col min="3387" max="3389" width="8" customWidth="1"/>
    <col min="3390" max="3390" width="8.7109375" customWidth="1"/>
    <col min="3391" max="3391" width="8.140625" customWidth="1"/>
    <col min="3392" max="3392" width="10.5703125" customWidth="1"/>
    <col min="3393" max="3393" width="9.85546875" customWidth="1"/>
    <col min="3394" max="3394" width="13.140625" customWidth="1"/>
    <col min="3395" max="3395" width="25.42578125" customWidth="1"/>
    <col min="3396" max="3396" width="30.85546875" customWidth="1"/>
    <col min="3397" max="3397" width="27.42578125" customWidth="1"/>
    <col min="3611" max="3611" width="13" bestFit="1" customWidth="1"/>
    <col min="3612" max="3612" width="6.85546875" customWidth="1"/>
    <col min="3613" max="3613" width="14.28515625" customWidth="1"/>
    <col min="3614" max="3614" width="14" customWidth="1"/>
    <col min="3615" max="3615" width="17.85546875" customWidth="1"/>
    <col min="3616" max="3616" width="3.5703125" customWidth="1"/>
    <col min="3617" max="3617" width="13.28515625" customWidth="1"/>
    <col min="3618" max="3618" width="5.85546875" customWidth="1"/>
    <col min="3619" max="3619" width="23.28515625" customWidth="1"/>
    <col min="3620" max="3620" width="17.140625" customWidth="1"/>
    <col min="3621" max="3621" width="50.5703125" customWidth="1"/>
    <col min="3622" max="3622" width="28.7109375" customWidth="1"/>
    <col min="3623" max="3623" width="25.140625" customWidth="1"/>
    <col min="3624" max="3624" width="36.7109375" customWidth="1"/>
    <col min="3625" max="3626" width="24.5703125" customWidth="1"/>
    <col min="3627" max="3627" width="17.85546875" customWidth="1"/>
    <col min="3628" max="3628" width="27.5703125" bestFit="1" customWidth="1"/>
    <col min="3629" max="3629" width="37.28515625" customWidth="1"/>
    <col min="3630" max="3630" width="48.42578125" customWidth="1"/>
    <col min="3631" max="3631" width="32" customWidth="1"/>
    <col min="3632" max="3632" width="32.7109375" customWidth="1"/>
    <col min="3633" max="3633" width="18.5703125" customWidth="1"/>
    <col min="3634" max="3634" width="16.7109375" customWidth="1"/>
    <col min="3635" max="3635" width="10.42578125" customWidth="1"/>
    <col min="3636" max="3636" width="10.5703125" customWidth="1"/>
    <col min="3637" max="3637" width="9.28515625" customWidth="1"/>
    <col min="3638" max="3638" width="10.140625" customWidth="1"/>
    <col min="3639" max="3639" width="8.42578125" customWidth="1"/>
    <col min="3640" max="3640" width="9.5703125" customWidth="1"/>
    <col min="3641" max="3641" width="9.28515625" customWidth="1"/>
    <col min="3642" max="3642" width="8.85546875" customWidth="1"/>
    <col min="3643" max="3645" width="8" customWidth="1"/>
    <col min="3646" max="3646" width="8.7109375" customWidth="1"/>
    <col min="3647" max="3647" width="8.140625" customWidth="1"/>
    <col min="3648" max="3648" width="10.5703125" customWidth="1"/>
    <col min="3649" max="3649" width="9.85546875" customWidth="1"/>
    <col min="3650" max="3650" width="13.140625" customWidth="1"/>
    <col min="3651" max="3651" width="25.42578125" customWidth="1"/>
    <col min="3652" max="3652" width="30.85546875" customWidth="1"/>
    <col min="3653" max="3653" width="27.42578125" customWidth="1"/>
    <col min="3867" max="3867" width="13" bestFit="1" customWidth="1"/>
    <col min="3868" max="3868" width="6.85546875" customWidth="1"/>
    <col min="3869" max="3869" width="14.28515625" customWidth="1"/>
    <col min="3870" max="3870" width="14" customWidth="1"/>
    <col min="3871" max="3871" width="17.85546875" customWidth="1"/>
    <col min="3872" max="3872" width="3.5703125" customWidth="1"/>
    <col min="3873" max="3873" width="13.28515625" customWidth="1"/>
    <col min="3874" max="3874" width="5.85546875" customWidth="1"/>
    <col min="3875" max="3875" width="23.28515625" customWidth="1"/>
    <col min="3876" max="3876" width="17.140625" customWidth="1"/>
    <col min="3877" max="3877" width="50.5703125" customWidth="1"/>
    <col min="3878" max="3878" width="28.7109375" customWidth="1"/>
    <col min="3879" max="3879" width="25.140625" customWidth="1"/>
    <col min="3880" max="3880" width="36.7109375" customWidth="1"/>
    <col min="3881" max="3882" width="24.5703125" customWidth="1"/>
    <col min="3883" max="3883" width="17.85546875" customWidth="1"/>
    <col min="3884" max="3884" width="27.5703125" bestFit="1" customWidth="1"/>
    <col min="3885" max="3885" width="37.28515625" customWidth="1"/>
    <col min="3886" max="3886" width="48.42578125" customWidth="1"/>
    <col min="3887" max="3887" width="32" customWidth="1"/>
    <col min="3888" max="3888" width="32.7109375" customWidth="1"/>
    <col min="3889" max="3889" width="18.5703125" customWidth="1"/>
    <col min="3890" max="3890" width="16.7109375" customWidth="1"/>
    <col min="3891" max="3891" width="10.42578125" customWidth="1"/>
    <col min="3892" max="3892" width="10.5703125" customWidth="1"/>
    <col min="3893" max="3893" width="9.28515625" customWidth="1"/>
    <col min="3894" max="3894" width="10.140625" customWidth="1"/>
    <col min="3895" max="3895" width="8.42578125" customWidth="1"/>
    <col min="3896" max="3896" width="9.5703125" customWidth="1"/>
    <col min="3897" max="3897" width="9.28515625" customWidth="1"/>
    <col min="3898" max="3898" width="8.85546875" customWidth="1"/>
    <col min="3899" max="3901" width="8" customWidth="1"/>
    <col min="3902" max="3902" width="8.7109375" customWidth="1"/>
    <col min="3903" max="3903" width="8.140625" customWidth="1"/>
    <col min="3904" max="3904" width="10.5703125" customWidth="1"/>
    <col min="3905" max="3905" width="9.85546875" customWidth="1"/>
    <col min="3906" max="3906" width="13.140625" customWidth="1"/>
    <col min="3907" max="3907" width="25.42578125" customWidth="1"/>
    <col min="3908" max="3908" width="30.85546875" customWidth="1"/>
    <col min="3909" max="3909" width="27.42578125" customWidth="1"/>
    <col min="4123" max="4123" width="13" bestFit="1" customWidth="1"/>
    <col min="4124" max="4124" width="6.85546875" customWidth="1"/>
    <col min="4125" max="4125" width="14.28515625" customWidth="1"/>
    <col min="4126" max="4126" width="14" customWidth="1"/>
    <col min="4127" max="4127" width="17.85546875" customWidth="1"/>
    <col min="4128" max="4128" width="3.5703125" customWidth="1"/>
    <col min="4129" max="4129" width="13.28515625" customWidth="1"/>
    <col min="4130" max="4130" width="5.85546875" customWidth="1"/>
    <col min="4131" max="4131" width="23.28515625" customWidth="1"/>
    <col min="4132" max="4132" width="17.140625" customWidth="1"/>
    <col min="4133" max="4133" width="50.5703125" customWidth="1"/>
    <col min="4134" max="4134" width="28.7109375" customWidth="1"/>
    <col min="4135" max="4135" width="25.140625" customWidth="1"/>
    <col min="4136" max="4136" width="36.7109375" customWidth="1"/>
    <col min="4137" max="4138" width="24.5703125" customWidth="1"/>
    <col min="4139" max="4139" width="17.85546875" customWidth="1"/>
    <col min="4140" max="4140" width="27.5703125" bestFit="1" customWidth="1"/>
    <col min="4141" max="4141" width="37.28515625" customWidth="1"/>
    <col min="4142" max="4142" width="48.42578125" customWidth="1"/>
    <col min="4143" max="4143" width="32" customWidth="1"/>
    <col min="4144" max="4144" width="32.7109375" customWidth="1"/>
    <col min="4145" max="4145" width="18.5703125" customWidth="1"/>
    <col min="4146" max="4146" width="16.7109375" customWidth="1"/>
    <col min="4147" max="4147" width="10.42578125" customWidth="1"/>
    <col min="4148" max="4148" width="10.5703125" customWidth="1"/>
    <col min="4149" max="4149" width="9.28515625" customWidth="1"/>
    <col min="4150" max="4150" width="10.140625" customWidth="1"/>
    <col min="4151" max="4151" width="8.42578125" customWidth="1"/>
    <col min="4152" max="4152" width="9.5703125" customWidth="1"/>
    <col min="4153" max="4153" width="9.28515625" customWidth="1"/>
    <col min="4154" max="4154" width="8.85546875" customWidth="1"/>
    <col min="4155" max="4157" width="8" customWidth="1"/>
    <col min="4158" max="4158" width="8.7109375" customWidth="1"/>
    <col min="4159" max="4159" width="8.140625" customWidth="1"/>
    <col min="4160" max="4160" width="10.5703125" customWidth="1"/>
    <col min="4161" max="4161" width="9.85546875" customWidth="1"/>
    <col min="4162" max="4162" width="13.140625" customWidth="1"/>
    <col min="4163" max="4163" width="25.42578125" customWidth="1"/>
    <col min="4164" max="4164" width="30.85546875" customWidth="1"/>
    <col min="4165" max="4165" width="27.42578125" customWidth="1"/>
    <col min="4379" max="4379" width="13" bestFit="1" customWidth="1"/>
    <col min="4380" max="4380" width="6.85546875" customWidth="1"/>
    <col min="4381" max="4381" width="14.28515625" customWidth="1"/>
    <col min="4382" max="4382" width="14" customWidth="1"/>
    <col min="4383" max="4383" width="17.85546875" customWidth="1"/>
    <col min="4384" max="4384" width="3.5703125" customWidth="1"/>
    <col min="4385" max="4385" width="13.28515625" customWidth="1"/>
    <col min="4386" max="4386" width="5.85546875" customWidth="1"/>
    <col min="4387" max="4387" width="23.28515625" customWidth="1"/>
    <col min="4388" max="4388" width="17.140625" customWidth="1"/>
    <col min="4389" max="4389" width="50.5703125" customWidth="1"/>
    <col min="4390" max="4390" width="28.7109375" customWidth="1"/>
    <col min="4391" max="4391" width="25.140625" customWidth="1"/>
    <col min="4392" max="4392" width="36.7109375" customWidth="1"/>
    <col min="4393" max="4394" width="24.5703125" customWidth="1"/>
    <col min="4395" max="4395" width="17.85546875" customWidth="1"/>
    <col min="4396" max="4396" width="27.5703125" bestFit="1" customWidth="1"/>
    <col min="4397" max="4397" width="37.28515625" customWidth="1"/>
    <col min="4398" max="4398" width="48.42578125" customWidth="1"/>
    <col min="4399" max="4399" width="32" customWidth="1"/>
    <col min="4400" max="4400" width="32.7109375" customWidth="1"/>
    <col min="4401" max="4401" width="18.5703125" customWidth="1"/>
    <col min="4402" max="4402" width="16.7109375" customWidth="1"/>
    <col min="4403" max="4403" width="10.42578125" customWidth="1"/>
    <col min="4404" max="4404" width="10.5703125" customWidth="1"/>
    <col min="4405" max="4405" width="9.28515625" customWidth="1"/>
    <col min="4406" max="4406" width="10.140625" customWidth="1"/>
    <col min="4407" max="4407" width="8.42578125" customWidth="1"/>
    <col min="4408" max="4408" width="9.5703125" customWidth="1"/>
    <col min="4409" max="4409" width="9.28515625" customWidth="1"/>
    <col min="4410" max="4410" width="8.85546875" customWidth="1"/>
    <col min="4411" max="4413" width="8" customWidth="1"/>
    <col min="4414" max="4414" width="8.7109375" customWidth="1"/>
    <col min="4415" max="4415" width="8.140625" customWidth="1"/>
    <col min="4416" max="4416" width="10.5703125" customWidth="1"/>
    <col min="4417" max="4417" width="9.85546875" customWidth="1"/>
    <col min="4418" max="4418" width="13.140625" customWidth="1"/>
    <col min="4419" max="4419" width="25.42578125" customWidth="1"/>
    <col min="4420" max="4420" width="30.85546875" customWidth="1"/>
    <col min="4421" max="4421" width="27.42578125" customWidth="1"/>
    <col min="4635" max="4635" width="13" bestFit="1" customWidth="1"/>
    <col min="4636" max="4636" width="6.85546875" customWidth="1"/>
    <col min="4637" max="4637" width="14.28515625" customWidth="1"/>
    <col min="4638" max="4638" width="14" customWidth="1"/>
    <col min="4639" max="4639" width="17.85546875" customWidth="1"/>
    <col min="4640" max="4640" width="3.5703125" customWidth="1"/>
    <col min="4641" max="4641" width="13.28515625" customWidth="1"/>
    <col min="4642" max="4642" width="5.85546875" customWidth="1"/>
    <col min="4643" max="4643" width="23.28515625" customWidth="1"/>
    <col min="4644" max="4644" width="17.140625" customWidth="1"/>
    <col min="4645" max="4645" width="50.5703125" customWidth="1"/>
    <col min="4646" max="4646" width="28.7109375" customWidth="1"/>
    <col min="4647" max="4647" width="25.140625" customWidth="1"/>
    <col min="4648" max="4648" width="36.7109375" customWidth="1"/>
    <col min="4649" max="4650" width="24.5703125" customWidth="1"/>
    <col min="4651" max="4651" width="17.85546875" customWidth="1"/>
    <col min="4652" max="4652" width="27.5703125" bestFit="1" customWidth="1"/>
    <col min="4653" max="4653" width="37.28515625" customWidth="1"/>
    <col min="4654" max="4654" width="48.42578125" customWidth="1"/>
    <col min="4655" max="4655" width="32" customWidth="1"/>
    <col min="4656" max="4656" width="32.7109375" customWidth="1"/>
    <col min="4657" max="4657" width="18.5703125" customWidth="1"/>
    <col min="4658" max="4658" width="16.7109375" customWidth="1"/>
    <col min="4659" max="4659" width="10.42578125" customWidth="1"/>
    <col min="4660" max="4660" width="10.5703125" customWidth="1"/>
    <col min="4661" max="4661" width="9.28515625" customWidth="1"/>
    <col min="4662" max="4662" width="10.140625" customWidth="1"/>
    <col min="4663" max="4663" width="8.42578125" customWidth="1"/>
    <col min="4664" max="4664" width="9.5703125" customWidth="1"/>
    <col min="4665" max="4665" width="9.28515625" customWidth="1"/>
    <col min="4666" max="4666" width="8.85546875" customWidth="1"/>
    <col min="4667" max="4669" width="8" customWidth="1"/>
    <col min="4670" max="4670" width="8.7109375" customWidth="1"/>
    <col min="4671" max="4671" width="8.140625" customWidth="1"/>
    <col min="4672" max="4672" width="10.5703125" customWidth="1"/>
    <col min="4673" max="4673" width="9.85546875" customWidth="1"/>
    <col min="4674" max="4674" width="13.140625" customWidth="1"/>
    <col min="4675" max="4675" width="25.42578125" customWidth="1"/>
    <col min="4676" max="4676" width="30.85546875" customWidth="1"/>
    <col min="4677" max="4677" width="27.42578125" customWidth="1"/>
    <col min="4891" max="4891" width="13" bestFit="1" customWidth="1"/>
    <col min="4892" max="4892" width="6.85546875" customWidth="1"/>
    <col min="4893" max="4893" width="14.28515625" customWidth="1"/>
    <col min="4894" max="4894" width="14" customWidth="1"/>
    <col min="4895" max="4895" width="17.85546875" customWidth="1"/>
    <col min="4896" max="4896" width="3.5703125" customWidth="1"/>
    <col min="4897" max="4897" width="13.28515625" customWidth="1"/>
    <col min="4898" max="4898" width="5.85546875" customWidth="1"/>
    <col min="4899" max="4899" width="23.28515625" customWidth="1"/>
    <col min="4900" max="4900" width="17.140625" customWidth="1"/>
    <col min="4901" max="4901" width="50.5703125" customWidth="1"/>
    <col min="4902" max="4902" width="28.7109375" customWidth="1"/>
    <col min="4903" max="4903" width="25.140625" customWidth="1"/>
    <col min="4904" max="4904" width="36.7109375" customWidth="1"/>
    <col min="4905" max="4906" width="24.5703125" customWidth="1"/>
    <col min="4907" max="4907" width="17.85546875" customWidth="1"/>
    <col min="4908" max="4908" width="27.5703125" bestFit="1" customWidth="1"/>
    <col min="4909" max="4909" width="37.28515625" customWidth="1"/>
    <col min="4910" max="4910" width="48.42578125" customWidth="1"/>
    <col min="4911" max="4911" width="32" customWidth="1"/>
    <col min="4912" max="4912" width="32.7109375" customWidth="1"/>
    <col min="4913" max="4913" width="18.5703125" customWidth="1"/>
    <col min="4914" max="4914" width="16.7109375" customWidth="1"/>
    <col min="4915" max="4915" width="10.42578125" customWidth="1"/>
    <col min="4916" max="4916" width="10.5703125" customWidth="1"/>
    <col min="4917" max="4917" width="9.28515625" customWidth="1"/>
    <col min="4918" max="4918" width="10.140625" customWidth="1"/>
    <col min="4919" max="4919" width="8.42578125" customWidth="1"/>
    <col min="4920" max="4920" width="9.5703125" customWidth="1"/>
    <col min="4921" max="4921" width="9.28515625" customWidth="1"/>
    <col min="4922" max="4922" width="8.85546875" customWidth="1"/>
    <col min="4923" max="4925" width="8" customWidth="1"/>
    <col min="4926" max="4926" width="8.7109375" customWidth="1"/>
    <col min="4927" max="4927" width="8.140625" customWidth="1"/>
    <col min="4928" max="4928" width="10.5703125" customWidth="1"/>
    <col min="4929" max="4929" width="9.85546875" customWidth="1"/>
    <col min="4930" max="4930" width="13.140625" customWidth="1"/>
    <col min="4931" max="4931" width="25.42578125" customWidth="1"/>
    <col min="4932" max="4932" width="30.85546875" customWidth="1"/>
    <col min="4933" max="4933" width="27.42578125" customWidth="1"/>
    <col min="5147" max="5147" width="13" bestFit="1" customWidth="1"/>
    <col min="5148" max="5148" width="6.85546875" customWidth="1"/>
    <col min="5149" max="5149" width="14.28515625" customWidth="1"/>
    <col min="5150" max="5150" width="14" customWidth="1"/>
    <col min="5151" max="5151" width="17.85546875" customWidth="1"/>
    <col min="5152" max="5152" width="3.5703125" customWidth="1"/>
    <col min="5153" max="5153" width="13.28515625" customWidth="1"/>
    <col min="5154" max="5154" width="5.85546875" customWidth="1"/>
    <col min="5155" max="5155" width="23.28515625" customWidth="1"/>
    <col min="5156" max="5156" width="17.140625" customWidth="1"/>
    <col min="5157" max="5157" width="50.5703125" customWidth="1"/>
    <col min="5158" max="5158" width="28.7109375" customWidth="1"/>
    <col min="5159" max="5159" width="25.140625" customWidth="1"/>
    <col min="5160" max="5160" width="36.7109375" customWidth="1"/>
    <col min="5161" max="5162" width="24.5703125" customWidth="1"/>
    <col min="5163" max="5163" width="17.85546875" customWidth="1"/>
    <col min="5164" max="5164" width="27.5703125" bestFit="1" customWidth="1"/>
    <col min="5165" max="5165" width="37.28515625" customWidth="1"/>
    <col min="5166" max="5166" width="48.42578125" customWidth="1"/>
    <col min="5167" max="5167" width="32" customWidth="1"/>
    <col min="5168" max="5168" width="32.7109375" customWidth="1"/>
    <col min="5169" max="5169" width="18.5703125" customWidth="1"/>
    <col min="5170" max="5170" width="16.7109375" customWidth="1"/>
    <col min="5171" max="5171" width="10.42578125" customWidth="1"/>
    <col min="5172" max="5172" width="10.5703125" customWidth="1"/>
    <col min="5173" max="5173" width="9.28515625" customWidth="1"/>
    <col min="5174" max="5174" width="10.140625" customWidth="1"/>
    <col min="5175" max="5175" width="8.42578125" customWidth="1"/>
    <col min="5176" max="5176" width="9.5703125" customWidth="1"/>
    <col min="5177" max="5177" width="9.28515625" customWidth="1"/>
    <col min="5178" max="5178" width="8.85546875" customWidth="1"/>
    <col min="5179" max="5181" width="8" customWidth="1"/>
    <col min="5182" max="5182" width="8.7109375" customWidth="1"/>
    <col min="5183" max="5183" width="8.140625" customWidth="1"/>
    <col min="5184" max="5184" width="10.5703125" customWidth="1"/>
    <col min="5185" max="5185" width="9.85546875" customWidth="1"/>
    <col min="5186" max="5186" width="13.140625" customWidth="1"/>
    <col min="5187" max="5187" width="25.42578125" customWidth="1"/>
    <col min="5188" max="5188" width="30.85546875" customWidth="1"/>
    <col min="5189" max="5189" width="27.42578125" customWidth="1"/>
    <col min="5403" max="5403" width="13" bestFit="1" customWidth="1"/>
    <col min="5404" max="5404" width="6.85546875" customWidth="1"/>
    <col min="5405" max="5405" width="14.28515625" customWidth="1"/>
    <col min="5406" max="5406" width="14" customWidth="1"/>
    <col min="5407" max="5407" width="17.85546875" customWidth="1"/>
    <col min="5408" max="5408" width="3.5703125" customWidth="1"/>
    <col min="5409" max="5409" width="13.28515625" customWidth="1"/>
    <col min="5410" max="5410" width="5.85546875" customWidth="1"/>
    <col min="5411" max="5411" width="23.28515625" customWidth="1"/>
    <col min="5412" max="5412" width="17.140625" customWidth="1"/>
    <col min="5413" max="5413" width="50.5703125" customWidth="1"/>
    <col min="5414" max="5414" width="28.7109375" customWidth="1"/>
    <col min="5415" max="5415" width="25.140625" customWidth="1"/>
    <col min="5416" max="5416" width="36.7109375" customWidth="1"/>
    <col min="5417" max="5418" width="24.5703125" customWidth="1"/>
    <col min="5419" max="5419" width="17.85546875" customWidth="1"/>
    <col min="5420" max="5420" width="27.5703125" bestFit="1" customWidth="1"/>
    <col min="5421" max="5421" width="37.28515625" customWidth="1"/>
    <col min="5422" max="5422" width="48.42578125" customWidth="1"/>
    <col min="5423" max="5423" width="32" customWidth="1"/>
    <col min="5424" max="5424" width="32.7109375" customWidth="1"/>
    <col min="5425" max="5425" width="18.5703125" customWidth="1"/>
    <col min="5426" max="5426" width="16.7109375" customWidth="1"/>
    <col min="5427" max="5427" width="10.42578125" customWidth="1"/>
    <col min="5428" max="5428" width="10.5703125" customWidth="1"/>
    <col min="5429" max="5429" width="9.28515625" customWidth="1"/>
    <col min="5430" max="5430" width="10.140625" customWidth="1"/>
    <col min="5431" max="5431" width="8.42578125" customWidth="1"/>
    <col min="5432" max="5432" width="9.5703125" customWidth="1"/>
    <col min="5433" max="5433" width="9.28515625" customWidth="1"/>
    <col min="5434" max="5434" width="8.85546875" customWidth="1"/>
    <col min="5435" max="5437" width="8" customWidth="1"/>
    <col min="5438" max="5438" width="8.7109375" customWidth="1"/>
    <col min="5439" max="5439" width="8.140625" customWidth="1"/>
    <col min="5440" max="5440" width="10.5703125" customWidth="1"/>
    <col min="5441" max="5441" width="9.85546875" customWidth="1"/>
    <col min="5442" max="5442" width="13.140625" customWidth="1"/>
    <col min="5443" max="5443" width="25.42578125" customWidth="1"/>
    <col min="5444" max="5444" width="30.85546875" customWidth="1"/>
    <col min="5445" max="5445" width="27.42578125" customWidth="1"/>
    <col min="5659" max="5659" width="13" bestFit="1" customWidth="1"/>
    <col min="5660" max="5660" width="6.85546875" customWidth="1"/>
    <col min="5661" max="5661" width="14.28515625" customWidth="1"/>
    <col min="5662" max="5662" width="14" customWidth="1"/>
    <col min="5663" max="5663" width="17.85546875" customWidth="1"/>
    <col min="5664" max="5664" width="3.5703125" customWidth="1"/>
    <col min="5665" max="5665" width="13.28515625" customWidth="1"/>
    <col min="5666" max="5666" width="5.85546875" customWidth="1"/>
    <col min="5667" max="5667" width="23.28515625" customWidth="1"/>
    <col min="5668" max="5668" width="17.140625" customWidth="1"/>
    <col min="5669" max="5669" width="50.5703125" customWidth="1"/>
    <col min="5670" max="5670" width="28.7109375" customWidth="1"/>
    <col min="5671" max="5671" width="25.140625" customWidth="1"/>
    <col min="5672" max="5672" width="36.7109375" customWidth="1"/>
    <col min="5673" max="5674" width="24.5703125" customWidth="1"/>
    <col min="5675" max="5675" width="17.85546875" customWidth="1"/>
    <col min="5676" max="5676" width="27.5703125" bestFit="1" customWidth="1"/>
    <col min="5677" max="5677" width="37.28515625" customWidth="1"/>
    <col min="5678" max="5678" width="48.42578125" customWidth="1"/>
    <col min="5679" max="5679" width="32" customWidth="1"/>
    <col min="5680" max="5680" width="32.7109375" customWidth="1"/>
    <col min="5681" max="5681" width="18.5703125" customWidth="1"/>
    <col min="5682" max="5682" width="16.7109375" customWidth="1"/>
    <col min="5683" max="5683" width="10.42578125" customWidth="1"/>
    <col min="5684" max="5684" width="10.5703125" customWidth="1"/>
    <col min="5685" max="5685" width="9.28515625" customWidth="1"/>
    <col min="5686" max="5686" width="10.140625" customWidth="1"/>
    <col min="5687" max="5687" width="8.42578125" customWidth="1"/>
    <col min="5688" max="5688" width="9.5703125" customWidth="1"/>
    <col min="5689" max="5689" width="9.28515625" customWidth="1"/>
    <col min="5690" max="5690" width="8.85546875" customWidth="1"/>
    <col min="5691" max="5693" width="8" customWidth="1"/>
    <col min="5694" max="5694" width="8.7109375" customWidth="1"/>
    <col min="5695" max="5695" width="8.140625" customWidth="1"/>
    <col min="5696" max="5696" width="10.5703125" customWidth="1"/>
    <col min="5697" max="5697" width="9.85546875" customWidth="1"/>
    <col min="5698" max="5698" width="13.140625" customWidth="1"/>
    <col min="5699" max="5699" width="25.42578125" customWidth="1"/>
    <col min="5700" max="5700" width="30.85546875" customWidth="1"/>
    <col min="5701" max="5701" width="27.42578125" customWidth="1"/>
    <col min="5915" max="5915" width="13" bestFit="1" customWidth="1"/>
    <col min="5916" max="5916" width="6.85546875" customWidth="1"/>
    <col min="5917" max="5917" width="14.28515625" customWidth="1"/>
    <col min="5918" max="5918" width="14" customWidth="1"/>
    <col min="5919" max="5919" width="17.85546875" customWidth="1"/>
    <col min="5920" max="5920" width="3.5703125" customWidth="1"/>
    <col min="5921" max="5921" width="13.28515625" customWidth="1"/>
    <col min="5922" max="5922" width="5.85546875" customWidth="1"/>
    <col min="5923" max="5923" width="23.28515625" customWidth="1"/>
    <col min="5924" max="5924" width="17.140625" customWidth="1"/>
    <col min="5925" max="5925" width="50.5703125" customWidth="1"/>
    <col min="5926" max="5926" width="28.7109375" customWidth="1"/>
    <col min="5927" max="5927" width="25.140625" customWidth="1"/>
    <col min="5928" max="5928" width="36.7109375" customWidth="1"/>
    <col min="5929" max="5930" width="24.5703125" customWidth="1"/>
    <col min="5931" max="5931" width="17.85546875" customWidth="1"/>
    <col min="5932" max="5932" width="27.5703125" bestFit="1" customWidth="1"/>
    <col min="5933" max="5933" width="37.28515625" customWidth="1"/>
    <col min="5934" max="5934" width="48.42578125" customWidth="1"/>
    <col min="5935" max="5935" width="32" customWidth="1"/>
    <col min="5936" max="5936" width="32.7109375" customWidth="1"/>
    <col min="5937" max="5937" width="18.5703125" customWidth="1"/>
    <col min="5938" max="5938" width="16.7109375" customWidth="1"/>
    <col min="5939" max="5939" width="10.42578125" customWidth="1"/>
    <col min="5940" max="5940" width="10.5703125" customWidth="1"/>
    <col min="5941" max="5941" width="9.28515625" customWidth="1"/>
    <col min="5942" max="5942" width="10.140625" customWidth="1"/>
    <col min="5943" max="5943" width="8.42578125" customWidth="1"/>
    <col min="5944" max="5944" width="9.5703125" customWidth="1"/>
    <col min="5945" max="5945" width="9.28515625" customWidth="1"/>
    <col min="5946" max="5946" width="8.85546875" customWidth="1"/>
    <col min="5947" max="5949" width="8" customWidth="1"/>
    <col min="5950" max="5950" width="8.7109375" customWidth="1"/>
    <col min="5951" max="5951" width="8.140625" customWidth="1"/>
    <col min="5952" max="5952" width="10.5703125" customWidth="1"/>
    <col min="5953" max="5953" width="9.85546875" customWidth="1"/>
    <col min="5954" max="5954" width="13.140625" customWidth="1"/>
    <col min="5955" max="5955" width="25.42578125" customWidth="1"/>
    <col min="5956" max="5956" width="30.85546875" customWidth="1"/>
    <col min="5957" max="5957" width="27.42578125" customWidth="1"/>
    <col min="6171" max="6171" width="13" bestFit="1" customWidth="1"/>
    <col min="6172" max="6172" width="6.85546875" customWidth="1"/>
    <col min="6173" max="6173" width="14.28515625" customWidth="1"/>
    <col min="6174" max="6174" width="14" customWidth="1"/>
    <col min="6175" max="6175" width="17.85546875" customWidth="1"/>
    <col min="6176" max="6176" width="3.5703125" customWidth="1"/>
    <col min="6177" max="6177" width="13.28515625" customWidth="1"/>
    <col min="6178" max="6178" width="5.85546875" customWidth="1"/>
    <col min="6179" max="6179" width="23.28515625" customWidth="1"/>
    <col min="6180" max="6180" width="17.140625" customWidth="1"/>
    <col min="6181" max="6181" width="50.5703125" customWidth="1"/>
    <col min="6182" max="6182" width="28.7109375" customWidth="1"/>
    <col min="6183" max="6183" width="25.140625" customWidth="1"/>
    <col min="6184" max="6184" width="36.7109375" customWidth="1"/>
    <col min="6185" max="6186" width="24.5703125" customWidth="1"/>
    <col min="6187" max="6187" width="17.85546875" customWidth="1"/>
    <col min="6188" max="6188" width="27.5703125" bestFit="1" customWidth="1"/>
    <col min="6189" max="6189" width="37.28515625" customWidth="1"/>
    <col min="6190" max="6190" width="48.42578125" customWidth="1"/>
    <col min="6191" max="6191" width="32" customWidth="1"/>
    <col min="6192" max="6192" width="32.7109375" customWidth="1"/>
    <col min="6193" max="6193" width="18.5703125" customWidth="1"/>
    <col min="6194" max="6194" width="16.7109375" customWidth="1"/>
    <col min="6195" max="6195" width="10.42578125" customWidth="1"/>
    <col min="6196" max="6196" width="10.5703125" customWidth="1"/>
    <col min="6197" max="6197" width="9.28515625" customWidth="1"/>
    <col min="6198" max="6198" width="10.140625" customWidth="1"/>
    <col min="6199" max="6199" width="8.42578125" customWidth="1"/>
    <col min="6200" max="6200" width="9.5703125" customWidth="1"/>
    <col min="6201" max="6201" width="9.28515625" customWidth="1"/>
    <col min="6202" max="6202" width="8.85546875" customWidth="1"/>
    <col min="6203" max="6205" width="8" customWidth="1"/>
    <col min="6206" max="6206" width="8.7109375" customWidth="1"/>
    <col min="6207" max="6207" width="8.140625" customWidth="1"/>
    <col min="6208" max="6208" width="10.5703125" customWidth="1"/>
    <col min="6209" max="6209" width="9.85546875" customWidth="1"/>
    <col min="6210" max="6210" width="13.140625" customWidth="1"/>
    <col min="6211" max="6211" width="25.42578125" customWidth="1"/>
    <col min="6212" max="6212" width="30.85546875" customWidth="1"/>
    <col min="6213" max="6213" width="27.42578125" customWidth="1"/>
    <col min="6427" max="6427" width="13" bestFit="1" customWidth="1"/>
    <col min="6428" max="6428" width="6.85546875" customWidth="1"/>
    <col min="6429" max="6429" width="14.28515625" customWidth="1"/>
    <col min="6430" max="6430" width="14" customWidth="1"/>
    <col min="6431" max="6431" width="17.85546875" customWidth="1"/>
    <col min="6432" max="6432" width="3.5703125" customWidth="1"/>
    <col min="6433" max="6433" width="13.28515625" customWidth="1"/>
    <col min="6434" max="6434" width="5.85546875" customWidth="1"/>
    <col min="6435" max="6435" width="23.28515625" customWidth="1"/>
    <col min="6436" max="6436" width="17.140625" customWidth="1"/>
    <col min="6437" max="6437" width="50.5703125" customWidth="1"/>
    <col min="6438" max="6438" width="28.7109375" customWidth="1"/>
    <col min="6439" max="6439" width="25.140625" customWidth="1"/>
    <col min="6440" max="6440" width="36.7109375" customWidth="1"/>
    <col min="6441" max="6442" width="24.5703125" customWidth="1"/>
    <col min="6443" max="6443" width="17.85546875" customWidth="1"/>
    <col min="6444" max="6444" width="27.5703125" bestFit="1" customWidth="1"/>
    <col min="6445" max="6445" width="37.28515625" customWidth="1"/>
    <col min="6446" max="6446" width="48.42578125" customWidth="1"/>
    <col min="6447" max="6447" width="32" customWidth="1"/>
    <col min="6448" max="6448" width="32.7109375" customWidth="1"/>
    <col min="6449" max="6449" width="18.5703125" customWidth="1"/>
    <col min="6450" max="6450" width="16.7109375" customWidth="1"/>
    <col min="6451" max="6451" width="10.42578125" customWidth="1"/>
    <col min="6452" max="6452" width="10.5703125" customWidth="1"/>
    <col min="6453" max="6453" width="9.28515625" customWidth="1"/>
    <col min="6454" max="6454" width="10.140625" customWidth="1"/>
    <col min="6455" max="6455" width="8.42578125" customWidth="1"/>
    <col min="6456" max="6456" width="9.5703125" customWidth="1"/>
    <col min="6457" max="6457" width="9.28515625" customWidth="1"/>
    <col min="6458" max="6458" width="8.85546875" customWidth="1"/>
    <col min="6459" max="6461" width="8" customWidth="1"/>
    <col min="6462" max="6462" width="8.7109375" customWidth="1"/>
    <col min="6463" max="6463" width="8.140625" customWidth="1"/>
    <col min="6464" max="6464" width="10.5703125" customWidth="1"/>
    <col min="6465" max="6465" width="9.85546875" customWidth="1"/>
    <col min="6466" max="6466" width="13.140625" customWidth="1"/>
    <col min="6467" max="6467" width="25.42578125" customWidth="1"/>
    <col min="6468" max="6468" width="30.85546875" customWidth="1"/>
    <col min="6469" max="6469" width="27.42578125" customWidth="1"/>
    <col min="6683" max="6683" width="13" bestFit="1" customWidth="1"/>
    <col min="6684" max="6684" width="6.85546875" customWidth="1"/>
    <col min="6685" max="6685" width="14.28515625" customWidth="1"/>
    <col min="6686" max="6686" width="14" customWidth="1"/>
    <col min="6687" max="6687" width="17.85546875" customWidth="1"/>
    <col min="6688" max="6688" width="3.5703125" customWidth="1"/>
    <col min="6689" max="6689" width="13.28515625" customWidth="1"/>
    <col min="6690" max="6690" width="5.85546875" customWidth="1"/>
    <col min="6691" max="6691" width="23.28515625" customWidth="1"/>
    <col min="6692" max="6692" width="17.140625" customWidth="1"/>
    <col min="6693" max="6693" width="50.5703125" customWidth="1"/>
    <col min="6694" max="6694" width="28.7109375" customWidth="1"/>
    <col min="6695" max="6695" width="25.140625" customWidth="1"/>
    <col min="6696" max="6696" width="36.7109375" customWidth="1"/>
    <col min="6697" max="6698" width="24.5703125" customWidth="1"/>
    <col min="6699" max="6699" width="17.85546875" customWidth="1"/>
    <col min="6700" max="6700" width="27.5703125" bestFit="1" customWidth="1"/>
    <col min="6701" max="6701" width="37.28515625" customWidth="1"/>
    <col min="6702" max="6702" width="48.42578125" customWidth="1"/>
    <col min="6703" max="6703" width="32" customWidth="1"/>
    <col min="6704" max="6704" width="32.7109375" customWidth="1"/>
    <col min="6705" max="6705" width="18.5703125" customWidth="1"/>
    <col min="6706" max="6706" width="16.7109375" customWidth="1"/>
    <col min="6707" max="6707" width="10.42578125" customWidth="1"/>
    <col min="6708" max="6708" width="10.5703125" customWidth="1"/>
    <col min="6709" max="6709" width="9.28515625" customWidth="1"/>
    <col min="6710" max="6710" width="10.140625" customWidth="1"/>
    <col min="6711" max="6711" width="8.42578125" customWidth="1"/>
    <col min="6712" max="6712" width="9.5703125" customWidth="1"/>
    <col min="6713" max="6713" width="9.28515625" customWidth="1"/>
    <col min="6714" max="6714" width="8.85546875" customWidth="1"/>
    <col min="6715" max="6717" width="8" customWidth="1"/>
    <col min="6718" max="6718" width="8.7109375" customWidth="1"/>
    <col min="6719" max="6719" width="8.140625" customWidth="1"/>
    <col min="6720" max="6720" width="10.5703125" customWidth="1"/>
    <col min="6721" max="6721" width="9.85546875" customWidth="1"/>
    <col min="6722" max="6722" width="13.140625" customWidth="1"/>
    <col min="6723" max="6723" width="25.42578125" customWidth="1"/>
    <col min="6724" max="6724" width="30.85546875" customWidth="1"/>
    <col min="6725" max="6725" width="27.42578125" customWidth="1"/>
    <col min="6939" max="6939" width="13" bestFit="1" customWidth="1"/>
    <col min="6940" max="6940" width="6.85546875" customWidth="1"/>
    <col min="6941" max="6941" width="14.28515625" customWidth="1"/>
    <col min="6942" max="6942" width="14" customWidth="1"/>
    <col min="6943" max="6943" width="17.85546875" customWidth="1"/>
    <col min="6944" max="6944" width="3.5703125" customWidth="1"/>
    <col min="6945" max="6945" width="13.28515625" customWidth="1"/>
    <col min="6946" max="6946" width="5.85546875" customWidth="1"/>
    <col min="6947" max="6947" width="23.28515625" customWidth="1"/>
    <col min="6948" max="6948" width="17.140625" customWidth="1"/>
    <col min="6949" max="6949" width="50.5703125" customWidth="1"/>
    <col min="6950" max="6950" width="28.7109375" customWidth="1"/>
    <col min="6951" max="6951" width="25.140625" customWidth="1"/>
    <col min="6952" max="6952" width="36.7109375" customWidth="1"/>
    <col min="6953" max="6954" width="24.5703125" customWidth="1"/>
    <col min="6955" max="6955" width="17.85546875" customWidth="1"/>
    <col min="6956" max="6956" width="27.5703125" bestFit="1" customWidth="1"/>
    <col min="6957" max="6957" width="37.28515625" customWidth="1"/>
    <col min="6958" max="6958" width="48.42578125" customWidth="1"/>
    <col min="6959" max="6959" width="32" customWidth="1"/>
    <col min="6960" max="6960" width="32.7109375" customWidth="1"/>
    <col min="6961" max="6961" width="18.5703125" customWidth="1"/>
    <col min="6962" max="6962" width="16.7109375" customWidth="1"/>
    <col min="6963" max="6963" width="10.42578125" customWidth="1"/>
    <col min="6964" max="6964" width="10.5703125" customWidth="1"/>
    <col min="6965" max="6965" width="9.28515625" customWidth="1"/>
    <col min="6966" max="6966" width="10.140625" customWidth="1"/>
    <col min="6967" max="6967" width="8.42578125" customWidth="1"/>
    <col min="6968" max="6968" width="9.5703125" customWidth="1"/>
    <col min="6969" max="6969" width="9.28515625" customWidth="1"/>
    <col min="6970" max="6970" width="8.85546875" customWidth="1"/>
    <col min="6971" max="6973" width="8" customWidth="1"/>
    <col min="6974" max="6974" width="8.7109375" customWidth="1"/>
    <col min="6975" max="6975" width="8.140625" customWidth="1"/>
    <col min="6976" max="6976" width="10.5703125" customWidth="1"/>
    <col min="6977" max="6977" width="9.85546875" customWidth="1"/>
    <col min="6978" max="6978" width="13.140625" customWidth="1"/>
    <col min="6979" max="6979" width="25.42578125" customWidth="1"/>
    <col min="6980" max="6980" width="30.85546875" customWidth="1"/>
    <col min="6981" max="6981" width="27.42578125" customWidth="1"/>
    <col min="7195" max="7195" width="13" bestFit="1" customWidth="1"/>
    <col min="7196" max="7196" width="6.85546875" customWidth="1"/>
    <col min="7197" max="7197" width="14.28515625" customWidth="1"/>
    <col min="7198" max="7198" width="14" customWidth="1"/>
    <col min="7199" max="7199" width="17.85546875" customWidth="1"/>
    <col min="7200" max="7200" width="3.5703125" customWidth="1"/>
    <col min="7201" max="7201" width="13.28515625" customWidth="1"/>
    <col min="7202" max="7202" width="5.85546875" customWidth="1"/>
    <col min="7203" max="7203" width="23.28515625" customWidth="1"/>
    <col min="7204" max="7204" width="17.140625" customWidth="1"/>
    <col min="7205" max="7205" width="50.5703125" customWidth="1"/>
    <col min="7206" max="7206" width="28.7109375" customWidth="1"/>
    <col min="7207" max="7207" width="25.140625" customWidth="1"/>
    <col min="7208" max="7208" width="36.7109375" customWidth="1"/>
    <col min="7209" max="7210" width="24.5703125" customWidth="1"/>
    <col min="7211" max="7211" width="17.85546875" customWidth="1"/>
    <col min="7212" max="7212" width="27.5703125" bestFit="1" customWidth="1"/>
    <col min="7213" max="7213" width="37.28515625" customWidth="1"/>
    <col min="7214" max="7214" width="48.42578125" customWidth="1"/>
    <col min="7215" max="7215" width="32" customWidth="1"/>
    <col min="7216" max="7216" width="32.7109375" customWidth="1"/>
    <col min="7217" max="7217" width="18.5703125" customWidth="1"/>
    <col min="7218" max="7218" width="16.7109375" customWidth="1"/>
    <col min="7219" max="7219" width="10.42578125" customWidth="1"/>
    <col min="7220" max="7220" width="10.5703125" customWidth="1"/>
    <col min="7221" max="7221" width="9.28515625" customWidth="1"/>
    <col min="7222" max="7222" width="10.140625" customWidth="1"/>
    <col min="7223" max="7223" width="8.42578125" customWidth="1"/>
    <col min="7224" max="7224" width="9.5703125" customWidth="1"/>
    <col min="7225" max="7225" width="9.28515625" customWidth="1"/>
    <col min="7226" max="7226" width="8.85546875" customWidth="1"/>
    <col min="7227" max="7229" width="8" customWidth="1"/>
    <col min="7230" max="7230" width="8.7109375" customWidth="1"/>
    <col min="7231" max="7231" width="8.140625" customWidth="1"/>
    <col min="7232" max="7232" width="10.5703125" customWidth="1"/>
    <col min="7233" max="7233" width="9.85546875" customWidth="1"/>
    <col min="7234" max="7234" width="13.140625" customWidth="1"/>
    <col min="7235" max="7235" width="25.42578125" customWidth="1"/>
    <col min="7236" max="7236" width="30.85546875" customWidth="1"/>
    <col min="7237" max="7237" width="27.42578125" customWidth="1"/>
    <col min="7451" max="7451" width="13" bestFit="1" customWidth="1"/>
    <col min="7452" max="7452" width="6.85546875" customWidth="1"/>
    <col min="7453" max="7453" width="14.28515625" customWidth="1"/>
    <col min="7454" max="7454" width="14" customWidth="1"/>
    <col min="7455" max="7455" width="17.85546875" customWidth="1"/>
    <col min="7456" max="7456" width="3.5703125" customWidth="1"/>
    <col min="7457" max="7457" width="13.28515625" customWidth="1"/>
    <col min="7458" max="7458" width="5.85546875" customWidth="1"/>
    <col min="7459" max="7459" width="23.28515625" customWidth="1"/>
    <col min="7460" max="7460" width="17.140625" customWidth="1"/>
    <col min="7461" max="7461" width="50.5703125" customWidth="1"/>
    <col min="7462" max="7462" width="28.7109375" customWidth="1"/>
    <col min="7463" max="7463" width="25.140625" customWidth="1"/>
    <col min="7464" max="7464" width="36.7109375" customWidth="1"/>
    <col min="7465" max="7466" width="24.5703125" customWidth="1"/>
    <col min="7467" max="7467" width="17.85546875" customWidth="1"/>
    <col min="7468" max="7468" width="27.5703125" bestFit="1" customWidth="1"/>
    <col min="7469" max="7469" width="37.28515625" customWidth="1"/>
    <col min="7470" max="7470" width="48.42578125" customWidth="1"/>
    <col min="7471" max="7471" width="32" customWidth="1"/>
    <col min="7472" max="7472" width="32.7109375" customWidth="1"/>
    <col min="7473" max="7473" width="18.5703125" customWidth="1"/>
    <col min="7474" max="7474" width="16.7109375" customWidth="1"/>
    <col min="7475" max="7475" width="10.42578125" customWidth="1"/>
    <col min="7476" max="7476" width="10.5703125" customWidth="1"/>
    <col min="7477" max="7477" width="9.28515625" customWidth="1"/>
    <col min="7478" max="7478" width="10.140625" customWidth="1"/>
    <col min="7479" max="7479" width="8.42578125" customWidth="1"/>
    <col min="7480" max="7480" width="9.5703125" customWidth="1"/>
    <col min="7481" max="7481" width="9.28515625" customWidth="1"/>
    <col min="7482" max="7482" width="8.85546875" customWidth="1"/>
    <col min="7483" max="7485" width="8" customWidth="1"/>
    <col min="7486" max="7486" width="8.7109375" customWidth="1"/>
    <col min="7487" max="7487" width="8.140625" customWidth="1"/>
    <col min="7488" max="7488" width="10.5703125" customWidth="1"/>
    <col min="7489" max="7489" width="9.85546875" customWidth="1"/>
    <col min="7490" max="7490" width="13.140625" customWidth="1"/>
    <col min="7491" max="7491" width="25.42578125" customWidth="1"/>
    <col min="7492" max="7492" width="30.85546875" customWidth="1"/>
    <col min="7493" max="7493" width="27.42578125" customWidth="1"/>
    <col min="7707" max="7707" width="13" bestFit="1" customWidth="1"/>
    <col min="7708" max="7708" width="6.85546875" customWidth="1"/>
    <col min="7709" max="7709" width="14.28515625" customWidth="1"/>
    <col min="7710" max="7710" width="14" customWidth="1"/>
    <col min="7711" max="7711" width="17.85546875" customWidth="1"/>
    <col min="7712" max="7712" width="3.5703125" customWidth="1"/>
    <col min="7713" max="7713" width="13.28515625" customWidth="1"/>
    <col min="7714" max="7714" width="5.85546875" customWidth="1"/>
    <col min="7715" max="7715" width="23.28515625" customWidth="1"/>
    <col min="7716" max="7716" width="17.140625" customWidth="1"/>
    <col min="7717" max="7717" width="50.5703125" customWidth="1"/>
    <col min="7718" max="7718" width="28.7109375" customWidth="1"/>
    <col min="7719" max="7719" width="25.140625" customWidth="1"/>
    <col min="7720" max="7720" width="36.7109375" customWidth="1"/>
    <col min="7721" max="7722" width="24.5703125" customWidth="1"/>
    <col min="7723" max="7723" width="17.85546875" customWidth="1"/>
    <col min="7724" max="7724" width="27.5703125" bestFit="1" customWidth="1"/>
    <col min="7725" max="7725" width="37.28515625" customWidth="1"/>
    <col min="7726" max="7726" width="48.42578125" customWidth="1"/>
    <col min="7727" max="7727" width="32" customWidth="1"/>
    <col min="7728" max="7728" width="32.7109375" customWidth="1"/>
    <col min="7729" max="7729" width="18.5703125" customWidth="1"/>
    <col min="7730" max="7730" width="16.7109375" customWidth="1"/>
    <col min="7731" max="7731" width="10.42578125" customWidth="1"/>
    <col min="7732" max="7732" width="10.5703125" customWidth="1"/>
    <col min="7733" max="7733" width="9.28515625" customWidth="1"/>
    <col min="7734" max="7734" width="10.140625" customWidth="1"/>
    <col min="7735" max="7735" width="8.42578125" customWidth="1"/>
    <col min="7736" max="7736" width="9.5703125" customWidth="1"/>
    <col min="7737" max="7737" width="9.28515625" customWidth="1"/>
    <col min="7738" max="7738" width="8.85546875" customWidth="1"/>
    <col min="7739" max="7741" width="8" customWidth="1"/>
    <col min="7742" max="7742" width="8.7109375" customWidth="1"/>
    <col min="7743" max="7743" width="8.140625" customWidth="1"/>
    <col min="7744" max="7744" width="10.5703125" customWidth="1"/>
    <col min="7745" max="7745" width="9.85546875" customWidth="1"/>
    <col min="7746" max="7746" width="13.140625" customWidth="1"/>
    <col min="7747" max="7747" width="25.42578125" customWidth="1"/>
    <col min="7748" max="7748" width="30.85546875" customWidth="1"/>
    <col min="7749" max="7749" width="27.42578125" customWidth="1"/>
    <col min="7963" max="7963" width="13" bestFit="1" customWidth="1"/>
    <col min="7964" max="7964" width="6.85546875" customWidth="1"/>
    <col min="7965" max="7965" width="14.28515625" customWidth="1"/>
    <col min="7966" max="7966" width="14" customWidth="1"/>
    <col min="7967" max="7967" width="17.85546875" customWidth="1"/>
    <col min="7968" max="7968" width="3.5703125" customWidth="1"/>
    <col min="7969" max="7969" width="13.28515625" customWidth="1"/>
    <col min="7970" max="7970" width="5.85546875" customWidth="1"/>
    <col min="7971" max="7971" width="23.28515625" customWidth="1"/>
    <col min="7972" max="7972" width="17.140625" customWidth="1"/>
    <col min="7973" max="7973" width="50.5703125" customWidth="1"/>
    <col min="7974" max="7974" width="28.7109375" customWidth="1"/>
    <col min="7975" max="7975" width="25.140625" customWidth="1"/>
    <col min="7976" max="7976" width="36.7109375" customWidth="1"/>
    <col min="7977" max="7978" width="24.5703125" customWidth="1"/>
    <col min="7979" max="7979" width="17.85546875" customWidth="1"/>
    <col min="7980" max="7980" width="27.5703125" bestFit="1" customWidth="1"/>
    <col min="7981" max="7981" width="37.28515625" customWidth="1"/>
    <col min="7982" max="7982" width="48.42578125" customWidth="1"/>
    <col min="7983" max="7983" width="32" customWidth="1"/>
    <col min="7984" max="7984" width="32.7109375" customWidth="1"/>
    <col min="7985" max="7985" width="18.5703125" customWidth="1"/>
    <col min="7986" max="7986" width="16.7109375" customWidth="1"/>
    <col min="7987" max="7987" width="10.42578125" customWidth="1"/>
    <col min="7988" max="7988" width="10.5703125" customWidth="1"/>
    <col min="7989" max="7989" width="9.28515625" customWidth="1"/>
    <col min="7990" max="7990" width="10.140625" customWidth="1"/>
    <col min="7991" max="7991" width="8.42578125" customWidth="1"/>
    <col min="7992" max="7992" width="9.5703125" customWidth="1"/>
    <col min="7993" max="7993" width="9.28515625" customWidth="1"/>
    <col min="7994" max="7994" width="8.85546875" customWidth="1"/>
    <col min="7995" max="7997" width="8" customWidth="1"/>
    <col min="7998" max="7998" width="8.7109375" customWidth="1"/>
    <col min="7999" max="7999" width="8.140625" customWidth="1"/>
    <col min="8000" max="8000" width="10.5703125" customWidth="1"/>
    <col min="8001" max="8001" width="9.85546875" customWidth="1"/>
    <col min="8002" max="8002" width="13.140625" customWidth="1"/>
    <col min="8003" max="8003" width="25.42578125" customWidth="1"/>
    <col min="8004" max="8004" width="30.85546875" customWidth="1"/>
    <col min="8005" max="8005" width="27.42578125" customWidth="1"/>
    <col min="8219" max="8219" width="13" bestFit="1" customWidth="1"/>
    <col min="8220" max="8220" width="6.85546875" customWidth="1"/>
    <col min="8221" max="8221" width="14.28515625" customWidth="1"/>
    <col min="8222" max="8222" width="14" customWidth="1"/>
    <col min="8223" max="8223" width="17.85546875" customWidth="1"/>
    <col min="8224" max="8224" width="3.5703125" customWidth="1"/>
    <col min="8225" max="8225" width="13.28515625" customWidth="1"/>
    <col min="8226" max="8226" width="5.85546875" customWidth="1"/>
    <col min="8227" max="8227" width="23.28515625" customWidth="1"/>
    <col min="8228" max="8228" width="17.140625" customWidth="1"/>
    <col min="8229" max="8229" width="50.5703125" customWidth="1"/>
    <col min="8230" max="8230" width="28.7109375" customWidth="1"/>
    <col min="8231" max="8231" width="25.140625" customWidth="1"/>
    <col min="8232" max="8232" width="36.7109375" customWidth="1"/>
    <col min="8233" max="8234" width="24.5703125" customWidth="1"/>
    <col min="8235" max="8235" width="17.85546875" customWidth="1"/>
    <col min="8236" max="8236" width="27.5703125" bestFit="1" customWidth="1"/>
    <col min="8237" max="8237" width="37.28515625" customWidth="1"/>
    <col min="8238" max="8238" width="48.42578125" customWidth="1"/>
    <col min="8239" max="8239" width="32" customWidth="1"/>
    <col min="8240" max="8240" width="32.7109375" customWidth="1"/>
    <col min="8241" max="8241" width="18.5703125" customWidth="1"/>
    <col min="8242" max="8242" width="16.7109375" customWidth="1"/>
    <col min="8243" max="8243" width="10.42578125" customWidth="1"/>
    <col min="8244" max="8244" width="10.5703125" customWidth="1"/>
    <col min="8245" max="8245" width="9.28515625" customWidth="1"/>
    <col min="8246" max="8246" width="10.140625" customWidth="1"/>
    <col min="8247" max="8247" width="8.42578125" customWidth="1"/>
    <col min="8248" max="8248" width="9.5703125" customWidth="1"/>
    <col min="8249" max="8249" width="9.28515625" customWidth="1"/>
    <col min="8250" max="8250" width="8.85546875" customWidth="1"/>
    <col min="8251" max="8253" width="8" customWidth="1"/>
    <col min="8254" max="8254" width="8.7109375" customWidth="1"/>
    <col min="8255" max="8255" width="8.140625" customWidth="1"/>
    <col min="8256" max="8256" width="10.5703125" customWidth="1"/>
    <col min="8257" max="8257" width="9.85546875" customWidth="1"/>
    <col min="8258" max="8258" width="13.140625" customWidth="1"/>
    <col min="8259" max="8259" width="25.42578125" customWidth="1"/>
    <col min="8260" max="8260" width="30.85546875" customWidth="1"/>
    <col min="8261" max="8261" width="27.42578125" customWidth="1"/>
    <col min="8475" max="8475" width="13" bestFit="1" customWidth="1"/>
    <col min="8476" max="8476" width="6.85546875" customWidth="1"/>
    <col min="8477" max="8477" width="14.28515625" customWidth="1"/>
    <col min="8478" max="8478" width="14" customWidth="1"/>
    <col min="8479" max="8479" width="17.85546875" customWidth="1"/>
    <col min="8480" max="8480" width="3.5703125" customWidth="1"/>
    <col min="8481" max="8481" width="13.28515625" customWidth="1"/>
    <col min="8482" max="8482" width="5.85546875" customWidth="1"/>
    <col min="8483" max="8483" width="23.28515625" customWidth="1"/>
    <col min="8484" max="8484" width="17.140625" customWidth="1"/>
    <col min="8485" max="8485" width="50.5703125" customWidth="1"/>
    <col min="8486" max="8486" width="28.7109375" customWidth="1"/>
    <col min="8487" max="8487" width="25.140625" customWidth="1"/>
    <col min="8488" max="8488" width="36.7109375" customWidth="1"/>
    <col min="8489" max="8490" width="24.5703125" customWidth="1"/>
    <col min="8491" max="8491" width="17.85546875" customWidth="1"/>
    <col min="8492" max="8492" width="27.5703125" bestFit="1" customWidth="1"/>
    <col min="8493" max="8493" width="37.28515625" customWidth="1"/>
    <col min="8494" max="8494" width="48.42578125" customWidth="1"/>
    <col min="8495" max="8495" width="32" customWidth="1"/>
    <col min="8496" max="8496" width="32.7109375" customWidth="1"/>
    <col min="8497" max="8497" width="18.5703125" customWidth="1"/>
    <col min="8498" max="8498" width="16.7109375" customWidth="1"/>
    <col min="8499" max="8499" width="10.42578125" customWidth="1"/>
    <col min="8500" max="8500" width="10.5703125" customWidth="1"/>
    <col min="8501" max="8501" width="9.28515625" customWidth="1"/>
    <col min="8502" max="8502" width="10.140625" customWidth="1"/>
    <col min="8503" max="8503" width="8.42578125" customWidth="1"/>
    <col min="8504" max="8504" width="9.5703125" customWidth="1"/>
    <col min="8505" max="8505" width="9.28515625" customWidth="1"/>
    <col min="8506" max="8506" width="8.85546875" customWidth="1"/>
    <col min="8507" max="8509" width="8" customWidth="1"/>
    <col min="8510" max="8510" width="8.7109375" customWidth="1"/>
    <col min="8511" max="8511" width="8.140625" customWidth="1"/>
    <col min="8512" max="8512" width="10.5703125" customWidth="1"/>
    <col min="8513" max="8513" width="9.85546875" customWidth="1"/>
    <col min="8514" max="8514" width="13.140625" customWidth="1"/>
    <col min="8515" max="8515" width="25.42578125" customWidth="1"/>
    <col min="8516" max="8516" width="30.85546875" customWidth="1"/>
    <col min="8517" max="8517" width="27.42578125" customWidth="1"/>
    <col min="8731" max="8731" width="13" bestFit="1" customWidth="1"/>
    <col min="8732" max="8732" width="6.85546875" customWidth="1"/>
    <col min="8733" max="8733" width="14.28515625" customWidth="1"/>
    <col min="8734" max="8734" width="14" customWidth="1"/>
    <col min="8735" max="8735" width="17.85546875" customWidth="1"/>
    <col min="8736" max="8736" width="3.5703125" customWidth="1"/>
    <col min="8737" max="8737" width="13.28515625" customWidth="1"/>
    <col min="8738" max="8738" width="5.85546875" customWidth="1"/>
    <col min="8739" max="8739" width="23.28515625" customWidth="1"/>
    <col min="8740" max="8740" width="17.140625" customWidth="1"/>
    <col min="8741" max="8741" width="50.5703125" customWidth="1"/>
    <col min="8742" max="8742" width="28.7109375" customWidth="1"/>
    <col min="8743" max="8743" width="25.140625" customWidth="1"/>
    <col min="8744" max="8744" width="36.7109375" customWidth="1"/>
    <col min="8745" max="8746" width="24.5703125" customWidth="1"/>
    <col min="8747" max="8747" width="17.85546875" customWidth="1"/>
    <col min="8748" max="8748" width="27.5703125" bestFit="1" customWidth="1"/>
    <col min="8749" max="8749" width="37.28515625" customWidth="1"/>
    <col min="8750" max="8750" width="48.42578125" customWidth="1"/>
    <col min="8751" max="8751" width="32" customWidth="1"/>
    <col min="8752" max="8752" width="32.7109375" customWidth="1"/>
    <col min="8753" max="8753" width="18.5703125" customWidth="1"/>
    <col min="8754" max="8754" width="16.7109375" customWidth="1"/>
    <col min="8755" max="8755" width="10.42578125" customWidth="1"/>
    <col min="8756" max="8756" width="10.5703125" customWidth="1"/>
    <col min="8757" max="8757" width="9.28515625" customWidth="1"/>
    <col min="8758" max="8758" width="10.140625" customWidth="1"/>
    <col min="8759" max="8759" width="8.42578125" customWidth="1"/>
    <col min="8760" max="8760" width="9.5703125" customWidth="1"/>
    <col min="8761" max="8761" width="9.28515625" customWidth="1"/>
    <col min="8762" max="8762" width="8.85546875" customWidth="1"/>
    <col min="8763" max="8765" width="8" customWidth="1"/>
    <col min="8766" max="8766" width="8.7109375" customWidth="1"/>
    <col min="8767" max="8767" width="8.140625" customWidth="1"/>
    <col min="8768" max="8768" width="10.5703125" customWidth="1"/>
    <col min="8769" max="8769" width="9.85546875" customWidth="1"/>
    <col min="8770" max="8770" width="13.140625" customWidth="1"/>
    <col min="8771" max="8771" width="25.42578125" customWidth="1"/>
    <col min="8772" max="8772" width="30.85546875" customWidth="1"/>
    <col min="8773" max="8773" width="27.42578125" customWidth="1"/>
    <col min="8987" max="8987" width="13" bestFit="1" customWidth="1"/>
    <col min="8988" max="8988" width="6.85546875" customWidth="1"/>
    <col min="8989" max="8989" width="14.28515625" customWidth="1"/>
    <col min="8990" max="8990" width="14" customWidth="1"/>
    <col min="8991" max="8991" width="17.85546875" customWidth="1"/>
    <col min="8992" max="8992" width="3.5703125" customWidth="1"/>
    <col min="8993" max="8993" width="13.28515625" customWidth="1"/>
    <col min="8994" max="8994" width="5.85546875" customWidth="1"/>
    <col min="8995" max="8995" width="23.28515625" customWidth="1"/>
    <col min="8996" max="8996" width="17.140625" customWidth="1"/>
    <col min="8997" max="8997" width="50.5703125" customWidth="1"/>
    <col min="8998" max="8998" width="28.7109375" customWidth="1"/>
    <col min="8999" max="8999" width="25.140625" customWidth="1"/>
    <col min="9000" max="9000" width="36.7109375" customWidth="1"/>
    <col min="9001" max="9002" width="24.5703125" customWidth="1"/>
    <col min="9003" max="9003" width="17.85546875" customWidth="1"/>
    <col min="9004" max="9004" width="27.5703125" bestFit="1" customWidth="1"/>
    <col min="9005" max="9005" width="37.28515625" customWidth="1"/>
    <col min="9006" max="9006" width="48.42578125" customWidth="1"/>
    <col min="9007" max="9007" width="32" customWidth="1"/>
    <col min="9008" max="9008" width="32.7109375" customWidth="1"/>
    <col min="9009" max="9009" width="18.5703125" customWidth="1"/>
    <col min="9010" max="9010" width="16.7109375" customWidth="1"/>
    <col min="9011" max="9011" width="10.42578125" customWidth="1"/>
    <col min="9012" max="9012" width="10.5703125" customWidth="1"/>
    <col min="9013" max="9013" width="9.28515625" customWidth="1"/>
    <col min="9014" max="9014" width="10.140625" customWidth="1"/>
    <col min="9015" max="9015" width="8.42578125" customWidth="1"/>
    <col min="9016" max="9016" width="9.5703125" customWidth="1"/>
    <col min="9017" max="9017" width="9.28515625" customWidth="1"/>
    <col min="9018" max="9018" width="8.85546875" customWidth="1"/>
    <col min="9019" max="9021" width="8" customWidth="1"/>
    <col min="9022" max="9022" width="8.7109375" customWidth="1"/>
    <col min="9023" max="9023" width="8.140625" customWidth="1"/>
    <col min="9024" max="9024" width="10.5703125" customWidth="1"/>
    <col min="9025" max="9025" width="9.85546875" customWidth="1"/>
    <col min="9026" max="9026" width="13.140625" customWidth="1"/>
    <col min="9027" max="9027" width="25.42578125" customWidth="1"/>
    <col min="9028" max="9028" width="30.85546875" customWidth="1"/>
    <col min="9029" max="9029" width="27.42578125" customWidth="1"/>
    <col min="9243" max="9243" width="13" bestFit="1" customWidth="1"/>
    <col min="9244" max="9244" width="6.85546875" customWidth="1"/>
    <col min="9245" max="9245" width="14.28515625" customWidth="1"/>
    <col min="9246" max="9246" width="14" customWidth="1"/>
    <col min="9247" max="9247" width="17.85546875" customWidth="1"/>
    <col min="9248" max="9248" width="3.5703125" customWidth="1"/>
    <col min="9249" max="9249" width="13.28515625" customWidth="1"/>
    <col min="9250" max="9250" width="5.85546875" customWidth="1"/>
    <col min="9251" max="9251" width="23.28515625" customWidth="1"/>
    <col min="9252" max="9252" width="17.140625" customWidth="1"/>
    <col min="9253" max="9253" width="50.5703125" customWidth="1"/>
    <col min="9254" max="9254" width="28.7109375" customWidth="1"/>
    <col min="9255" max="9255" width="25.140625" customWidth="1"/>
    <col min="9256" max="9256" width="36.7109375" customWidth="1"/>
    <col min="9257" max="9258" width="24.5703125" customWidth="1"/>
    <col min="9259" max="9259" width="17.85546875" customWidth="1"/>
    <col min="9260" max="9260" width="27.5703125" bestFit="1" customWidth="1"/>
    <col min="9261" max="9261" width="37.28515625" customWidth="1"/>
    <col min="9262" max="9262" width="48.42578125" customWidth="1"/>
    <col min="9263" max="9263" width="32" customWidth="1"/>
    <col min="9264" max="9264" width="32.7109375" customWidth="1"/>
    <col min="9265" max="9265" width="18.5703125" customWidth="1"/>
    <col min="9266" max="9266" width="16.7109375" customWidth="1"/>
    <col min="9267" max="9267" width="10.42578125" customWidth="1"/>
    <col min="9268" max="9268" width="10.5703125" customWidth="1"/>
    <col min="9269" max="9269" width="9.28515625" customWidth="1"/>
    <col min="9270" max="9270" width="10.140625" customWidth="1"/>
    <col min="9271" max="9271" width="8.42578125" customWidth="1"/>
    <col min="9272" max="9272" width="9.5703125" customWidth="1"/>
    <col min="9273" max="9273" width="9.28515625" customWidth="1"/>
    <col min="9274" max="9274" width="8.85546875" customWidth="1"/>
    <col min="9275" max="9277" width="8" customWidth="1"/>
    <col min="9278" max="9278" width="8.7109375" customWidth="1"/>
    <col min="9279" max="9279" width="8.140625" customWidth="1"/>
    <col min="9280" max="9280" width="10.5703125" customWidth="1"/>
    <col min="9281" max="9281" width="9.85546875" customWidth="1"/>
    <col min="9282" max="9282" width="13.140625" customWidth="1"/>
    <col min="9283" max="9283" width="25.42578125" customWidth="1"/>
    <col min="9284" max="9284" width="30.85546875" customWidth="1"/>
    <col min="9285" max="9285" width="27.42578125" customWidth="1"/>
    <col min="9499" max="9499" width="13" bestFit="1" customWidth="1"/>
    <col min="9500" max="9500" width="6.85546875" customWidth="1"/>
    <col min="9501" max="9501" width="14.28515625" customWidth="1"/>
    <col min="9502" max="9502" width="14" customWidth="1"/>
    <col min="9503" max="9503" width="17.85546875" customWidth="1"/>
    <col min="9504" max="9504" width="3.5703125" customWidth="1"/>
    <col min="9505" max="9505" width="13.28515625" customWidth="1"/>
    <col min="9506" max="9506" width="5.85546875" customWidth="1"/>
    <col min="9507" max="9507" width="23.28515625" customWidth="1"/>
    <col min="9508" max="9508" width="17.140625" customWidth="1"/>
    <col min="9509" max="9509" width="50.5703125" customWidth="1"/>
    <col min="9510" max="9510" width="28.7109375" customWidth="1"/>
    <col min="9511" max="9511" width="25.140625" customWidth="1"/>
    <col min="9512" max="9512" width="36.7109375" customWidth="1"/>
    <col min="9513" max="9514" width="24.5703125" customWidth="1"/>
    <col min="9515" max="9515" width="17.85546875" customWidth="1"/>
    <col min="9516" max="9516" width="27.5703125" bestFit="1" customWidth="1"/>
    <col min="9517" max="9517" width="37.28515625" customWidth="1"/>
    <col min="9518" max="9518" width="48.42578125" customWidth="1"/>
    <col min="9519" max="9519" width="32" customWidth="1"/>
    <col min="9520" max="9520" width="32.7109375" customWidth="1"/>
    <col min="9521" max="9521" width="18.5703125" customWidth="1"/>
    <col min="9522" max="9522" width="16.7109375" customWidth="1"/>
    <col min="9523" max="9523" width="10.42578125" customWidth="1"/>
    <col min="9524" max="9524" width="10.5703125" customWidth="1"/>
    <col min="9525" max="9525" width="9.28515625" customWidth="1"/>
    <col min="9526" max="9526" width="10.140625" customWidth="1"/>
    <col min="9527" max="9527" width="8.42578125" customWidth="1"/>
    <col min="9528" max="9528" width="9.5703125" customWidth="1"/>
    <col min="9529" max="9529" width="9.28515625" customWidth="1"/>
    <col min="9530" max="9530" width="8.85546875" customWidth="1"/>
    <col min="9531" max="9533" width="8" customWidth="1"/>
    <col min="9534" max="9534" width="8.7109375" customWidth="1"/>
    <col min="9535" max="9535" width="8.140625" customWidth="1"/>
    <col min="9536" max="9536" width="10.5703125" customWidth="1"/>
    <col min="9537" max="9537" width="9.85546875" customWidth="1"/>
    <col min="9538" max="9538" width="13.140625" customWidth="1"/>
    <col min="9539" max="9539" width="25.42578125" customWidth="1"/>
    <col min="9540" max="9540" width="30.85546875" customWidth="1"/>
    <col min="9541" max="9541" width="27.42578125" customWidth="1"/>
    <col min="9755" max="9755" width="13" bestFit="1" customWidth="1"/>
    <col min="9756" max="9756" width="6.85546875" customWidth="1"/>
    <col min="9757" max="9757" width="14.28515625" customWidth="1"/>
    <col min="9758" max="9758" width="14" customWidth="1"/>
    <col min="9759" max="9759" width="17.85546875" customWidth="1"/>
    <col min="9760" max="9760" width="3.5703125" customWidth="1"/>
    <col min="9761" max="9761" width="13.28515625" customWidth="1"/>
    <col min="9762" max="9762" width="5.85546875" customWidth="1"/>
    <col min="9763" max="9763" width="23.28515625" customWidth="1"/>
    <col min="9764" max="9764" width="17.140625" customWidth="1"/>
    <col min="9765" max="9765" width="50.5703125" customWidth="1"/>
    <col min="9766" max="9766" width="28.7109375" customWidth="1"/>
    <col min="9767" max="9767" width="25.140625" customWidth="1"/>
    <col min="9768" max="9768" width="36.7109375" customWidth="1"/>
    <col min="9769" max="9770" width="24.5703125" customWidth="1"/>
    <col min="9771" max="9771" width="17.85546875" customWidth="1"/>
    <col min="9772" max="9772" width="27.5703125" bestFit="1" customWidth="1"/>
    <col min="9773" max="9773" width="37.28515625" customWidth="1"/>
    <col min="9774" max="9774" width="48.42578125" customWidth="1"/>
    <col min="9775" max="9775" width="32" customWidth="1"/>
    <col min="9776" max="9776" width="32.7109375" customWidth="1"/>
    <col min="9777" max="9777" width="18.5703125" customWidth="1"/>
    <col min="9778" max="9778" width="16.7109375" customWidth="1"/>
    <col min="9779" max="9779" width="10.42578125" customWidth="1"/>
    <col min="9780" max="9780" width="10.5703125" customWidth="1"/>
    <col min="9781" max="9781" width="9.28515625" customWidth="1"/>
    <col min="9782" max="9782" width="10.140625" customWidth="1"/>
    <col min="9783" max="9783" width="8.42578125" customWidth="1"/>
    <col min="9784" max="9784" width="9.5703125" customWidth="1"/>
    <col min="9785" max="9785" width="9.28515625" customWidth="1"/>
    <col min="9786" max="9786" width="8.85546875" customWidth="1"/>
    <col min="9787" max="9789" width="8" customWidth="1"/>
    <col min="9790" max="9790" width="8.7109375" customWidth="1"/>
    <col min="9791" max="9791" width="8.140625" customWidth="1"/>
    <col min="9792" max="9792" width="10.5703125" customWidth="1"/>
    <col min="9793" max="9793" width="9.85546875" customWidth="1"/>
    <col min="9794" max="9794" width="13.140625" customWidth="1"/>
    <col min="9795" max="9795" width="25.42578125" customWidth="1"/>
    <col min="9796" max="9796" width="30.85546875" customWidth="1"/>
    <col min="9797" max="9797" width="27.42578125" customWidth="1"/>
    <col min="10011" max="10011" width="13" bestFit="1" customWidth="1"/>
    <col min="10012" max="10012" width="6.85546875" customWidth="1"/>
    <col min="10013" max="10013" width="14.28515625" customWidth="1"/>
    <col min="10014" max="10014" width="14" customWidth="1"/>
    <col min="10015" max="10015" width="17.85546875" customWidth="1"/>
    <col min="10016" max="10016" width="3.5703125" customWidth="1"/>
    <col min="10017" max="10017" width="13.28515625" customWidth="1"/>
    <col min="10018" max="10018" width="5.85546875" customWidth="1"/>
    <col min="10019" max="10019" width="23.28515625" customWidth="1"/>
    <col min="10020" max="10020" width="17.140625" customWidth="1"/>
    <col min="10021" max="10021" width="50.5703125" customWidth="1"/>
    <col min="10022" max="10022" width="28.7109375" customWidth="1"/>
    <col min="10023" max="10023" width="25.140625" customWidth="1"/>
    <col min="10024" max="10024" width="36.7109375" customWidth="1"/>
    <col min="10025" max="10026" width="24.5703125" customWidth="1"/>
    <col min="10027" max="10027" width="17.85546875" customWidth="1"/>
    <col min="10028" max="10028" width="27.5703125" bestFit="1" customWidth="1"/>
    <col min="10029" max="10029" width="37.28515625" customWidth="1"/>
    <col min="10030" max="10030" width="48.42578125" customWidth="1"/>
    <col min="10031" max="10031" width="32" customWidth="1"/>
    <col min="10032" max="10032" width="32.7109375" customWidth="1"/>
    <col min="10033" max="10033" width="18.5703125" customWidth="1"/>
    <col min="10034" max="10034" width="16.7109375" customWidth="1"/>
    <col min="10035" max="10035" width="10.42578125" customWidth="1"/>
    <col min="10036" max="10036" width="10.5703125" customWidth="1"/>
    <col min="10037" max="10037" width="9.28515625" customWidth="1"/>
    <col min="10038" max="10038" width="10.140625" customWidth="1"/>
    <col min="10039" max="10039" width="8.42578125" customWidth="1"/>
    <col min="10040" max="10040" width="9.5703125" customWidth="1"/>
    <col min="10041" max="10041" width="9.28515625" customWidth="1"/>
    <col min="10042" max="10042" width="8.85546875" customWidth="1"/>
    <col min="10043" max="10045" width="8" customWidth="1"/>
    <col min="10046" max="10046" width="8.7109375" customWidth="1"/>
    <col min="10047" max="10047" width="8.140625" customWidth="1"/>
    <col min="10048" max="10048" width="10.5703125" customWidth="1"/>
    <col min="10049" max="10049" width="9.85546875" customWidth="1"/>
    <col min="10050" max="10050" width="13.140625" customWidth="1"/>
    <col min="10051" max="10051" width="25.42578125" customWidth="1"/>
    <col min="10052" max="10052" width="30.85546875" customWidth="1"/>
    <col min="10053" max="10053" width="27.42578125" customWidth="1"/>
    <col min="10267" max="10267" width="13" bestFit="1" customWidth="1"/>
    <col min="10268" max="10268" width="6.85546875" customWidth="1"/>
    <col min="10269" max="10269" width="14.28515625" customWidth="1"/>
    <col min="10270" max="10270" width="14" customWidth="1"/>
    <col min="10271" max="10271" width="17.85546875" customWidth="1"/>
    <col min="10272" max="10272" width="3.5703125" customWidth="1"/>
    <col min="10273" max="10273" width="13.28515625" customWidth="1"/>
    <col min="10274" max="10274" width="5.85546875" customWidth="1"/>
    <col min="10275" max="10275" width="23.28515625" customWidth="1"/>
    <col min="10276" max="10276" width="17.140625" customWidth="1"/>
    <col min="10277" max="10277" width="50.5703125" customWidth="1"/>
    <col min="10278" max="10278" width="28.7109375" customWidth="1"/>
    <col min="10279" max="10279" width="25.140625" customWidth="1"/>
    <col min="10280" max="10280" width="36.7109375" customWidth="1"/>
    <col min="10281" max="10282" width="24.5703125" customWidth="1"/>
    <col min="10283" max="10283" width="17.85546875" customWidth="1"/>
    <col min="10284" max="10284" width="27.5703125" bestFit="1" customWidth="1"/>
    <col min="10285" max="10285" width="37.28515625" customWidth="1"/>
    <col min="10286" max="10286" width="48.42578125" customWidth="1"/>
    <col min="10287" max="10287" width="32" customWidth="1"/>
    <col min="10288" max="10288" width="32.7109375" customWidth="1"/>
    <col min="10289" max="10289" width="18.5703125" customWidth="1"/>
    <col min="10290" max="10290" width="16.7109375" customWidth="1"/>
    <col min="10291" max="10291" width="10.42578125" customWidth="1"/>
    <col min="10292" max="10292" width="10.5703125" customWidth="1"/>
    <col min="10293" max="10293" width="9.28515625" customWidth="1"/>
    <col min="10294" max="10294" width="10.140625" customWidth="1"/>
    <col min="10295" max="10295" width="8.42578125" customWidth="1"/>
    <col min="10296" max="10296" width="9.5703125" customWidth="1"/>
    <col min="10297" max="10297" width="9.28515625" customWidth="1"/>
    <col min="10298" max="10298" width="8.85546875" customWidth="1"/>
    <col min="10299" max="10301" width="8" customWidth="1"/>
    <col min="10302" max="10302" width="8.7109375" customWidth="1"/>
    <col min="10303" max="10303" width="8.140625" customWidth="1"/>
    <col min="10304" max="10304" width="10.5703125" customWidth="1"/>
    <col min="10305" max="10305" width="9.85546875" customWidth="1"/>
    <col min="10306" max="10306" width="13.140625" customWidth="1"/>
    <col min="10307" max="10307" width="25.42578125" customWidth="1"/>
    <col min="10308" max="10308" width="30.85546875" customWidth="1"/>
    <col min="10309" max="10309" width="27.42578125" customWidth="1"/>
    <col min="10523" max="10523" width="13" bestFit="1" customWidth="1"/>
    <col min="10524" max="10524" width="6.85546875" customWidth="1"/>
    <col min="10525" max="10525" width="14.28515625" customWidth="1"/>
    <col min="10526" max="10526" width="14" customWidth="1"/>
    <col min="10527" max="10527" width="17.85546875" customWidth="1"/>
    <col min="10528" max="10528" width="3.5703125" customWidth="1"/>
    <col min="10529" max="10529" width="13.28515625" customWidth="1"/>
    <col min="10530" max="10530" width="5.85546875" customWidth="1"/>
    <col min="10531" max="10531" width="23.28515625" customWidth="1"/>
    <col min="10532" max="10532" width="17.140625" customWidth="1"/>
    <col min="10533" max="10533" width="50.5703125" customWidth="1"/>
    <col min="10534" max="10534" width="28.7109375" customWidth="1"/>
    <col min="10535" max="10535" width="25.140625" customWidth="1"/>
    <col min="10536" max="10536" width="36.7109375" customWidth="1"/>
    <col min="10537" max="10538" width="24.5703125" customWidth="1"/>
    <col min="10539" max="10539" width="17.85546875" customWidth="1"/>
    <col min="10540" max="10540" width="27.5703125" bestFit="1" customWidth="1"/>
    <col min="10541" max="10541" width="37.28515625" customWidth="1"/>
    <col min="10542" max="10542" width="48.42578125" customWidth="1"/>
    <col min="10543" max="10543" width="32" customWidth="1"/>
    <col min="10544" max="10544" width="32.7109375" customWidth="1"/>
    <col min="10545" max="10545" width="18.5703125" customWidth="1"/>
    <col min="10546" max="10546" width="16.7109375" customWidth="1"/>
    <col min="10547" max="10547" width="10.42578125" customWidth="1"/>
    <col min="10548" max="10548" width="10.5703125" customWidth="1"/>
    <col min="10549" max="10549" width="9.28515625" customWidth="1"/>
    <col min="10550" max="10550" width="10.140625" customWidth="1"/>
    <col min="10551" max="10551" width="8.42578125" customWidth="1"/>
    <col min="10552" max="10552" width="9.5703125" customWidth="1"/>
    <col min="10553" max="10553" width="9.28515625" customWidth="1"/>
    <col min="10554" max="10554" width="8.85546875" customWidth="1"/>
    <col min="10555" max="10557" width="8" customWidth="1"/>
    <col min="10558" max="10558" width="8.7109375" customWidth="1"/>
    <col min="10559" max="10559" width="8.140625" customWidth="1"/>
    <col min="10560" max="10560" width="10.5703125" customWidth="1"/>
    <col min="10561" max="10561" width="9.85546875" customWidth="1"/>
    <col min="10562" max="10562" width="13.140625" customWidth="1"/>
    <col min="10563" max="10563" width="25.42578125" customWidth="1"/>
    <col min="10564" max="10564" width="30.85546875" customWidth="1"/>
    <col min="10565" max="10565" width="27.42578125" customWidth="1"/>
    <col min="10779" max="10779" width="13" bestFit="1" customWidth="1"/>
    <col min="10780" max="10780" width="6.85546875" customWidth="1"/>
    <col min="10781" max="10781" width="14.28515625" customWidth="1"/>
    <col min="10782" max="10782" width="14" customWidth="1"/>
    <col min="10783" max="10783" width="17.85546875" customWidth="1"/>
    <col min="10784" max="10784" width="3.5703125" customWidth="1"/>
    <col min="10785" max="10785" width="13.28515625" customWidth="1"/>
    <col min="10786" max="10786" width="5.85546875" customWidth="1"/>
    <col min="10787" max="10787" width="23.28515625" customWidth="1"/>
    <col min="10788" max="10788" width="17.140625" customWidth="1"/>
    <col min="10789" max="10789" width="50.5703125" customWidth="1"/>
    <col min="10790" max="10790" width="28.7109375" customWidth="1"/>
    <col min="10791" max="10791" width="25.140625" customWidth="1"/>
    <col min="10792" max="10792" width="36.7109375" customWidth="1"/>
    <col min="10793" max="10794" width="24.5703125" customWidth="1"/>
    <col min="10795" max="10795" width="17.85546875" customWidth="1"/>
    <col min="10796" max="10796" width="27.5703125" bestFit="1" customWidth="1"/>
    <col min="10797" max="10797" width="37.28515625" customWidth="1"/>
    <col min="10798" max="10798" width="48.42578125" customWidth="1"/>
    <col min="10799" max="10799" width="32" customWidth="1"/>
    <col min="10800" max="10800" width="32.7109375" customWidth="1"/>
    <col min="10801" max="10801" width="18.5703125" customWidth="1"/>
    <col min="10802" max="10802" width="16.7109375" customWidth="1"/>
    <col min="10803" max="10803" width="10.42578125" customWidth="1"/>
    <col min="10804" max="10804" width="10.5703125" customWidth="1"/>
    <col min="10805" max="10805" width="9.28515625" customWidth="1"/>
    <col min="10806" max="10806" width="10.140625" customWidth="1"/>
    <col min="10807" max="10807" width="8.42578125" customWidth="1"/>
    <col min="10808" max="10808" width="9.5703125" customWidth="1"/>
    <col min="10809" max="10809" width="9.28515625" customWidth="1"/>
    <col min="10810" max="10810" width="8.85546875" customWidth="1"/>
    <col min="10811" max="10813" width="8" customWidth="1"/>
    <col min="10814" max="10814" width="8.7109375" customWidth="1"/>
    <col min="10815" max="10815" width="8.140625" customWidth="1"/>
    <col min="10816" max="10816" width="10.5703125" customWidth="1"/>
    <col min="10817" max="10817" width="9.85546875" customWidth="1"/>
    <col min="10818" max="10818" width="13.140625" customWidth="1"/>
    <col min="10819" max="10819" width="25.42578125" customWidth="1"/>
    <col min="10820" max="10820" width="30.85546875" customWidth="1"/>
    <col min="10821" max="10821" width="27.42578125" customWidth="1"/>
    <col min="11035" max="11035" width="13" bestFit="1" customWidth="1"/>
    <col min="11036" max="11036" width="6.85546875" customWidth="1"/>
    <col min="11037" max="11037" width="14.28515625" customWidth="1"/>
    <col min="11038" max="11038" width="14" customWidth="1"/>
    <col min="11039" max="11039" width="17.85546875" customWidth="1"/>
    <col min="11040" max="11040" width="3.5703125" customWidth="1"/>
    <col min="11041" max="11041" width="13.28515625" customWidth="1"/>
    <col min="11042" max="11042" width="5.85546875" customWidth="1"/>
    <col min="11043" max="11043" width="23.28515625" customWidth="1"/>
    <col min="11044" max="11044" width="17.140625" customWidth="1"/>
    <col min="11045" max="11045" width="50.5703125" customWidth="1"/>
    <col min="11046" max="11046" width="28.7109375" customWidth="1"/>
    <col min="11047" max="11047" width="25.140625" customWidth="1"/>
    <col min="11048" max="11048" width="36.7109375" customWidth="1"/>
    <col min="11049" max="11050" width="24.5703125" customWidth="1"/>
    <col min="11051" max="11051" width="17.85546875" customWidth="1"/>
    <col min="11052" max="11052" width="27.5703125" bestFit="1" customWidth="1"/>
    <col min="11053" max="11053" width="37.28515625" customWidth="1"/>
    <col min="11054" max="11054" width="48.42578125" customWidth="1"/>
    <col min="11055" max="11055" width="32" customWidth="1"/>
    <col min="11056" max="11056" width="32.7109375" customWidth="1"/>
    <col min="11057" max="11057" width="18.5703125" customWidth="1"/>
    <col min="11058" max="11058" width="16.7109375" customWidth="1"/>
    <col min="11059" max="11059" width="10.42578125" customWidth="1"/>
    <col min="11060" max="11060" width="10.5703125" customWidth="1"/>
    <col min="11061" max="11061" width="9.28515625" customWidth="1"/>
    <col min="11062" max="11062" width="10.140625" customWidth="1"/>
    <col min="11063" max="11063" width="8.42578125" customWidth="1"/>
    <col min="11064" max="11064" width="9.5703125" customWidth="1"/>
    <col min="11065" max="11065" width="9.28515625" customWidth="1"/>
    <col min="11066" max="11066" width="8.85546875" customWidth="1"/>
    <col min="11067" max="11069" width="8" customWidth="1"/>
    <col min="11070" max="11070" width="8.7109375" customWidth="1"/>
    <col min="11071" max="11071" width="8.140625" customWidth="1"/>
    <col min="11072" max="11072" width="10.5703125" customWidth="1"/>
    <col min="11073" max="11073" width="9.85546875" customWidth="1"/>
    <col min="11074" max="11074" width="13.140625" customWidth="1"/>
    <col min="11075" max="11075" width="25.42578125" customWidth="1"/>
    <col min="11076" max="11076" width="30.85546875" customWidth="1"/>
    <col min="11077" max="11077" width="27.42578125" customWidth="1"/>
    <col min="11291" max="11291" width="13" bestFit="1" customWidth="1"/>
    <col min="11292" max="11292" width="6.85546875" customWidth="1"/>
    <col min="11293" max="11293" width="14.28515625" customWidth="1"/>
    <col min="11294" max="11294" width="14" customWidth="1"/>
    <col min="11295" max="11295" width="17.85546875" customWidth="1"/>
    <col min="11296" max="11296" width="3.5703125" customWidth="1"/>
    <col min="11297" max="11297" width="13.28515625" customWidth="1"/>
    <col min="11298" max="11298" width="5.85546875" customWidth="1"/>
    <col min="11299" max="11299" width="23.28515625" customWidth="1"/>
    <col min="11300" max="11300" width="17.140625" customWidth="1"/>
    <col min="11301" max="11301" width="50.5703125" customWidth="1"/>
    <col min="11302" max="11302" width="28.7109375" customWidth="1"/>
    <col min="11303" max="11303" width="25.140625" customWidth="1"/>
    <col min="11304" max="11304" width="36.7109375" customWidth="1"/>
    <col min="11305" max="11306" width="24.5703125" customWidth="1"/>
    <col min="11307" max="11307" width="17.85546875" customWidth="1"/>
    <col min="11308" max="11308" width="27.5703125" bestFit="1" customWidth="1"/>
    <col min="11309" max="11309" width="37.28515625" customWidth="1"/>
    <col min="11310" max="11310" width="48.42578125" customWidth="1"/>
    <col min="11311" max="11311" width="32" customWidth="1"/>
    <col min="11312" max="11312" width="32.7109375" customWidth="1"/>
    <col min="11313" max="11313" width="18.5703125" customWidth="1"/>
    <col min="11314" max="11314" width="16.7109375" customWidth="1"/>
    <col min="11315" max="11315" width="10.42578125" customWidth="1"/>
    <col min="11316" max="11316" width="10.5703125" customWidth="1"/>
    <col min="11317" max="11317" width="9.28515625" customWidth="1"/>
    <col min="11318" max="11318" width="10.140625" customWidth="1"/>
    <col min="11319" max="11319" width="8.42578125" customWidth="1"/>
    <col min="11320" max="11320" width="9.5703125" customWidth="1"/>
    <col min="11321" max="11321" width="9.28515625" customWidth="1"/>
    <col min="11322" max="11322" width="8.85546875" customWidth="1"/>
    <col min="11323" max="11325" width="8" customWidth="1"/>
    <col min="11326" max="11326" width="8.7109375" customWidth="1"/>
    <col min="11327" max="11327" width="8.140625" customWidth="1"/>
    <col min="11328" max="11328" width="10.5703125" customWidth="1"/>
    <col min="11329" max="11329" width="9.85546875" customWidth="1"/>
    <col min="11330" max="11330" width="13.140625" customWidth="1"/>
    <col min="11331" max="11331" width="25.42578125" customWidth="1"/>
    <col min="11332" max="11332" width="30.85546875" customWidth="1"/>
    <col min="11333" max="11333" width="27.42578125" customWidth="1"/>
    <col min="11547" max="11547" width="13" bestFit="1" customWidth="1"/>
    <col min="11548" max="11548" width="6.85546875" customWidth="1"/>
    <col min="11549" max="11549" width="14.28515625" customWidth="1"/>
    <col min="11550" max="11550" width="14" customWidth="1"/>
    <col min="11551" max="11551" width="17.85546875" customWidth="1"/>
    <col min="11552" max="11552" width="3.5703125" customWidth="1"/>
    <col min="11553" max="11553" width="13.28515625" customWidth="1"/>
    <col min="11554" max="11554" width="5.85546875" customWidth="1"/>
    <col min="11555" max="11555" width="23.28515625" customWidth="1"/>
    <col min="11556" max="11556" width="17.140625" customWidth="1"/>
    <col min="11557" max="11557" width="50.5703125" customWidth="1"/>
    <col min="11558" max="11558" width="28.7109375" customWidth="1"/>
    <col min="11559" max="11559" width="25.140625" customWidth="1"/>
    <col min="11560" max="11560" width="36.7109375" customWidth="1"/>
    <col min="11561" max="11562" width="24.5703125" customWidth="1"/>
    <col min="11563" max="11563" width="17.85546875" customWidth="1"/>
    <col min="11564" max="11564" width="27.5703125" bestFit="1" customWidth="1"/>
    <col min="11565" max="11565" width="37.28515625" customWidth="1"/>
    <col min="11566" max="11566" width="48.42578125" customWidth="1"/>
    <col min="11567" max="11567" width="32" customWidth="1"/>
    <col min="11568" max="11568" width="32.7109375" customWidth="1"/>
    <col min="11569" max="11569" width="18.5703125" customWidth="1"/>
    <col min="11570" max="11570" width="16.7109375" customWidth="1"/>
    <col min="11571" max="11571" width="10.42578125" customWidth="1"/>
    <col min="11572" max="11572" width="10.5703125" customWidth="1"/>
    <col min="11573" max="11573" width="9.28515625" customWidth="1"/>
    <col min="11574" max="11574" width="10.140625" customWidth="1"/>
    <col min="11575" max="11575" width="8.42578125" customWidth="1"/>
    <col min="11576" max="11576" width="9.5703125" customWidth="1"/>
    <col min="11577" max="11577" width="9.28515625" customWidth="1"/>
    <col min="11578" max="11578" width="8.85546875" customWidth="1"/>
    <col min="11579" max="11581" width="8" customWidth="1"/>
    <col min="11582" max="11582" width="8.7109375" customWidth="1"/>
    <col min="11583" max="11583" width="8.140625" customWidth="1"/>
    <col min="11584" max="11584" width="10.5703125" customWidth="1"/>
    <col min="11585" max="11585" width="9.85546875" customWidth="1"/>
    <col min="11586" max="11586" width="13.140625" customWidth="1"/>
    <col min="11587" max="11587" width="25.42578125" customWidth="1"/>
    <col min="11588" max="11588" width="30.85546875" customWidth="1"/>
    <col min="11589" max="11589" width="27.42578125" customWidth="1"/>
    <col min="11803" max="11803" width="13" bestFit="1" customWidth="1"/>
    <col min="11804" max="11804" width="6.85546875" customWidth="1"/>
    <col min="11805" max="11805" width="14.28515625" customWidth="1"/>
    <col min="11806" max="11806" width="14" customWidth="1"/>
    <col min="11807" max="11807" width="17.85546875" customWidth="1"/>
    <col min="11808" max="11808" width="3.5703125" customWidth="1"/>
    <col min="11809" max="11809" width="13.28515625" customWidth="1"/>
    <col min="11810" max="11810" width="5.85546875" customWidth="1"/>
    <col min="11811" max="11811" width="23.28515625" customWidth="1"/>
    <col min="11812" max="11812" width="17.140625" customWidth="1"/>
    <col min="11813" max="11813" width="50.5703125" customWidth="1"/>
    <col min="11814" max="11814" width="28.7109375" customWidth="1"/>
    <col min="11815" max="11815" width="25.140625" customWidth="1"/>
    <col min="11816" max="11816" width="36.7109375" customWidth="1"/>
    <col min="11817" max="11818" width="24.5703125" customWidth="1"/>
    <col min="11819" max="11819" width="17.85546875" customWidth="1"/>
    <col min="11820" max="11820" width="27.5703125" bestFit="1" customWidth="1"/>
    <col min="11821" max="11821" width="37.28515625" customWidth="1"/>
    <col min="11822" max="11822" width="48.42578125" customWidth="1"/>
    <col min="11823" max="11823" width="32" customWidth="1"/>
    <col min="11824" max="11824" width="32.7109375" customWidth="1"/>
    <col min="11825" max="11825" width="18.5703125" customWidth="1"/>
    <col min="11826" max="11826" width="16.7109375" customWidth="1"/>
    <col min="11827" max="11827" width="10.42578125" customWidth="1"/>
    <col min="11828" max="11828" width="10.5703125" customWidth="1"/>
    <col min="11829" max="11829" width="9.28515625" customWidth="1"/>
    <col min="11830" max="11830" width="10.140625" customWidth="1"/>
    <col min="11831" max="11831" width="8.42578125" customWidth="1"/>
    <col min="11832" max="11832" width="9.5703125" customWidth="1"/>
    <col min="11833" max="11833" width="9.28515625" customWidth="1"/>
    <col min="11834" max="11834" width="8.85546875" customWidth="1"/>
    <col min="11835" max="11837" width="8" customWidth="1"/>
    <col min="11838" max="11838" width="8.7109375" customWidth="1"/>
    <col min="11839" max="11839" width="8.140625" customWidth="1"/>
    <col min="11840" max="11840" width="10.5703125" customWidth="1"/>
    <col min="11841" max="11841" width="9.85546875" customWidth="1"/>
    <col min="11842" max="11842" width="13.140625" customWidth="1"/>
    <col min="11843" max="11843" width="25.42578125" customWidth="1"/>
    <col min="11844" max="11844" width="30.85546875" customWidth="1"/>
    <col min="11845" max="11845" width="27.42578125" customWidth="1"/>
    <col min="12059" max="12059" width="13" bestFit="1" customWidth="1"/>
    <col min="12060" max="12060" width="6.85546875" customWidth="1"/>
    <col min="12061" max="12061" width="14.28515625" customWidth="1"/>
    <col min="12062" max="12062" width="14" customWidth="1"/>
    <col min="12063" max="12063" width="17.85546875" customWidth="1"/>
    <col min="12064" max="12064" width="3.5703125" customWidth="1"/>
    <col min="12065" max="12065" width="13.28515625" customWidth="1"/>
    <col min="12066" max="12066" width="5.85546875" customWidth="1"/>
    <col min="12067" max="12067" width="23.28515625" customWidth="1"/>
    <col min="12068" max="12068" width="17.140625" customWidth="1"/>
    <col min="12069" max="12069" width="50.5703125" customWidth="1"/>
    <col min="12070" max="12070" width="28.7109375" customWidth="1"/>
    <col min="12071" max="12071" width="25.140625" customWidth="1"/>
    <col min="12072" max="12072" width="36.7109375" customWidth="1"/>
    <col min="12073" max="12074" width="24.5703125" customWidth="1"/>
    <col min="12075" max="12075" width="17.85546875" customWidth="1"/>
    <col min="12076" max="12076" width="27.5703125" bestFit="1" customWidth="1"/>
    <col min="12077" max="12077" width="37.28515625" customWidth="1"/>
    <col min="12078" max="12078" width="48.42578125" customWidth="1"/>
    <col min="12079" max="12079" width="32" customWidth="1"/>
    <col min="12080" max="12080" width="32.7109375" customWidth="1"/>
    <col min="12081" max="12081" width="18.5703125" customWidth="1"/>
    <col min="12082" max="12082" width="16.7109375" customWidth="1"/>
    <col min="12083" max="12083" width="10.42578125" customWidth="1"/>
    <col min="12084" max="12084" width="10.5703125" customWidth="1"/>
    <col min="12085" max="12085" width="9.28515625" customWidth="1"/>
    <col min="12086" max="12086" width="10.140625" customWidth="1"/>
    <col min="12087" max="12087" width="8.42578125" customWidth="1"/>
    <col min="12088" max="12088" width="9.5703125" customWidth="1"/>
    <col min="12089" max="12089" width="9.28515625" customWidth="1"/>
    <col min="12090" max="12090" width="8.85546875" customWidth="1"/>
    <col min="12091" max="12093" width="8" customWidth="1"/>
    <col min="12094" max="12094" width="8.7109375" customWidth="1"/>
    <col min="12095" max="12095" width="8.140625" customWidth="1"/>
    <col min="12096" max="12096" width="10.5703125" customWidth="1"/>
    <col min="12097" max="12097" width="9.85546875" customWidth="1"/>
    <col min="12098" max="12098" width="13.140625" customWidth="1"/>
    <col min="12099" max="12099" width="25.42578125" customWidth="1"/>
    <col min="12100" max="12100" width="30.85546875" customWidth="1"/>
    <col min="12101" max="12101" width="27.42578125" customWidth="1"/>
    <col min="12315" max="12315" width="13" bestFit="1" customWidth="1"/>
    <col min="12316" max="12316" width="6.85546875" customWidth="1"/>
    <col min="12317" max="12317" width="14.28515625" customWidth="1"/>
    <col min="12318" max="12318" width="14" customWidth="1"/>
    <col min="12319" max="12319" width="17.85546875" customWidth="1"/>
    <col min="12320" max="12320" width="3.5703125" customWidth="1"/>
    <col min="12321" max="12321" width="13.28515625" customWidth="1"/>
    <col min="12322" max="12322" width="5.85546875" customWidth="1"/>
    <col min="12323" max="12323" width="23.28515625" customWidth="1"/>
    <col min="12324" max="12324" width="17.140625" customWidth="1"/>
    <col min="12325" max="12325" width="50.5703125" customWidth="1"/>
    <col min="12326" max="12326" width="28.7109375" customWidth="1"/>
    <col min="12327" max="12327" width="25.140625" customWidth="1"/>
    <col min="12328" max="12328" width="36.7109375" customWidth="1"/>
    <col min="12329" max="12330" width="24.5703125" customWidth="1"/>
    <col min="12331" max="12331" width="17.85546875" customWidth="1"/>
    <col min="12332" max="12332" width="27.5703125" bestFit="1" customWidth="1"/>
    <col min="12333" max="12333" width="37.28515625" customWidth="1"/>
    <col min="12334" max="12334" width="48.42578125" customWidth="1"/>
    <col min="12335" max="12335" width="32" customWidth="1"/>
    <col min="12336" max="12336" width="32.7109375" customWidth="1"/>
    <col min="12337" max="12337" width="18.5703125" customWidth="1"/>
    <col min="12338" max="12338" width="16.7109375" customWidth="1"/>
    <col min="12339" max="12339" width="10.42578125" customWidth="1"/>
    <col min="12340" max="12340" width="10.5703125" customWidth="1"/>
    <col min="12341" max="12341" width="9.28515625" customWidth="1"/>
    <col min="12342" max="12342" width="10.140625" customWidth="1"/>
    <col min="12343" max="12343" width="8.42578125" customWidth="1"/>
    <col min="12344" max="12344" width="9.5703125" customWidth="1"/>
    <col min="12345" max="12345" width="9.28515625" customWidth="1"/>
    <col min="12346" max="12346" width="8.85546875" customWidth="1"/>
    <col min="12347" max="12349" width="8" customWidth="1"/>
    <col min="12350" max="12350" width="8.7109375" customWidth="1"/>
    <col min="12351" max="12351" width="8.140625" customWidth="1"/>
    <col min="12352" max="12352" width="10.5703125" customWidth="1"/>
    <col min="12353" max="12353" width="9.85546875" customWidth="1"/>
    <col min="12354" max="12354" width="13.140625" customWidth="1"/>
    <col min="12355" max="12355" width="25.42578125" customWidth="1"/>
    <col min="12356" max="12356" width="30.85546875" customWidth="1"/>
    <col min="12357" max="12357" width="27.42578125" customWidth="1"/>
    <col min="12571" max="12571" width="13" bestFit="1" customWidth="1"/>
    <col min="12572" max="12572" width="6.85546875" customWidth="1"/>
    <col min="12573" max="12573" width="14.28515625" customWidth="1"/>
    <col min="12574" max="12574" width="14" customWidth="1"/>
    <col min="12575" max="12575" width="17.85546875" customWidth="1"/>
    <col min="12576" max="12576" width="3.5703125" customWidth="1"/>
    <col min="12577" max="12577" width="13.28515625" customWidth="1"/>
    <col min="12578" max="12578" width="5.85546875" customWidth="1"/>
    <col min="12579" max="12579" width="23.28515625" customWidth="1"/>
    <col min="12580" max="12580" width="17.140625" customWidth="1"/>
    <col min="12581" max="12581" width="50.5703125" customWidth="1"/>
    <col min="12582" max="12582" width="28.7109375" customWidth="1"/>
    <col min="12583" max="12583" width="25.140625" customWidth="1"/>
    <col min="12584" max="12584" width="36.7109375" customWidth="1"/>
    <col min="12585" max="12586" width="24.5703125" customWidth="1"/>
    <col min="12587" max="12587" width="17.85546875" customWidth="1"/>
    <col min="12588" max="12588" width="27.5703125" bestFit="1" customWidth="1"/>
    <col min="12589" max="12589" width="37.28515625" customWidth="1"/>
    <col min="12590" max="12590" width="48.42578125" customWidth="1"/>
    <col min="12591" max="12591" width="32" customWidth="1"/>
    <col min="12592" max="12592" width="32.7109375" customWidth="1"/>
    <col min="12593" max="12593" width="18.5703125" customWidth="1"/>
    <col min="12594" max="12594" width="16.7109375" customWidth="1"/>
    <col min="12595" max="12595" width="10.42578125" customWidth="1"/>
    <col min="12596" max="12596" width="10.5703125" customWidth="1"/>
    <col min="12597" max="12597" width="9.28515625" customWidth="1"/>
    <col min="12598" max="12598" width="10.140625" customWidth="1"/>
    <col min="12599" max="12599" width="8.42578125" customWidth="1"/>
    <col min="12600" max="12600" width="9.5703125" customWidth="1"/>
    <col min="12601" max="12601" width="9.28515625" customWidth="1"/>
    <col min="12602" max="12602" width="8.85546875" customWidth="1"/>
    <col min="12603" max="12605" width="8" customWidth="1"/>
    <col min="12606" max="12606" width="8.7109375" customWidth="1"/>
    <col min="12607" max="12607" width="8.140625" customWidth="1"/>
    <col min="12608" max="12608" width="10.5703125" customWidth="1"/>
    <col min="12609" max="12609" width="9.85546875" customWidth="1"/>
    <col min="12610" max="12610" width="13.140625" customWidth="1"/>
    <col min="12611" max="12611" width="25.42578125" customWidth="1"/>
    <col min="12612" max="12612" width="30.85546875" customWidth="1"/>
    <col min="12613" max="12613" width="27.42578125" customWidth="1"/>
    <col min="12827" max="12827" width="13" bestFit="1" customWidth="1"/>
    <col min="12828" max="12828" width="6.85546875" customWidth="1"/>
    <col min="12829" max="12829" width="14.28515625" customWidth="1"/>
    <col min="12830" max="12830" width="14" customWidth="1"/>
    <col min="12831" max="12831" width="17.85546875" customWidth="1"/>
    <col min="12832" max="12832" width="3.5703125" customWidth="1"/>
    <col min="12833" max="12833" width="13.28515625" customWidth="1"/>
    <col min="12834" max="12834" width="5.85546875" customWidth="1"/>
    <col min="12835" max="12835" width="23.28515625" customWidth="1"/>
    <col min="12836" max="12836" width="17.140625" customWidth="1"/>
    <col min="12837" max="12837" width="50.5703125" customWidth="1"/>
    <col min="12838" max="12838" width="28.7109375" customWidth="1"/>
    <col min="12839" max="12839" width="25.140625" customWidth="1"/>
    <col min="12840" max="12840" width="36.7109375" customWidth="1"/>
    <col min="12841" max="12842" width="24.5703125" customWidth="1"/>
    <col min="12843" max="12843" width="17.85546875" customWidth="1"/>
    <col min="12844" max="12844" width="27.5703125" bestFit="1" customWidth="1"/>
    <col min="12845" max="12845" width="37.28515625" customWidth="1"/>
    <col min="12846" max="12846" width="48.42578125" customWidth="1"/>
    <col min="12847" max="12847" width="32" customWidth="1"/>
    <col min="12848" max="12848" width="32.7109375" customWidth="1"/>
    <col min="12849" max="12849" width="18.5703125" customWidth="1"/>
    <col min="12850" max="12850" width="16.7109375" customWidth="1"/>
    <col min="12851" max="12851" width="10.42578125" customWidth="1"/>
    <col min="12852" max="12852" width="10.5703125" customWidth="1"/>
    <col min="12853" max="12853" width="9.28515625" customWidth="1"/>
    <col min="12854" max="12854" width="10.140625" customWidth="1"/>
    <col min="12855" max="12855" width="8.42578125" customWidth="1"/>
    <col min="12856" max="12856" width="9.5703125" customWidth="1"/>
    <col min="12857" max="12857" width="9.28515625" customWidth="1"/>
    <col min="12858" max="12858" width="8.85546875" customWidth="1"/>
    <col min="12859" max="12861" width="8" customWidth="1"/>
    <col min="12862" max="12862" width="8.7109375" customWidth="1"/>
    <col min="12863" max="12863" width="8.140625" customWidth="1"/>
    <col min="12864" max="12864" width="10.5703125" customWidth="1"/>
    <col min="12865" max="12865" width="9.85546875" customWidth="1"/>
    <col min="12866" max="12866" width="13.140625" customWidth="1"/>
    <col min="12867" max="12867" width="25.42578125" customWidth="1"/>
    <col min="12868" max="12868" width="30.85546875" customWidth="1"/>
    <col min="12869" max="12869" width="27.42578125" customWidth="1"/>
    <col min="13083" max="13083" width="13" bestFit="1" customWidth="1"/>
    <col min="13084" max="13084" width="6.85546875" customWidth="1"/>
    <col min="13085" max="13085" width="14.28515625" customWidth="1"/>
    <col min="13086" max="13086" width="14" customWidth="1"/>
    <col min="13087" max="13087" width="17.85546875" customWidth="1"/>
    <col min="13088" max="13088" width="3.5703125" customWidth="1"/>
    <col min="13089" max="13089" width="13.28515625" customWidth="1"/>
    <col min="13090" max="13090" width="5.85546875" customWidth="1"/>
    <col min="13091" max="13091" width="23.28515625" customWidth="1"/>
    <col min="13092" max="13092" width="17.140625" customWidth="1"/>
    <col min="13093" max="13093" width="50.5703125" customWidth="1"/>
    <col min="13094" max="13094" width="28.7109375" customWidth="1"/>
    <col min="13095" max="13095" width="25.140625" customWidth="1"/>
    <col min="13096" max="13096" width="36.7109375" customWidth="1"/>
    <col min="13097" max="13098" width="24.5703125" customWidth="1"/>
    <col min="13099" max="13099" width="17.85546875" customWidth="1"/>
    <col min="13100" max="13100" width="27.5703125" bestFit="1" customWidth="1"/>
    <col min="13101" max="13101" width="37.28515625" customWidth="1"/>
    <col min="13102" max="13102" width="48.42578125" customWidth="1"/>
    <col min="13103" max="13103" width="32" customWidth="1"/>
    <col min="13104" max="13104" width="32.7109375" customWidth="1"/>
    <col min="13105" max="13105" width="18.5703125" customWidth="1"/>
    <col min="13106" max="13106" width="16.7109375" customWidth="1"/>
    <col min="13107" max="13107" width="10.42578125" customWidth="1"/>
    <col min="13108" max="13108" width="10.5703125" customWidth="1"/>
    <col min="13109" max="13109" width="9.28515625" customWidth="1"/>
    <col min="13110" max="13110" width="10.140625" customWidth="1"/>
    <col min="13111" max="13111" width="8.42578125" customWidth="1"/>
    <col min="13112" max="13112" width="9.5703125" customWidth="1"/>
    <col min="13113" max="13113" width="9.28515625" customWidth="1"/>
    <col min="13114" max="13114" width="8.85546875" customWidth="1"/>
    <col min="13115" max="13117" width="8" customWidth="1"/>
    <col min="13118" max="13118" width="8.7109375" customWidth="1"/>
    <col min="13119" max="13119" width="8.140625" customWidth="1"/>
    <col min="13120" max="13120" width="10.5703125" customWidth="1"/>
    <col min="13121" max="13121" width="9.85546875" customWidth="1"/>
    <col min="13122" max="13122" width="13.140625" customWidth="1"/>
    <col min="13123" max="13123" width="25.42578125" customWidth="1"/>
    <col min="13124" max="13124" width="30.85546875" customWidth="1"/>
    <col min="13125" max="13125" width="27.42578125" customWidth="1"/>
    <col min="13339" max="13339" width="13" bestFit="1" customWidth="1"/>
    <col min="13340" max="13340" width="6.85546875" customWidth="1"/>
    <col min="13341" max="13341" width="14.28515625" customWidth="1"/>
    <col min="13342" max="13342" width="14" customWidth="1"/>
    <col min="13343" max="13343" width="17.85546875" customWidth="1"/>
    <col min="13344" max="13344" width="3.5703125" customWidth="1"/>
    <col min="13345" max="13345" width="13.28515625" customWidth="1"/>
    <col min="13346" max="13346" width="5.85546875" customWidth="1"/>
    <col min="13347" max="13347" width="23.28515625" customWidth="1"/>
    <col min="13348" max="13348" width="17.140625" customWidth="1"/>
    <col min="13349" max="13349" width="50.5703125" customWidth="1"/>
    <col min="13350" max="13350" width="28.7109375" customWidth="1"/>
    <col min="13351" max="13351" width="25.140625" customWidth="1"/>
    <col min="13352" max="13352" width="36.7109375" customWidth="1"/>
    <col min="13353" max="13354" width="24.5703125" customWidth="1"/>
    <col min="13355" max="13355" width="17.85546875" customWidth="1"/>
    <col min="13356" max="13356" width="27.5703125" bestFit="1" customWidth="1"/>
    <col min="13357" max="13357" width="37.28515625" customWidth="1"/>
    <col min="13358" max="13358" width="48.42578125" customWidth="1"/>
    <col min="13359" max="13359" width="32" customWidth="1"/>
    <col min="13360" max="13360" width="32.7109375" customWidth="1"/>
    <col min="13361" max="13361" width="18.5703125" customWidth="1"/>
    <col min="13362" max="13362" width="16.7109375" customWidth="1"/>
    <col min="13363" max="13363" width="10.42578125" customWidth="1"/>
    <col min="13364" max="13364" width="10.5703125" customWidth="1"/>
    <col min="13365" max="13365" width="9.28515625" customWidth="1"/>
    <col min="13366" max="13366" width="10.140625" customWidth="1"/>
    <col min="13367" max="13367" width="8.42578125" customWidth="1"/>
    <col min="13368" max="13368" width="9.5703125" customWidth="1"/>
    <col min="13369" max="13369" width="9.28515625" customWidth="1"/>
    <col min="13370" max="13370" width="8.85546875" customWidth="1"/>
    <col min="13371" max="13373" width="8" customWidth="1"/>
    <col min="13374" max="13374" width="8.7109375" customWidth="1"/>
    <col min="13375" max="13375" width="8.140625" customWidth="1"/>
    <col min="13376" max="13376" width="10.5703125" customWidth="1"/>
    <col min="13377" max="13377" width="9.85546875" customWidth="1"/>
    <col min="13378" max="13378" width="13.140625" customWidth="1"/>
    <col min="13379" max="13379" width="25.42578125" customWidth="1"/>
    <col min="13380" max="13380" width="30.85546875" customWidth="1"/>
    <col min="13381" max="13381" width="27.42578125" customWidth="1"/>
    <col min="13595" max="13595" width="13" bestFit="1" customWidth="1"/>
    <col min="13596" max="13596" width="6.85546875" customWidth="1"/>
    <col min="13597" max="13597" width="14.28515625" customWidth="1"/>
    <col min="13598" max="13598" width="14" customWidth="1"/>
    <col min="13599" max="13599" width="17.85546875" customWidth="1"/>
    <col min="13600" max="13600" width="3.5703125" customWidth="1"/>
    <col min="13601" max="13601" width="13.28515625" customWidth="1"/>
    <col min="13602" max="13602" width="5.85546875" customWidth="1"/>
    <col min="13603" max="13603" width="23.28515625" customWidth="1"/>
    <col min="13604" max="13604" width="17.140625" customWidth="1"/>
    <col min="13605" max="13605" width="50.5703125" customWidth="1"/>
    <col min="13606" max="13606" width="28.7109375" customWidth="1"/>
    <col min="13607" max="13607" width="25.140625" customWidth="1"/>
    <col min="13608" max="13608" width="36.7109375" customWidth="1"/>
    <col min="13609" max="13610" width="24.5703125" customWidth="1"/>
    <col min="13611" max="13611" width="17.85546875" customWidth="1"/>
    <col min="13612" max="13612" width="27.5703125" bestFit="1" customWidth="1"/>
    <col min="13613" max="13613" width="37.28515625" customWidth="1"/>
    <col min="13614" max="13614" width="48.42578125" customWidth="1"/>
    <col min="13615" max="13615" width="32" customWidth="1"/>
    <col min="13616" max="13616" width="32.7109375" customWidth="1"/>
    <col min="13617" max="13617" width="18.5703125" customWidth="1"/>
    <col min="13618" max="13618" width="16.7109375" customWidth="1"/>
    <col min="13619" max="13619" width="10.42578125" customWidth="1"/>
    <col min="13620" max="13620" width="10.5703125" customWidth="1"/>
    <col min="13621" max="13621" width="9.28515625" customWidth="1"/>
    <col min="13622" max="13622" width="10.140625" customWidth="1"/>
    <col min="13623" max="13623" width="8.42578125" customWidth="1"/>
    <col min="13624" max="13624" width="9.5703125" customWidth="1"/>
    <col min="13625" max="13625" width="9.28515625" customWidth="1"/>
    <col min="13626" max="13626" width="8.85546875" customWidth="1"/>
    <col min="13627" max="13629" width="8" customWidth="1"/>
    <col min="13630" max="13630" width="8.7109375" customWidth="1"/>
    <col min="13631" max="13631" width="8.140625" customWidth="1"/>
    <col min="13632" max="13632" width="10.5703125" customWidth="1"/>
    <col min="13633" max="13633" width="9.85546875" customWidth="1"/>
    <col min="13634" max="13634" width="13.140625" customWidth="1"/>
    <col min="13635" max="13635" width="25.42578125" customWidth="1"/>
    <col min="13636" max="13636" width="30.85546875" customWidth="1"/>
    <col min="13637" max="13637" width="27.42578125" customWidth="1"/>
    <col min="13851" max="13851" width="13" bestFit="1" customWidth="1"/>
    <col min="13852" max="13852" width="6.85546875" customWidth="1"/>
    <col min="13853" max="13853" width="14.28515625" customWidth="1"/>
    <col min="13854" max="13854" width="14" customWidth="1"/>
    <col min="13855" max="13855" width="17.85546875" customWidth="1"/>
    <col min="13856" max="13856" width="3.5703125" customWidth="1"/>
    <col min="13857" max="13857" width="13.28515625" customWidth="1"/>
    <col min="13858" max="13858" width="5.85546875" customWidth="1"/>
    <col min="13859" max="13859" width="23.28515625" customWidth="1"/>
    <col min="13860" max="13860" width="17.140625" customWidth="1"/>
    <col min="13861" max="13861" width="50.5703125" customWidth="1"/>
    <col min="13862" max="13862" width="28.7109375" customWidth="1"/>
    <col min="13863" max="13863" width="25.140625" customWidth="1"/>
    <col min="13864" max="13864" width="36.7109375" customWidth="1"/>
    <col min="13865" max="13866" width="24.5703125" customWidth="1"/>
    <col min="13867" max="13867" width="17.85546875" customWidth="1"/>
    <col min="13868" max="13868" width="27.5703125" bestFit="1" customWidth="1"/>
    <col min="13869" max="13869" width="37.28515625" customWidth="1"/>
    <col min="13870" max="13870" width="48.42578125" customWidth="1"/>
    <col min="13871" max="13871" width="32" customWidth="1"/>
    <col min="13872" max="13872" width="32.7109375" customWidth="1"/>
    <col min="13873" max="13873" width="18.5703125" customWidth="1"/>
    <col min="13874" max="13874" width="16.7109375" customWidth="1"/>
    <col min="13875" max="13875" width="10.42578125" customWidth="1"/>
    <col min="13876" max="13876" width="10.5703125" customWidth="1"/>
    <col min="13877" max="13877" width="9.28515625" customWidth="1"/>
    <col min="13878" max="13878" width="10.140625" customWidth="1"/>
    <col min="13879" max="13879" width="8.42578125" customWidth="1"/>
    <col min="13880" max="13880" width="9.5703125" customWidth="1"/>
    <col min="13881" max="13881" width="9.28515625" customWidth="1"/>
    <col min="13882" max="13882" width="8.85546875" customWidth="1"/>
    <col min="13883" max="13885" width="8" customWidth="1"/>
    <col min="13886" max="13886" width="8.7109375" customWidth="1"/>
    <col min="13887" max="13887" width="8.140625" customWidth="1"/>
    <col min="13888" max="13888" width="10.5703125" customWidth="1"/>
    <col min="13889" max="13889" width="9.85546875" customWidth="1"/>
    <col min="13890" max="13890" width="13.140625" customWidth="1"/>
    <col min="13891" max="13891" width="25.42578125" customWidth="1"/>
    <col min="13892" max="13892" width="30.85546875" customWidth="1"/>
    <col min="13893" max="13893" width="27.42578125" customWidth="1"/>
    <col min="14107" max="14107" width="13" bestFit="1" customWidth="1"/>
    <col min="14108" max="14108" width="6.85546875" customWidth="1"/>
    <col min="14109" max="14109" width="14.28515625" customWidth="1"/>
    <col min="14110" max="14110" width="14" customWidth="1"/>
    <col min="14111" max="14111" width="17.85546875" customWidth="1"/>
    <col min="14112" max="14112" width="3.5703125" customWidth="1"/>
    <col min="14113" max="14113" width="13.28515625" customWidth="1"/>
    <col min="14114" max="14114" width="5.85546875" customWidth="1"/>
    <col min="14115" max="14115" width="23.28515625" customWidth="1"/>
    <col min="14116" max="14116" width="17.140625" customWidth="1"/>
    <col min="14117" max="14117" width="50.5703125" customWidth="1"/>
    <col min="14118" max="14118" width="28.7109375" customWidth="1"/>
    <col min="14119" max="14119" width="25.140625" customWidth="1"/>
    <col min="14120" max="14120" width="36.7109375" customWidth="1"/>
    <col min="14121" max="14122" width="24.5703125" customWidth="1"/>
    <col min="14123" max="14123" width="17.85546875" customWidth="1"/>
    <col min="14124" max="14124" width="27.5703125" bestFit="1" customWidth="1"/>
    <col min="14125" max="14125" width="37.28515625" customWidth="1"/>
    <col min="14126" max="14126" width="48.42578125" customWidth="1"/>
    <col min="14127" max="14127" width="32" customWidth="1"/>
    <col min="14128" max="14128" width="32.7109375" customWidth="1"/>
    <col min="14129" max="14129" width="18.5703125" customWidth="1"/>
    <col min="14130" max="14130" width="16.7109375" customWidth="1"/>
    <col min="14131" max="14131" width="10.42578125" customWidth="1"/>
    <col min="14132" max="14132" width="10.5703125" customWidth="1"/>
    <col min="14133" max="14133" width="9.28515625" customWidth="1"/>
    <col min="14134" max="14134" width="10.140625" customWidth="1"/>
    <col min="14135" max="14135" width="8.42578125" customWidth="1"/>
    <col min="14136" max="14136" width="9.5703125" customWidth="1"/>
    <col min="14137" max="14137" width="9.28515625" customWidth="1"/>
    <col min="14138" max="14138" width="8.85546875" customWidth="1"/>
    <col min="14139" max="14141" width="8" customWidth="1"/>
    <col min="14142" max="14142" width="8.7109375" customWidth="1"/>
    <col min="14143" max="14143" width="8.140625" customWidth="1"/>
    <col min="14144" max="14144" width="10.5703125" customWidth="1"/>
    <col min="14145" max="14145" width="9.85546875" customWidth="1"/>
    <col min="14146" max="14146" width="13.140625" customWidth="1"/>
    <col min="14147" max="14147" width="25.42578125" customWidth="1"/>
    <col min="14148" max="14148" width="30.85546875" customWidth="1"/>
    <col min="14149" max="14149" width="27.42578125" customWidth="1"/>
    <col min="14363" max="14363" width="13" bestFit="1" customWidth="1"/>
    <col min="14364" max="14364" width="6.85546875" customWidth="1"/>
    <col min="14365" max="14365" width="14.28515625" customWidth="1"/>
    <col min="14366" max="14366" width="14" customWidth="1"/>
    <col min="14367" max="14367" width="17.85546875" customWidth="1"/>
    <col min="14368" max="14368" width="3.5703125" customWidth="1"/>
    <col min="14369" max="14369" width="13.28515625" customWidth="1"/>
    <col min="14370" max="14370" width="5.85546875" customWidth="1"/>
    <col min="14371" max="14371" width="23.28515625" customWidth="1"/>
    <col min="14372" max="14372" width="17.140625" customWidth="1"/>
    <col min="14373" max="14373" width="50.5703125" customWidth="1"/>
    <col min="14374" max="14374" width="28.7109375" customWidth="1"/>
    <col min="14375" max="14375" width="25.140625" customWidth="1"/>
    <col min="14376" max="14376" width="36.7109375" customWidth="1"/>
    <col min="14377" max="14378" width="24.5703125" customWidth="1"/>
    <col min="14379" max="14379" width="17.85546875" customWidth="1"/>
    <col min="14380" max="14380" width="27.5703125" bestFit="1" customWidth="1"/>
    <col min="14381" max="14381" width="37.28515625" customWidth="1"/>
    <col min="14382" max="14382" width="48.42578125" customWidth="1"/>
    <col min="14383" max="14383" width="32" customWidth="1"/>
    <col min="14384" max="14384" width="32.7109375" customWidth="1"/>
    <col min="14385" max="14385" width="18.5703125" customWidth="1"/>
    <col min="14386" max="14386" width="16.7109375" customWidth="1"/>
    <col min="14387" max="14387" width="10.42578125" customWidth="1"/>
    <col min="14388" max="14388" width="10.5703125" customWidth="1"/>
    <col min="14389" max="14389" width="9.28515625" customWidth="1"/>
    <col min="14390" max="14390" width="10.140625" customWidth="1"/>
    <col min="14391" max="14391" width="8.42578125" customWidth="1"/>
    <col min="14392" max="14392" width="9.5703125" customWidth="1"/>
    <col min="14393" max="14393" width="9.28515625" customWidth="1"/>
    <col min="14394" max="14394" width="8.85546875" customWidth="1"/>
    <col min="14395" max="14397" width="8" customWidth="1"/>
    <col min="14398" max="14398" width="8.7109375" customWidth="1"/>
    <col min="14399" max="14399" width="8.140625" customWidth="1"/>
    <col min="14400" max="14400" width="10.5703125" customWidth="1"/>
    <col min="14401" max="14401" width="9.85546875" customWidth="1"/>
    <col min="14402" max="14402" width="13.140625" customWidth="1"/>
    <col min="14403" max="14403" width="25.42578125" customWidth="1"/>
    <col min="14404" max="14404" width="30.85546875" customWidth="1"/>
    <col min="14405" max="14405" width="27.42578125" customWidth="1"/>
    <col min="14619" max="14619" width="13" bestFit="1" customWidth="1"/>
    <col min="14620" max="14620" width="6.85546875" customWidth="1"/>
    <col min="14621" max="14621" width="14.28515625" customWidth="1"/>
    <col min="14622" max="14622" width="14" customWidth="1"/>
    <col min="14623" max="14623" width="17.85546875" customWidth="1"/>
    <col min="14624" max="14624" width="3.5703125" customWidth="1"/>
    <col min="14625" max="14625" width="13.28515625" customWidth="1"/>
    <col min="14626" max="14626" width="5.85546875" customWidth="1"/>
    <col min="14627" max="14627" width="23.28515625" customWidth="1"/>
    <col min="14628" max="14628" width="17.140625" customWidth="1"/>
    <col min="14629" max="14629" width="50.5703125" customWidth="1"/>
    <col min="14630" max="14630" width="28.7109375" customWidth="1"/>
    <col min="14631" max="14631" width="25.140625" customWidth="1"/>
    <col min="14632" max="14632" width="36.7109375" customWidth="1"/>
    <col min="14633" max="14634" width="24.5703125" customWidth="1"/>
    <col min="14635" max="14635" width="17.85546875" customWidth="1"/>
    <col min="14636" max="14636" width="27.5703125" bestFit="1" customWidth="1"/>
    <col min="14637" max="14637" width="37.28515625" customWidth="1"/>
    <col min="14638" max="14638" width="48.42578125" customWidth="1"/>
    <col min="14639" max="14639" width="32" customWidth="1"/>
    <col min="14640" max="14640" width="32.7109375" customWidth="1"/>
    <col min="14641" max="14641" width="18.5703125" customWidth="1"/>
    <col min="14642" max="14642" width="16.7109375" customWidth="1"/>
    <col min="14643" max="14643" width="10.42578125" customWidth="1"/>
    <col min="14644" max="14644" width="10.5703125" customWidth="1"/>
    <col min="14645" max="14645" width="9.28515625" customWidth="1"/>
    <col min="14646" max="14646" width="10.140625" customWidth="1"/>
    <col min="14647" max="14647" width="8.42578125" customWidth="1"/>
    <col min="14648" max="14648" width="9.5703125" customWidth="1"/>
    <col min="14649" max="14649" width="9.28515625" customWidth="1"/>
    <col min="14650" max="14650" width="8.85546875" customWidth="1"/>
    <col min="14651" max="14653" width="8" customWidth="1"/>
    <col min="14654" max="14654" width="8.7109375" customWidth="1"/>
    <col min="14655" max="14655" width="8.140625" customWidth="1"/>
    <col min="14656" max="14656" width="10.5703125" customWidth="1"/>
    <col min="14657" max="14657" width="9.85546875" customWidth="1"/>
    <col min="14658" max="14658" width="13.140625" customWidth="1"/>
    <col min="14659" max="14659" width="25.42578125" customWidth="1"/>
    <col min="14660" max="14660" width="30.85546875" customWidth="1"/>
    <col min="14661" max="14661" width="27.42578125" customWidth="1"/>
    <col min="14875" max="14875" width="13" bestFit="1" customWidth="1"/>
    <col min="14876" max="14876" width="6.85546875" customWidth="1"/>
    <col min="14877" max="14877" width="14.28515625" customWidth="1"/>
    <col min="14878" max="14878" width="14" customWidth="1"/>
    <col min="14879" max="14879" width="17.85546875" customWidth="1"/>
    <col min="14880" max="14880" width="3.5703125" customWidth="1"/>
    <col min="14881" max="14881" width="13.28515625" customWidth="1"/>
    <col min="14882" max="14882" width="5.85546875" customWidth="1"/>
    <col min="14883" max="14883" width="23.28515625" customWidth="1"/>
    <col min="14884" max="14884" width="17.140625" customWidth="1"/>
    <col min="14885" max="14885" width="50.5703125" customWidth="1"/>
    <col min="14886" max="14886" width="28.7109375" customWidth="1"/>
    <col min="14887" max="14887" width="25.140625" customWidth="1"/>
    <col min="14888" max="14888" width="36.7109375" customWidth="1"/>
    <col min="14889" max="14890" width="24.5703125" customWidth="1"/>
    <col min="14891" max="14891" width="17.85546875" customWidth="1"/>
    <col min="14892" max="14892" width="27.5703125" bestFit="1" customWidth="1"/>
    <col min="14893" max="14893" width="37.28515625" customWidth="1"/>
    <col min="14894" max="14894" width="48.42578125" customWidth="1"/>
    <col min="14895" max="14895" width="32" customWidth="1"/>
    <col min="14896" max="14896" width="32.7109375" customWidth="1"/>
    <col min="14897" max="14897" width="18.5703125" customWidth="1"/>
    <col min="14898" max="14898" width="16.7109375" customWidth="1"/>
    <col min="14899" max="14899" width="10.42578125" customWidth="1"/>
    <col min="14900" max="14900" width="10.5703125" customWidth="1"/>
    <col min="14901" max="14901" width="9.28515625" customWidth="1"/>
    <col min="14902" max="14902" width="10.140625" customWidth="1"/>
    <col min="14903" max="14903" width="8.42578125" customWidth="1"/>
    <col min="14904" max="14904" width="9.5703125" customWidth="1"/>
    <col min="14905" max="14905" width="9.28515625" customWidth="1"/>
    <col min="14906" max="14906" width="8.85546875" customWidth="1"/>
    <col min="14907" max="14909" width="8" customWidth="1"/>
    <col min="14910" max="14910" width="8.7109375" customWidth="1"/>
    <col min="14911" max="14911" width="8.140625" customWidth="1"/>
    <col min="14912" max="14912" width="10.5703125" customWidth="1"/>
    <col min="14913" max="14913" width="9.85546875" customWidth="1"/>
    <col min="14914" max="14914" width="13.140625" customWidth="1"/>
    <col min="14915" max="14915" width="25.42578125" customWidth="1"/>
    <col min="14916" max="14916" width="30.85546875" customWidth="1"/>
    <col min="14917" max="14917" width="27.42578125" customWidth="1"/>
    <col min="15131" max="15131" width="13" bestFit="1" customWidth="1"/>
    <col min="15132" max="15132" width="6.85546875" customWidth="1"/>
    <col min="15133" max="15133" width="14.28515625" customWidth="1"/>
    <col min="15134" max="15134" width="14" customWidth="1"/>
    <col min="15135" max="15135" width="17.85546875" customWidth="1"/>
    <col min="15136" max="15136" width="3.5703125" customWidth="1"/>
    <col min="15137" max="15137" width="13.28515625" customWidth="1"/>
    <col min="15138" max="15138" width="5.85546875" customWidth="1"/>
    <col min="15139" max="15139" width="23.28515625" customWidth="1"/>
    <col min="15140" max="15140" width="17.140625" customWidth="1"/>
    <col min="15141" max="15141" width="50.5703125" customWidth="1"/>
    <col min="15142" max="15142" width="28.7109375" customWidth="1"/>
    <col min="15143" max="15143" width="25.140625" customWidth="1"/>
    <col min="15144" max="15144" width="36.7109375" customWidth="1"/>
    <col min="15145" max="15146" width="24.5703125" customWidth="1"/>
    <col min="15147" max="15147" width="17.85546875" customWidth="1"/>
    <col min="15148" max="15148" width="27.5703125" bestFit="1" customWidth="1"/>
    <col min="15149" max="15149" width="37.28515625" customWidth="1"/>
    <col min="15150" max="15150" width="48.42578125" customWidth="1"/>
    <col min="15151" max="15151" width="32" customWidth="1"/>
    <col min="15152" max="15152" width="32.7109375" customWidth="1"/>
    <col min="15153" max="15153" width="18.5703125" customWidth="1"/>
    <col min="15154" max="15154" width="16.7109375" customWidth="1"/>
    <col min="15155" max="15155" width="10.42578125" customWidth="1"/>
    <col min="15156" max="15156" width="10.5703125" customWidth="1"/>
    <col min="15157" max="15157" width="9.28515625" customWidth="1"/>
    <col min="15158" max="15158" width="10.140625" customWidth="1"/>
    <col min="15159" max="15159" width="8.42578125" customWidth="1"/>
    <col min="15160" max="15160" width="9.5703125" customWidth="1"/>
    <col min="15161" max="15161" width="9.28515625" customWidth="1"/>
    <col min="15162" max="15162" width="8.85546875" customWidth="1"/>
    <col min="15163" max="15165" width="8" customWidth="1"/>
    <col min="15166" max="15166" width="8.7109375" customWidth="1"/>
    <col min="15167" max="15167" width="8.140625" customWidth="1"/>
    <col min="15168" max="15168" width="10.5703125" customWidth="1"/>
    <col min="15169" max="15169" width="9.85546875" customWidth="1"/>
    <col min="15170" max="15170" width="13.140625" customWidth="1"/>
    <col min="15171" max="15171" width="25.42578125" customWidth="1"/>
    <col min="15172" max="15172" width="30.85546875" customWidth="1"/>
    <col min="15173" max="15173" width="27.42578125" customWidth="1"/>
    <col min="15387" max="15387" width="13" bestFit="1" customWidth="1"/>
    <col min="15388" max="15388" width="6.85546875" customWidth="1"/>
    <col min="15389" max="15389" width="14.28515625" customWidth="1"/>
    <col min="15390" max="15390" width="14" customWidth="1"/>
    <col min="15391" max="15391" width="17.85546875" customWidth="1"/>
    <col min="15392" max="15392" width="3.5703125" customWidth="1"/>
    <col min="15393" max="15393" width="13.28515625" customWidth="1"/>
    <col min="15394" max="15394" width="5.85546875" customWidth="1"/>
    <col min="15395" max="15395" width="23.28515625" customWidth="1"/>
    <col min="15396" max="15396" width="17.140625" customWidth="1"/>
    <col min="15397" max="15397" width="50.5703125" customWidth="1"/>
    <col min="15398" max="15398" width="28.7109375" customWidth="1"/>
    <col min="15399" max="15399" width="25.140625" customWidth="1"/>
    <col min="15400" max="15400" width="36.7109375" customWidth="1"/>
    <col min="15401" max="15402" width="24.5703125" customWidth="1"/>
    <col min="15403" max="15403" width="17.85546875" customWidth="1"/>
    <col min="15404" max="15404" width="27.5703125" bestFit="1" customWidth="1"/>
    <col min="15405" max="15405" width="37.28515625" customWidth="1"/>
    <col min="15406" max="15406" width="48.42578125" customWidth="1"/>
    <col min="15407" max="15407" width="32" customWidth="1"/>
    <col min="15408" max="15408" width="32.7109375" customWidth="1"/>
    <col min="15409" max="15409" width="18.5703125" customWidth="1"/>
    <col min="15410" max="15410" width="16.7109375" customWidth="1"/>
    <col min="15411" max="15411" width="10.42578125" customWidth="1"/>
    <col min="15412" max="15412" width="10.5703125" customWidth="1"/>
    <col min="15413" max="15413" width="9.28515625" customWidth="1"/>
    <col min="15414" max="15414" width="10.140625" customWidth="1"/>
    <col min="15415" max="15415" width="8.42578125" customWidth="1"/>
    <col min="15416" max="15416" width="9.5703125" customWidth="1"/>
    <col min="15417" max="15417" width="9.28515625" customWidth="1"/>
    <col min="15418" max="15418" width="8.85546875" customWidth="1"/>
    <col min="15419" max="15421" width="8" customWidth="1"/>
    <col min="15422" max="15422" width="8.7109375" customWidth="1"/>
    <col min="15423" max="15423" width="8.140625" customWidth="1"/>
    <col min="15424" max="15424" width="10.5703125" customWidth="1"/>
    <col min="15425" max="15425" width="9.85546875" customWidth="1"/>
    <col min="15426" max="15426" width="13.140625" customWidth="1"/>
    <col min="15427" max="15427" width="25.42578125" customWidth="1"/>
    <col min="15428" max="15428" width="30.85546875" customWidth="1"/>
    <col min="15429" max="15429" width="27.42578125" customWidth="1"/>
    <col min="15643" max="15643" width="13" bestFit="1" customWidth="1"/>
    <col min="15644" max="15644" width="6.85546875" customWidth="1"/>
    <col min="15645" max="15645" width="14.28515625" customWidth="1"/>
    <col min="15646" max="15646" width="14" customWidth="1"/>
    <col min="15647" max="15647" width="17.85546875" customWidth="1"/>
    <col min="15648" max="15648" width="3.5703125" customWidth="1"/>
    <col min="15649" max="15649" width="13.28515625" customWidth="1"/>
    <col min="15650" max="15650" width="5.85546875" customWidth="1"/>
    <col min="15651" max="15651" width="23.28515625" customWidth="1"/>
    <col min="15652" max="15652" width="17.140625" customWidth="1"/>
    <col min="15653" max="15653" width="50.5703125" customWidth="1"/>
    <col min="15654" max="15654" width="28.7109375" customWidth="1"/>
    <col min="15655" max="15655" width="25.140625" customWidth="1"/>
    <col min="15656" max="15656" width="36.7109375" customWidth="1"/>
    <col min="15657" max="15658" width="24.5703125" customWidth="1"/>
    <col min="15659" max="15659" width="17.85546875" customWidth="1"/>
    <col min="15660" max="15660" width="27.5703125" bestFit="1" customWidth="1"/>
    <col min="15661" max="15661" width="37.28515625" customWidth="1"/>
    <col min="15662" max="15662" width="48.42578125" customWidth="1"/>
    <col min="15663" max="15663" width="32" customWidth="1"/>
    <col min="15664" max="15664" width="32.7109375" customWidth="1"/>
    <col min="15665" max="15665" width="18.5703125" customWidth="1"/>
    <col min="15666" max="15666" width="16.7109375" customWidth="1"/>
    <col min="15667" max="15667" width="10.42578125" customWidth="1"/>
    <col min="15668" max="15668" width="10.5703125" customWidth="1"/>
    <col min="15669" max="15669" width="9.28515625" customWidth="1"/>
    <col min="15670" max="15670" width="10.140625" customWidth="1"/>
    <col min="15671" max="15671" width="8.42578125" customWidth="1"/>
    <col min="15672" max="15672" width="9.5703125" customWidth="1"/>
    <col min="15673" max="15673" width="9.28515625" customWidth="1"/>
    <col min="15674" max="15674" width="8.85546875" customWidth="1"/>
    <col min="15675" max="15677" width="8" customWidth="1"/>
    <col min="15678" max="15678" width="8.7109375" customWidth="1"/>
    <col min="15679" max="15679" width="8.140625" customWidth="1"/>
    <col min="15680" max="15680" width="10.5703125" customWidth="1"/>
    <col min="15681" max="15681" width="9.85546875" customWidth="1"/>
    <col min="15682" max="15682" width="13.140625" customWidth="1"/>
    <col min="15683" max="15683" width="25.42578125" customWidth="1"/>
    <col min="15684" max="15684" width="30.85546875" customWidth="1"/>
    <col min="15685" max="15685" width="27.42578125" customWidth="1"/>
    <col min="15899" max="15899" width="13" bestFit="1" customWidth="1"/>
    <col min="15900" max="15900" width="6.85546875" customWidth="1"/>
    <col min="15901" max="15901" width="14.28515625" customWidth="1"/>
    <col min="15902" max="15902" width="14" customWidth="1"/>
    <col min="15903" max="15903" width="17.85546875" customWidth="1"/>
    <col min="15904" max="15904" width="3.5703125" customWidth="1"/>
    <col min="15905" max="15905" width="13.28515625" customWidth="1"/>
    <col min="15906" max="15906" width="5.85546875" customWidth="1"/>
    <col min="15907" max="15907" width="23.28515625" customWidth="1"/>
    <col min="15908" max="15908" width="17.140625" customWidth="1"/>
    <col min="15909" max="15909" width="50.5703125" customWidth="1"/>
    <col min="15910" max="15910" width="28.7109375" customWidth="1"/>
    <col min="15911" max="15911" width="25.140625" customWidth="1"/>
    <col min="15912" max="15912" width="36.7109375" customWidth="1"/>
    <col min="15913" max="15914" width="24.5703125" customWidth="1"/>
    <col min="15915" max="15915" width="17.85546875" customWidth="1"/>
    <col min="15916" max="15916" width="27.5703125" bestFit="1" customWidth="1"/>
    <col min="15917" max="15917" width="37.28515625" customWidth="1"/>
    <col min="15918" max="15918" width="48.42578125" customWidth="1"/>
    <col min="15919" max="15919" width="32" customWidth="1"/>
    <col min="15920" max="15920" width="32.7109375" customWidth="1"/>
    <col min="15921" max="15921" width="18.5703125" customWidth="1"/>
    <col min="15922" max="15922" width="16.7109375" customWidth="1"/>
    <col min="15923" max="15923" width="10.42578125" customWidth="1"/>
    <col min="15924" max="15924" width="10.5703125" customWidth="1"/>
    <col min="15925" max="15925" width="9.28515625" customWidth="1"/>
    <col min="15926" max="15926" width="10.140625" customWidth="1"/>
    <col min="15927" max="15927" width="8.42578125" customWidth="1"/>
    <col min="15928" max="15928" width="9.5703125" customWidth="1"/>
    <col min="15929" max="15929" width="9.28515625" customWidth="1"/>
    <col min="15930" max="15930" width="8.85546875" customWidth="1"/>
    <col min="15931" max="15933" width="8" customWidth="1"/>
    <col min="15934" max="15934" width="8.7109375" customWidth="1"/>
    <col min="15935" max="15935" width="8.140625" customWidth="1"/>
    <col min="15936" max="15936" width="10.5703125" customWidth="1"/>
    <col min="15937" max="15937" width="9.85546875" customWidth="1"/>
    <col min="15938" max="15938" width="13.140625" customWidth="1"/>
    <col min="15939" max="15939" width="25.42578125" customWidth="1"/>
    <col min="15940" max="15940" width="30.85546875" customWidth="1"/>
    <col min="15941" max="15941" width="27.42578125" customWidth="1"/>
    <col min="16155" max="16155" width="13" bestFit="1" customWidth="1"/>
    <col min="16156" max="16156" width="6.85546875" customWidth="1"/>
    <col min="16157" max="16157" width="14.28515625" customWidth="1"/>
    <col min="16158" max="16158" width="14" customWidth="1"/>
    <col min="16159" max="16159" width="17.85546875" customWidth="1"/>
    <col min="16160" max="16160" width="3.5703125" customWidth="1"/>
    <col min="16161" max="16161" width="13.28515625" customWidth="1"/>
    <col min="16162" max="16162" width="5.85546875" customWidth="1"/>
    <col min="16163" max="16163" width="23.28515625" customWidth="1"/>
    <col min="16164" max="16164" width="17.140625" customWidth="1"/>
    <col min="16165" max="16165" width="50.5703125" customWidth="1"/>
    <col min="16166" max="16166" width="28.7109375" customWidth="1"/>
    <col min="16167" max="16167" width="25.140625" customWidth="1"/>
    <col min="16168" max="16168" width="36.7109375" customWidth="1"/>
    <col min="16169" max="16170" width="24.5703125" customWidth="1"/>
    <col min="16171" max="16171" width="17.85546875" customWidth="1"/>
    <col min="16172" max="16172" width="27.5703125" bestFit="1" customWidth="1"/>
    <col min="16173" max="16173" width="37.28515625" customWidth="1"/>
    <col min="16174" max="16174" width="48.42578125" customWidth="1"/>
    <col min="16175" max="16175" width="32" customWidth="1"/>
    <col min="16176" max="16176" width="32.7109375" customWidth="1"/>
    <col min="16177" max="16177" width="18.5703125" customWidth="1"/>
    <col min="16178" max="16178" width="16.7109375" customWidth="1"/>
    <col min="16179" max="16179" width="10.42578125" customWidth="1"/>
    <col min="16180" max="16180" width="10.5703125" customWidth="1"/>
    <col min="16181" max="16181" width="9.28515625" customWidth="1"/>
    <col min="16182" max="16182" width="10.140625" customWidth="1"/>
    <col min="16183" max="16183" width="8.42578125" customWidth="1"/>
    <col min="16184" max="16184" width="9.5703125" customWidth="1"/>
    <col min="16185" max="16185" width="9.28515625" customWidth="1"/>
    <col min="16186" max="16186" width="8.85546875" customWidth="1"/>
    <col min="16187" max="16189" width="8" customWidth="1"/>
    <col min="16190" max="16190" width="8.7109375" customWidth="1"/>
    <col min="16191" max="16191" width="8.140625" customWidth="1"/>
    <col min="16192" max="16192" width="10.5703125" customWidth="1"/>
    <col min="16193" max="16193" width="9.85546875" customWidth="1"/>
    <col min="16194" max="16194" width="13.140625" customWidth="1"/>
    <col min="16195" max="16195" width="25.42578125" customWidth="1"/>
    <col min="16196" max="16196" width="30.85546875" customWidth="1"/>
    <col min="16197" max="16197" width="27.42578125" customWidth="1"/>
  </cols>
  <sheetData>
    <row r="1" spans="1:280" s="776" customFormat="1" ht="22.5" customHeight="1" x14ac:dyDescent="0.25">
      <c r="A1" s="2997" t="s">
        <v>456</v>
      </c>
      <c r="B1" s="2998"/>
      <c r="C1" s="2998"/>
      <c r="D1" s="2998"/>
      <c r="E1" s="2998"/>
      <c r="F1" s="2998"/>
      <c r="G1" s="2998"/>
      <c r="H1" s="2998"/>
      <c r="I1" s="2998"/>
      <c r="J1" s="2998"/>
      <c r="K1" s="2998"/>
      <c r="L1" s="2998"/>
      <c r="M1" s="2998"/>
      <c r="N1" s="2998"/>
      <c r="O1" s="2998"/>
      <c r="P1" s="2998"/>
      <c r="Q1" s="2998"/>
      <c r="R1" s="2998"/>
      <c r="S1" s="2998"/>
      <c r="T1" s="2998"/>
      <c r="U1" s="2998"/>
      <c r="V1" s="2998"/>
      <c r="W1" s="2998"/>
      <c r="X1" s="2998"/>
      <c r="Y1" s="2998"/>
      <c r="Z1" s="2998"/>
      <c r="AA1" s="2998"/>
      <c r="AB1" s="2998"/>
      <c r="AC1" s="2998"/>
      <c r="AD1" s="2998"/>
      <c r="AE1" s="2998"/>
      <c r="AF1" s="2998"/>
      <c r="AG1" s="2998"/>
      <c r="AH1" s="2998"/>
      <c r="AI1" s="2998"/>
      <c r="AJ1" s="2998"/>
      <c r="AK1" s="2998"/>
      <c r="AL1" s="2998"/>
      <c r="AM1" s="2998"/>
      <c r="AN1" s="2998"/>
      <c r="AO1" s="2998"/>
      <c r="AP1" s="2998"/>
      <c r="AQ1" s="2998"/>
      <c r="AR1" s="2998"/>
      <c r="AS1" s="2998"/>
      <c r="AT1" s="2998"/>
      <c r="AU1" s="2998"/>
      <c r="AV1" s="2998"/>
      <c r="AW1" s="2998"/>
      <c r="AX1" s="2998"/>
      <c r="AY1" s="2998"/>
      <c r="AZ1" s="2998"/>
      <c r="BA1" s="2998"/>
      <c r="BB1" s="2998"/>
      <c r="BC1" s="2998"/>
      <c r="BD1" s="2998"/>
      <c r="BE1" s="2998"/>
      <c r="BF1" s="2998"/>
      <c r="BG1" s="2998"/>
      <c r="BH1" s="2998"/>
      <c r="BI1" s="2998"/>
      <c r="BJ1" s="2998"/>
      <c r="BK1" s="2998"/>
      <c r="BL1" s="2998"/>
      <c r="BM1" s="2998"/>
      <c r="BN1" s="2998"/>
      <c r="BO1" s="604"/>
      <c r="BP1" s="774"/>
      <c r="BQ1" s="132" t="s">
        <v>0</v>
      </c>
      <c r="BR1" s="551" t="s">
        <v>1</v>
      </c>
      <c r="BS1" s="775"/>
      <c r="BT1" s="131"/>
      <c r="BU1" s="131"/>
      <c r="BV1" s="775"/>
      <c r="BW1" s="775"/>
      <c r="BX1" s="775"/>
      <c r="BY1" s="775"/>
      <c r="BZ1" s="775"/>
      <c r="CA1" s="775"/>
      <c r="CB1" s="775"/>
      <c r="CC1" s="775"/>
      <c r="CD1" s="775"/>
      <c r="CE1" s="775"/>
      <c r="CF1" s="775"/>
      <c r="CG1" s="775"/>
      <c r="CH1" s="775"/>
      <c r="CI1" s="775"/>
      <c r="CJ1" s="775"/>
      <c r="CK1" s="775"/>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c r="IL1" s="131"/>
      <c r="IM1" s="131"/>
      <c r="IN1" s="131"/>
      <c r="IO1" s="131"/>
      <c r="IP1" s="131"/>
      <c r="IQ1" s="131"/>
      <c r="IR1" s="131"/>
      <c r="IS1" s="131"/>
      <c r="IT1" s="131"/>
      <c r="IU1" s="131"/>
      <c r="IV1" s="131"/>
      <c r="IW1" s="131"/>
      <c r="IX1" s="131"/>
      <c r="IY1" s="131"/>
      <c r="IZ1" s="131"/>
      <c r="JA1" s="131"/>
      <c r="JB1" s="131"/>
      <c r="JC1" s="131"/>
      <c r="JD1" s="131"/>
      <c r="JE1" s="131"/>
      <c r="JF1" s="131"/>
      <c r="JG1" s="131"/>
      <c r="JH1" s="131"/>
      <c r="JI1" s="131"/>
      <c r="JJ1" s="131"/>
      <c r="JK1" s="131"/>
      <c r="JL1" s="131"/>
      <c r="JM1" s="131"/>
      <c r="JN1" s="131"/>
      <c r="JO1" s="131"/>
      <c r="JP1" s="131"/>
      <c r="JQ1" s="131"/>
      <c r="JR1" s="131"/>
      <c r="JS1" s="131"/>
      <c r="JT1" s="131"/>
    </row>
    <row r="2" spans="1:280" s="776" customFormat="1" ht="22.5" customHeight="1" x14ac:dyDescent="0.25">
      <c r="A2" s="3000"/>
      <c r="B2" s="3310"/>
      <c r="C2" s="3310"/>
      <c r="D2" s="3310"/>
      <c r="E2" s="3310"/>
      <c r="F2" s="3310"/>
      <c r="G2" s="3310"/>
      <c r="H2" s="3310"/>
      <c r="I2" s="3310"/>
      <c r="J2" s="3310"/>
      <c r="K2" s="3310"/>
      <c r="L2" s="3310"/>
      <c r="M2" s="3310"/>
      <c r="N2" s="3310"/>
      <c r="O2" s="3310"/>
      <c r="P2" s="3310"/>
      <c r="Q2" s="3310"/>
      <c r="R2" s="3310"/>
      <c r="S2" s="3310"/>
      <c r="T2" s="3310"/>
      <c r="U2" s="3310"/>
      <c r="V2" s="3310"/>
      <c r="W2" s="3310"/>
      <c r="X2" s="3310"/>
      <c r="Y2" s="3310"/>
      <c r="Z2" s="3310"/>
      <c r="AA2" s="3310"/>
      <c r="AB2" s="3310"/>
      <c r="AC2" s="3310"/>
      <c r="AD2" s="3310"/>
      <c r="AE2" s="3310"/>
      <c r="AF2" s="3310"/>
      <c r="AG2" s="3310"/>
      <c r="AH2" s="3310"/>
      <c r="AI2" s="3310"/>
      <c r="AJ2" s="3310"/>
      <c r="AK2" s="3310"/>
      <c r="AL2" s="3310"/>
      <c r="AM2" s="3310"/>
      <c r="AN2" s="3310"/>
      <c r="AO2" s="3310"/>
      <c r="AP2" s="3310"/>
      <c r="AQ2" s="3310"/>
      <c r="AR2" s="3310"/>
      <c r="AS2" s="3310"/>
      <c r="AT2" s="3310"/>
      <c r="AU2" s="3310"/>
      <c r="AV2" s="3310"/>
      <c r="AW2" s="3310"/>
      <c r="AX2" s="3310"/>
      <c r="AY2" s="3310"/>
      <c r="AZ2" s="3310"/>
      <c r="BA2" s="3310"/>
      <c r="BB2" s="3310"/>
      <c r="BC2" s="3310"/>
      <c r="BD2" s="3310"/>
      <c r="BE2" s="3310"/>
      <c r="BF2" s="3310"/>
      <c r="BG2" s="3310"/>
      <c r="BH2" s="3310"/>
      <c r="BI2" s="3310"/>
      <c r="BJ2" s="3310"/>
      <c r="BK2" s="3310"/>
      <c r="BL2" s="3310"/>
      <c r="BM2" s="3310"/>
      <c r="BN2" s="3310"/>
      <c r="BO2" s="608"/>
      <c r="BP2" s="777"/>
      <c r="BQ2" s="133" t="s">
        <v>2</v>
      </c>
      <c r="BR2" s="553">
        <v>6</v>
      </c>
      <c r="BS2" s="775"/>
      <c r="BT2" s="131"/>
      <c r="BU2" s="131"/>
      <c r="BV2" s="775"/>
      <c r="BW2" s="775"/>
      <c r="BX2" s="775"/>
      <c r="BY2" s="775"/>
      <c r="BZ2" s="775"/>
      <c r="CA2" s="775"/>
      <c r="CB2" s="775"/>
      <c r="CC2" s="775"/>
      <c r="CD2" s="775"/>
      <c r="CE2" s="775"/>
      <c r="CF2" s="775"/>
      <c r="CG2" s="775"/>
      <c r="CH2" s="775"/>
      <c r="CI2" s="775"/>
      <c r="CJ2" s="775"/>
      <c r="CK2" s="775"/>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row>
    <row r="3" spans="1:280" s="776" customFormat="1" ht="24" customHeight="1" x14ac:dyDescent="0.25">
      <c r="A3" s="3000"/>
      <c r="B3" s="3310"/>
      <c r="C3" s="3310"/>
      <c r="D3" s="3310"/>
      <c r="E3" s="3310"/>
      <c r="F3" s="3310"/>
      <c r="G3" s="3310"/>
      <c r="H3" s="3310"/>
      <c r="I3" s="3310"/>
      <c r="J3" s="3310"/>
      <c r="K3" s="3310"/>
      <c r="L3" s="3310"/>
      <c r="M3" s="3310"/>
      <c r="N3" s="3310"/>
      <c r="O3" s="3310"/>
      <c r="P3" s="3310"/>
      <c r="Q3" s="3310"/>
      <c r="R3" s="3310"/>
      <c r="S3" s="3310"/>
      <c r="T3" s="3310"/>
      <c r="U3" s="3310"/>
      <c r="V3" s="3310"/>
      <c r="W3" s="3310"/>
      <c r="X3" s="3310"/>
      <c r="Y3" s="3310"/>
      <c r="Z3" s="3310"/>
      <c r="AA3" s="3310"/>
      <c r="AB3" s="3310"/>
      <c r="AC3" s="3310"/>
      <c r="AD3" s="3310"/>
      <c r="AE3" s="3310"/>
      <c r="AF3" s="3310"/>
      <c r="AG3" s="3310"/>
      <c r="AH3" s="3310"/>
      <c r="AI3" s="3310"/>
      <c r="AJ3" s="3310"/>
      <c r="AK3" s="3310"/>
      <c r="AL3" s="3310"/>
      <c r="AM3" s="3310"/>
      <c r="AN3" s="3310"/>
      <c r="AO3" s="3310"/>
      <c r="AP3" s="3310"/>
      <c r="AQ3" s="3310"/>
      <c r="AR3" s="3310"/>
      <c r="AS3" s="3310"/>
      <c r="AT3" s="3310"/>
      <c r="AU3" s="3310"/>
      <c r="AV3" s="3310"/>
      <c r="AW3" s="3310"/>
      <c r="AX3" s="3310"/>
      <c r="AY3" s="3310"/>
      <c r="AZ3" s="3310"/>
      <c r="BA3" s="3310"/>
      <c r="BB3" s="3310"/>
      <c r="BC3" s="3310"/>
      <c r="BD3" s="3310"/>
      <c r="BE3" s="3310"/>
      <c r="BF3" s="3310"/>
      <c r="BG3" s="3310"/>
      <c r="BH3" s="3310"/>
      <c r="BI3" s="3310"/>
      <c r="BJ3" s="3310"/>
      <c r="BK3" s="3310"/>
      <c r="BL3" s="3310"/>
      <c r="BM3" s="3310"/>
      <c r="BN3" s="3310"/>
      <c r="BO3" s="608"/>
      <c r="BP3" s="774"/>
      <c r="BQ3" s="132" t="s">
        <v>3</v>
      </c>
      <c r="BR3" s="554" t="s">
        <v>4</v>
      </c>
      <c r="BS3" s="775"/>
      <c r="BT3" s="131"/>
      <c r="BU3" s="131"/>
      <c r="BV3" s="775"/>
      <c r="BW3" s="775"/>
      <c r="BX3" s="775"/>
      <c r="BY3" s="775"/>
      <c r="BZ3" s="775"/>
      <c r="CA3" s="775"/>
      <c r="CB3" s="775"/>
      <c r="CC3" s="775"/>
      <c r="CD3" s="775"/>
      <c r="CE3" s="775"/>
      <c r="CF3" s="775"/>
      <c r="CG3" s="775"/>
      <c r="CH3" s="775"/>
      <c r="CI3" s="775"/>
      <c r="CJ3" s="775"/>
      <c r="CK3" s="775"/>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row>
    <row r="4" spans="1:280" s="776" customFormat="1" ht="36" customHeight="1" x14ac:dyDescent="0.25">
      <c r="A4" s="3003"/>
      <c r="B4" s="3004"/>
      <c r="C4" s="3004"/>
      <c r="D4" s="3004"/>
      <c r="E4" s="3004"/>
      <c r="F4" s="3004"/>
      <c r="G4" s="3004"/>
      <c r="H4" s="3004"/>
      <c r="I4" s="3004"/>
      <c r="J4" s="3004"/>
      <c r="K4" s="3004"/>
      <c r="L4" s="3004"/>
      <c r="M4" s="3004"/>
      <c r="N4" s="3004"/>
      <c r="O4" s="3004"/>
      <c r="P4" s="3004"/>
      <c r="Q4" s="3004"/>
      <c r="R4" s="3004"/>
      <c r="S4" s="3004"/>
      <c r="T4" s="3004"/>
      <c r="U4" s="3004"/>
      <c r="V4" s="3004"/>
      <c r="W4" s="3004"/>
      <c r="X4" s="3004"/>
      <c r="Y4" s="3004"/>
      <c r="Z4" s="3004"/>
      <c r="AA4" s="3004"/>
      <c r="AB4" s="3004"/>
      <c r="AC4" s="3004"/>
      <c r="AD4" s="3004"/>
      <c r="AE4" s="3004"/>
      <c r="AF4" s="3004"/>
      <c r="AG4" s="3004"/>
      <c r="AH4" s="3004"/>
      <c r="AI4" s="3004"/>
      <c r="AJ4" s="3004"/>
      <c r="AK4" s="3004"/>
      <c r="AL4" s="3004"/>
      <c r="AM4" s="3004"/>
      <c r="AN4" s="3004"/>
      <c r="AO4" s="3004"/>
      <c r="AP4" s="3004"/>
      <c r="AQ4" s="3004"/>
      <c r="AR4" s="3004"/>
      <c r="AS4" s="3004"/>
      <c r="AT4" s="3004"/>
      <c r="AU4" s="3004"/>
      <c r="AV4" s="3004"/>
      <c r="AW4" s="3004"/>
      <c r="AX4" s="3004"/>
      <c r="AY4" s="3004"/>
      <c r="AZ4" s="3004"/>
      <c r="BA4" s="3004"/>
      <c r="BB4" s="3004"/>
      <c r="BC4" s="3004"/>
      <c r="BD4" s="3004"/>
      <c r="BE4" s="3004"/>
      <c r="BF4" s="3004"/>
      <c r="BG4" s="3004"/>
      <c r="BH4" s="3004"/>
      <c r="BI4" s="3004"/>
      <c r="BJ4" s="3004"/>
      <c r="BK4" s="3004"/>
      <c r="BL4" s="3004"/>
      <c r="BM4" s="3004"/>
      <c r="BN4" s="3004"/>
      <c r="BO4" s="605"/>
      <c r="BP4" s="778"/>
      <c r="BQ4" s="132" t="s">
        <v>5</v>
      </c>
      <c r="BR4" s="9" t="s">
        <v>6</v>
      </c>
      <c r="BS4" s="775"/>
      <c r="BT4" s="131"/>
      <c r="BU4" s="131"/>
      <c r="BV4" s="775"/>
      <c r="BW4" s="775"/>
      <c r="BX4" s="775"/>
      <c r="BY4" s="775"/>
      <c r="BZ4" s="775"/>
      <c r="CA4" s="775"/>
      <c r="CB4" s="775"/>
      <c r="CC4" s="775"/>
      <c r="CD4" s="775"/>
      <c r="CE4" s="775"/>
      <c r="CF4" s="775"/>
      <c r="CG4" s="775"/>
      <c r="CH4" s="775"/>
      <c r="CI4" s="775"/>
      <c r="CJ4" s="775"/>
      <c r="CK4" s="775"/>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row>
    <row r="5" spans="1:280" ht="32.25" customHeight="1" x14ac:dyDescent="0.25">
      <c r="A5" s="3006" t="s">
        <v>7</v>
      </c>
      <c r="B5" s="3007"/>
      <c r="C5" s="3007"/>
      <c r="D5" s="3007"/>
      <c r="E5" s="3007"/>
      <c r="F5" s="3007"/>
      <c r="G5" s="3007"/>
      <c r="H5" s="3007"/>
      <c r="I5" s="3007"/>
      <c r="J5" s="3007"/>
      <c r="K5" s="3007"/>
      <c r="L5" s="3007"/>
      <c r="M5" s="3007"/>
      <c r="N5" s="606"/>
      <c r="O5" s="3008" t="s">
        <v>457</v>
      </c>
      <c r="P5" s="3008"/>
      <c r="Q5" s="3008"/>
      <c r="R5" s="3008"/>
      <c r="S5" s="3008"/>
      <c r="T5" s="3008"/>
      <c r="U5" s="3008"/>
      <c r="V5" s="3008"/>
      <c r="W5" s="3008"/>
      <c r="X5" s="3008"/>
      <c r="Y5" s="3008"/>
      <c r="Z5" s="3008"/>
      <c r="AA5" s="3008"/>
      <c r="AB5" s="3008"/>
      <c r="AC5" s="3008"/>
      <c r="AD5" s="3008"/>
      <c r="AE5" s="3008"/>
      <c r="AF5" s="3008"/>
      <c r="AG5" s="3008"/>
      <c r="AH5" s="3008"/>
      <c r="AI5" s="3008"/>
      <c r="AJ5" s="3008"/>
      <c r="AK5" s="3008"/>
      <c r="AL5" s="3008"/>
      <c r="AM5" s="3008"/>
      <c r="AN5" s="3008"/>
      <c r="AO5" s="3008"/>
      <c r="AP5" s="3008"/>
      <c r="AQ5" s="3008"/>
      <c r="AR5" s="3008"/>
      <c r="AS5" s="3008"/>
      <c r="AT5" s="3008"/>
      <c r="AU5" s="3008"/>
      <c r="AV5" s="3008"/>
      <c r="AW5" s="3008"/>
      <c r="AX5" s="3008"/>
      <c r="AY5" s="3008"/>
      <c r="AZ5" s="3008"/>
      <c r="BA5" s="3008"/>
      <c r="BB5" s="3008"/>
      <c r="BC5" s="3008"/>
      <c r="BD5" s="3008"/>
      <c r="BE5" s="3008"/>
      <c r="BF5" s="3008"/>
      <c r="BG5" s="3008"/>
      <c r="BH5" s="3008"/>
      <c r="BI5" s="3008"/>
      <c r="BJ5" s="3008"/>
      <c r="BK5" s="3008"/>
      <c r="BL5" s="3008"/>
      <c r="BM5" s="3008"/>
      <c r="BN5" s="3008"/>
      <c r="BO5" s="3008"/>
      <c r="BP5" s="3009"/>
      <c r="BQ5" s="3313"/>
      <c r="BR5" s="3010"/>
      <c r="BS5" s="48"/>
      <c r="BT5" s="48"/>
      <c r="BU5" s="48"/>
      <c r="BV5" s="48"/>
      <c r="BW5" s="48"/>
      <c r="BX5" s="48"/>
      <c r="BY5" s="48"/>
      <c r="BZ5" s="48"/>
      <c r="CA5" s="48"/>
      <c r="CB5" s="48"/>
      <c r="CC5" s="48"/>
      <c r="CD5" s="48"/>
      <c r="CE5" s="48"/>
      <c r="CF5" s="48"/>
      <c r="CG5" s="48"/>
      <c r="CH5" s="48"/>
      <c r="CI5" s="48"/>
      <c r="CJ5" s="48"/>
      <c r="CK5" s="48"/>
    </row>
    <row r="6" spans="1:280" ht="50.25" customHeight="1" thickBot="1" x14ac:dyDescent="0.3">
      <c r="A6" s="3311"/>
      <c r="B6" s="3312"/>
      <c r="C6" s="3312"/>
      <c r="D6" s="3312"/>
      <c r="E6" s="3312"/>
      <c r="F6" s="3312"/>
      <c r="G6" s="3312"/>
      <c r="H6" s="3312"/>
      <c r="I6" s="3312"/>
      <c r="J6" s="3312"/>
      <c r="K6" s="3312"/>
      <c r="L6" s="3312"/>
      <c r="M6" s="3312"/>
      <c r="N6" s="607"/>
      <c r="O6" s="779"/>
      <c r="P6" s="780"/>
      <c r="Q6" s="780"/>
      <c r="R6" s="607"/>
      <c r="S6" s="781"/>
      <c r="T6" s="780"/>
      <c r="U6" s="780"/>
      <c r="V6" s="780"/>
      <c r="W6" s="782"/>
      <c r="X6" s="782"/>
      <c r="Y6" s="782"/>
      <c r="Z6" s="783"/>
      <c r="AA6" s="780"/>
      <c r="AB6" s="3314" t="s">
        <v>107</v>
      </c>
      <c r="AC6" s="3312"/>
      <c r="AD6" s="3312"/>
      <c r="AE6" s="3312"/>
      <c r="AF6" s="3312"/>
      <c r="AG6" s="3312"/>
      <c r="AH6" s="3312"/>
      <c r="AI6" s="3312"/>
      <c r="AJ6" s="3312"/>
      <c r="AK6" s="3312"/>
      <c r="AL6" s="3312"/>
      <c r="AM6" s="3312"/>
      <c r="AN6" s="3312"/>
      <c r="AO6" s="3312"/>
      <c r="AP6" s="3312"/>
      <c r="AQ6" s="3312"/>
      <c r="AR6" s="3312"/>
      <c r="AS6" s="3312"/>
      <c r="AT6" s="3312"/>
      <c r="AU6" s="3312"/>
      <c r="AV6" s="3312"/>
      <c r="AW6" s="3312"/>
      <c r="AX6" s="3312"/>
      <c r="AY6" s="3312"/>
      <c r="AZ6" s="3312"/>
      <c r="BA6" s="3312"/>
      <c r="BB6" s="3312"/>
      <c r="BC6" s="3312"/>
      <c r="BD6" s="3315"/>
      <c r="BE6" s="607"/>
      <c r="BF6" s="607"/>
      <c r="BG6" s="784"/>
      <c r="BH6" s="784"/>
      <c r="BI6" s="784"/>
      <c r="BJ6" s="784"/>
      <c r="BK6" s="784"/>
      <c r="BL6" s="784"/>
      <c r="BM6" s="784"/>
      <c r="BN6" s="120"/>
      <c r="BO6" s="120"/>
      <c r="BP6" s="120"/>
      <c r="BQ6" s="120"/>
      <c r="BR6" s="785"/>
      <c r="BS6" s="48"/>
      <c r="BT6" s="48"/>
      <c r="BU6" s="48"/>
      <c r="BV6" s="48"/>
      <c r="BW6" s="48"/>
      <c r="BX6" s="48"/>
      <c r="BY6" s="48"/>
      <c r="BZ6" s="48"/>
      <c r="CA6" s="48"/>
      <c r="CB6" s="48"/>
      <c r="CC6" s="48"/>
      <c r="CD6" s="48"/>
      <c r="CE6" s="48"/>
      <c r="CF6" s="48"/>
      <c r="CG6" s="48"/>
      <c r="CH6" s="48"/>
      <c r="CI6" s="48"/>
      <c r="CJ6" s="48"/>
      <c r="CK6" s="48"/>
    </row>
    <row r="7" spans="1:280" ht="15.75" customHeight="1" x14ac:dyDescent="0.25">
      <c r="A7" s="3316" t="s">
        <v>0</v>
      </c>
      <c r="B7" s="3318" t="s">
        <v>9</v>
      </c>
      <c r="C7" s="3318"/>
      <c r="D7" s="3318" t="s">
        <v>0</v>
      </c>
      <c r="E7" s="3318" t="s">
        <v>10</v>
      </c>
      <c r="F7" s="3318"/>
      <c r="G7" s="3318" t="s">
        <v>0</v>
      </c>
      <c r="H7" s="3318" t="s">
        <v>11</v>
      </c>
      <c r="I7" s="3320"/>
      <c r="J7" s="3309" t="s">
        <v>0</v>
      </c>
      <c r="K7" s="3309" t="s">
        <v>12</v>
      </c>
      <c r="L7" s="3309" t="s">
        <v>13</v>
      </c>
      <c r="M7" s="3309" t="s">
        <v>14</v>
      </c>
      <c r="N7" s="3309"/>
      <c r="O7" s="3309" t="s">
        <v>15</v>
      </c>
      <c r="P7" s="3309" t="s">
        <v>108</v>
      </c>
      <c r="Q7" s="3309" t="s">
        <v>8</v>
      </c>
      <c r="R7" s="3335" t="s">
        <v>17</v>
      </c>
      <c r="S7" s="3338" t="s">
        <v>18</v>
      </c>
      <c r="T7" s="3309" t="s">
        <v>19</v>
      </c>
      <c r="U7" s="3309" t="s">
        <v>20</v>
      </c>
      <c r="V7" s="3309" t="s">
        <v>21</v>
      </c>
      <c r="W7" s="3347" t="s">
        <v>18</v>
      </c>
      <c r="X7" s="3348"/>
      <c r="Y7" s="3349"/>
      <c r="Z7" s="3309" t="s">
        <v>0</v>
      </c>
      <c r="AA7" s="3309" t="s">
        <v>22</v>
      </c>
      <c r="AB7" s="3322" t="s">
        <v>23</v>
      </c>
      <c r="AC7" s="3323"/>
      <c r="AD7" s="3323"/>
      <c r="AE7" s="3324"/>
      <c r="AF7" s="3325" t="s">
        <v>24</v>
      </c>
      <c r="AG7" s="3326"/>
      <c r="AH7" s="3326"/>
      <c r="AI7" s="3326"/>
      <c r="AJ7" s="3326"/>
      <c r="AK7" s="3326"/>
      <c r="AL7" s="3326"/>
      <c r="AM7" s="3327"/>
      <c r="AN7" s="3328" t="s">
        <v>25</v>
      </c>
      <c r="AO7" s="3329"/>
      <c r="AP7" s="3329"/>
      <c r="AQ7" s="3329"/>
      <c r="AR7" s="3329"/>
      <c r="AS7" s="3329"/>
      <c r="AT7" s="3329"/>
      <c r="AU7" s="3329"/>
      <c r="AV7" s="3329"/>
      <c r="AW7" s="3329"/>
      <c r="AX7" s="3329"/>
      <c r="AY7" s="3330"/>
      <c r="AZ7" s="3339" t="s">
        <v>26</v>
      </c>
      <c r="BA7" s="3340"/>
      <c r="BB7" s="3340"/>
      <c r="BC7" s="3340"/>
      <c r="BD7" s="3340"/>
      <c r="BE7" s="3341"/>
      <c r="BF7" s="3342" t="s">
        <v>27</v>
      </c>
      <c r="BG7" s="3343"/>
      <c r="BH7" s="3344" t="s">
        <v>28</v>
      </c>
      <c r="BI7" s="3345"/>
      <c r="BJ7" s="3345"/>
      <c r="BK7" s="3345"/>
      <c r="BL7" s="3345"/>
      <c r="BM7" s="3346"/>
      <c r="BN7" s="3353" t="s">
        <v>29</v>
      </c>
      <c r="BO7" s="3354"/>
      <c r="BP7" s="3357" t="s">
        <v>30</v>
      </c>
      <c r="BQ7" s="3357"/>
      <c r="BR7" s="3358" t="s">
        <v>31</v>
      </c>
      <c r="BS7" s="48"/>
      <c r="BT7" s="48"/>
      <c r="BU7" s="48"/>
      <c r="BV7" s="48"/>
      <c r="BW7" s="48"/>
      <c r="BX7" s="48"/>
      <c r="BY7" s="48"/>
      <c r="BZ7" s="48"/>
      <c r="CA7" s="48"/>
      <c r="CB7" s="48"/>
      <c r="CC7" s="48"/>
      <c r="CD7" s="48"/>
      <c r="CE7" s="48"/>
      <c r="CF7" s="48"/>
      <c r="CG7" s="48"/>
      <c r="CH7" s="48"/>
      <c r="CI7" s="48"/>
      <c r="CJ7" s="48"/>
      <c r="CK7" s="48"/>
    </row>
    <row r="8" spans="1:280" ht="116.25" customHeight="1" x14ac:dyDescent="0.25">
      <c r="A8" s="3317"/>
      <c r="B8" s="3319"/>
      <c r="C8" s="3319"/>
      <c r="D8" s="3319"/>
      <c r="E8" s="3319"/>
      <c r="F8" s="3319"/>
      <c r="G8" s="3319"/>
      <c r="H8" s="3319"/>
      <c r="I8" s="3321"/>
      <c r="J8" s="3309"/>
      <c r="K8" s="3309"/>
      <c r="L8" s="3309"/>
      <c r="M8" s="3309"/>
      <c r="N8" s="3309"/>
      <c r="O8" s="3309"/>
      <c r="P8" s="3309"/>
      <c r="Q8" s="3309"/>
      <c r="R8" s="3336"/>
      <c r="S8" s="3338"/>
      <c r="T8" s="3309"/>
      <c r="U8" s="3309"/>
      <c r="V8" s="3309"/>
      <c r="W8" s="3350"/>
      <c r="X8" s="3351"/>
      <c r="Y8" s="3352"/>
      <c r="Z8" s="3309"/>
      <c r="AA8" s="3309"/>
      <c r="AB8" s="3331" t="s">
        <v>37</v>
      </c>
      <c r="AC8" s="3332"/>
      <c r="AD8" s="3333" t="s">
        <v>38</v>
      </c>
      <c r="AE8" s="3334"/>
      <c r="AF8" s="3331" t="s">
        <v>39</v>
      </c>
      <c r="AG8" s="3332"/>
      <c r="AH8" s="3331" t="s">
        <v>40</v>
      </c>
      <c r="AI8" s="3332"/>
      <c r="AJ8" s="3331" t="s">
        <v>201</v>
      </c>
      <c r="AK8" s="3332"/>
      <c r="AL8" s="3331" t="s">
        <v>42</v>
      </c>
      <c r="AM8" s="3332"/>
      <c r="AN8" s="3331" t="s">
        <v>43</v>
      </c>
      <c r="AO8" s="3332"/>
      <c r="AP8" s="3331" t="s">
        <v>44</v>
      </c>
      <c r="AQ8" s="3332"/>
      <c r="AR8" s="3331" t="s">
        <v>45</v>
      </c>
      <c r="AS8" s="3332"/>
      <c r="AT8" s="3331" t="s">
        <v>46</v>
      </c>
      <c r="AU8" s="3332"/>
      <c r="AV8" s="3331" t="s">
        <v>47</v>
      </c>
      <c r="AW8" s="3332"/>
      <c r="AX8" s="3331" t="s">
        <v>48</v>
      </c>
      <c r="AY8" s="3332"/>
      <c r="AZ8" s="3331" t="s">
        <v>49</v>
      </c>
      <c r="BA8" s="3332"/>
      <c r="BB8" s="3331" t="s">
        <v>50</v>
      </c>
      <c r="BC8" s="3332"/>
      <c r="BD8" s="3369" t="s">
        <v>51</v>
      </c>
      <c r="BE8" s="3370"/>
      <c r="BF8" s="3342"/>
      <c r="BG8" s="3343"/>
      <c r="BH8" s="3364" t="s">
        <v>112</v>
      </c>
      <c r="BI8" s="3360" t="s">
        <v>53</v>
      </c>
      <c r="BJ8" s="3360" t="s">
        <v>54</v>
      </c>
      <c r="BK8" s="3362" t="s">
        <v>55</v>
      </c>
      <c r="BL8" s="3364" t="s">
        <v>56</v>
      </c>
      <c r="BM8" s="3364" t="s">
        <v>57</v>
      </c>
      <c r="BN8" s="3355"/>
      <c r="BO8" s="3356"/>
      <c r="BP8" s="3357"/>
      <c r="BQ8" s="3357"/>
      <c r="BR8" s="3359"/>
      <c r="BS8" s="48"/>
      <c r="BT8" s="48"/>
      <c r="BU8" s="48"/>
      <c r="BV8" s="48"/>
      <c r="BW8" s="48"/>
      <c r="BX8" s="48"/>
      <c r="BY8" s="48"/>
      <c r="BZ8" s="48"/>
      <c r="CA8" s="48"/>
      <c r="CB8" s="48"/>
      <c r="CC8" s="48"/>
      <c r="CD8" s="48"/>
      <c r="CE8" s="48"/>
      <c r="CF8" s="48"/>
      <c r="CG8" s="48"/>
      <c r="CH8" s="48"/>
      <c r="CI8" s="48"/>
      <c r="CJ8" s="48"/>
      <c r="CK8" s="48"/>
    </row>
    <row r="9" spans="1:280" s="452" customFormat="1" ht="33.75" customHeight="1" x14ac:dyDescent="0.25">
      <c r="A9" s="879"/>
      <c r="B9" s="881"/>
      <c r="C9" s="882"/>
      <c r="D9" s="880"/>
      <c r="E9" s="881"/>
      <c r="F9" s="882"/>
      <c r="G9" s="880"/>
      <c r="H9" s="881"/>
      <c r="I9" s="882"/>
      <c r="J9" s="3309"/>
      <c r="K9" s="3309"/>
      <c r="L9" s="3309"/>
      <c r="M9" s="508" t="s">
        <v>32</v>
      </c>
      <c r="N9" s="508" t="s">
        <v>33</v>
      </c>
      <c r="O9" s="3309"/>
      <c r="P9" s="3309"/>
      <c r="Q9" s="3309"/>
      <c r="R9" s="3337"/>
      <c r="S9" s="3338"/>
      <c r="T9" s="3309"/>
      <c r="U9" s="3309"/>
      <c r="V9" s="3309"/>
      <c r="W9" s="786" t="s">
        <v>34</v>
      </c>
      <c r="X9" s="603" t="s">
        <v>35</v>
      </c>
      <c r="Y9" s="603" t="s">
        <v>36</v>
      </c>
      <c r="Z9" s="3309"/>
      <c r="AA9" s="3309"/>
      <c r="AB9" s="508" t="s">
        <v>32</v>
      </c>
      <c r="AC9" s="508" t="s">
        <v>33</v>
      </c>
      <c r="AD9" s="508" t="s">
        <v>32</v>
      </c>
      <c r="AE9" s="508" t="s">
        <v>33</v>
      </c>
      <c r="AF9" s="508" t="s">
        <v>32</v>
      </c>
      <c r="AG9" s="508" t="s">
        <v>33</v>
      </c>
      <c r="AH9" s="508" t="s">
        <v>32</v>
      </c>
      <c r="AI9" s="508" t="s">
        <v>33</v>
      </c>
      <c r="AJ9" s="508" t="s">
        <v>32</v>
      </c>
      <c r="AK9" s="508" t="s">
        <v>33</v>
      </c>
      <c r="AL9" s="508" t="s">
        <v>32</v>
      </c>
      <c r="AM9" s="508" t="s">
        <v>33</v>
      </c>
      <c r="AN9" s="508" t="s">
        <v>32</v>
      </c>
      <c r="AO9" s="508" t="s">
        <v>33</v>
      </c>
      <c r="AP9" s="508" t="s">
        <v>32</v>
      </c>
      <c r="AQ9" s="508" t="s">
        <v>33</v>
      </c>
      <c r="AR9" s="508" t="s">
        <v>32</v>
      </c>
      <c r="AS9" s="508" t="s">
        <v>33</v>
      </c>
      <c r="AT9" s="508" t="s">
        <v>32</v>
      </c>
      <c r="AU9" s="508" t="s">
        <v>33</v>
      </c>
      <c r="AV9" s="508" t="s">
        <v>32</v>
      </c>
      <c r="AW9" s="508" t="s">
        <v>33</v>
      </c>
      <c r="AX9" s="508" t="s">
        <v>32</v>
      </c>
      <c r="AY9" s="508" t="s">
        <v>33</v>
      </c>
      <c r="AZ9" s="508" t="s">
        <v>32</v>
      </c>
      <c r="BA9" s="508" t="s">
        <v>33</v>
      </c>
      <c r="BB9" s="508" t="s">
        <v>32</v>
      </c>
      <c r="BC9" s="508" t="s">
        <v>33</v>
      </c>
      <c r="BD9" s="508" t="s">
        <v>32</v>
      </c>
      <c r="BE9" s="508" t="s">
        <v>33</v>
      </c>
      <c r="BF9" s="508" t="s">
        <v>32</v>
      </c>
      <c r="BG9" s="508" t="s">
        <v>33</v>
      </c>
      <c r="BH9" s="3365"/>
      <c r="BI9" s="3361"/>
      <c r="BJ9" s="3361"/>
      <c r="BK9" s="3363"/>
      <c r="BL9" s="3365"/>
      <c r="BM9" s="3365"/>
      <c r="BN9" s="508" t="s">
        <v>32</v>
      </c>
      <c r="BO9" s="508" t="s">
        <v>33</v>
      </c>
      <c r="BP9" s="508" t="s">
        <v>32</v>
      </c>
      <c r="BQ9" s="508" t="s">
        <v>33</v>
      </c>
      <c r="BR9" s="787"/>
      <c r="BS9" s="612"/>
      <c r="BT9" s="612"/>
      <c r="BU9" s="612"/>
      <c r="BV9" s="612"/>
      <c r="BW9" s="612"/>
      <c r="BX9" s="612"/>
      <c r="BY9" s="612"/>
      <c r="BZ9" s="612"/>
      <c r="CA9" s="612"/>
      <c r="CB9" s="612"/>
      <c r="CC9" s="612"/>
      <c r="CD9" s="612"/>
      <c r="CE9" s="612"/>
      <c r="CF9" s="612"/>
      <c r="CG9" s="612"/>
      <c r="CH9" s="612"/>
      <c r="CI9" s="612"/>
      <c r="CJ9" s="612"/>
      <c r="CK9" s="612"/>
      <c r="CL9" s="610"/>
      <c r="CM9" s="610"/>
      <c r="CN9" s="610"/>
      <c r="CO9" s="610"/>
      <c r="CP9" s="610"/>
      <c r="CQ9" s="610"/>
      <c r="CR9" s="610"/>
      <c r="CS9" s="610"/>
      <c r="CT9" s="610"/>
      <c r="CU9" s="610"/>
      <c r="CV9" s="610"/>
      <c r="CW9" s="610"/>
      <c r="CX9" s="610"/>
      <c r="CY9" s="610"/>
      <c r="CZ9" s="610"/>
      <c r="DA9" s="610"/>
      <c r="DB9" s="610"/>
      <c r="DC9" s="610"/>
      <c r="DD9" s="610"/>
      <c r="DE9" s="610"/>
      <c r="DF9" s="610"/>
      <c r="DG9" s="610"/>
      <c r="DH9" s="610"/>
      <c r="DI9" s="610"/>
      <c r="DJ9" s="610"/>
      <c r="DK9" s="610"/>
      <c r="DL9" s="610"/>
      <c r="DM9" s="610"/>
      <c r="DN9" s="610"/>
      <c r="DO9" s="610"/>
      <c r="DP9" s="610"/>
      <c r="DQ9" s="610"/>
      <c r="DR9" s="610"/>
      <c r="DS9" s="610"/>
      <c r="DT9" s="610"/>
      <c r="DU9" s="610"/>
      <c r="DV9" s="610"/>
      <c r="DW9" s="610"/>
      <c r="DX9" s="610"/>
      <c r="DY9" s="610"/>
      <c r="DZ9" s="610"/>
      <c r="EA9" s="610"/>
      <c r="EB9" s="610"/>
      <c r="EC9" s="610"/>
      <c r="ED9" s="610"/>
      <c r="EE9" s="610"/>
      <c r="EF9" s="610"/>
      <c r="EG9" s="610"/>
      <c r="EH9" s="610"/>
      <c r="EI9" s="610"/>
      <c r="EJ9" s="610"/>
      <c r="EK9" s="610"/>
      <c r="EL9" s="610"/>
      <c r="EM9" s="610"/>
      <c r="EN9" s="610"/>
      <c r="EO9" s="610"/>
      <c r="EP9" s="610"/>
      <c r="EQ9" s="610"/>
      <c r="ER9" s="610"/>
      <c r="ES9" s="610"/>
      <c r="ET9" s="610"/>
      <c r="EU9" s="610"/>
      <c r="EV9" s="610"/>
      <c r="EW9" s="610"/>
      <c r="EX9" s="610"/>
      <c r="EY9" s="610"/>
      <c r="EZ9" s="610"/>
      <c r="FA9" s="610"/>
      <c r="FB9" s="610"/>
      <c r="FC9" s="610"/>
      <c r="FD9" s="610"/>
      <c r="FE9" s="610"/>
      <c r="FF9" s="610"/>
      <c r="FG9" s="610"/>
      <c r="FH9" s="610"/>
      <c r="FI9" s="610"/>
      <c r="FJ9" s="610"/>
      <c r="FK9" s="610"/>
      <c r="FL9" s="610"/>
      <c r="FM9" s="610"/>
      <c r="FN9" s="610"/>
      <c r="FO9" s="610"/>
      <c r="FP9" s="610"/>
      <c r="FQ9" s="610"/>
      <c r="FR9" s="610"/>
      <c r="FS9" s="610"/>
      <c r="FT9" s="610"/>
      <c r="FU9" s="610"/>
      <c r="FV9" s="610"/>
      <c r="FW9" s="610"/>
      <c r="FX9" s="610"/>
      <c r="FY9" s="610"/>
      <c r="FZ9" s="610"/>
      <c r="GA9" s="610"/>
      <c r="GB9" s="610"/>
      <c r="GC9" s="610"/>
      <c r="GD9" s="610"/>
      <c r="GE9" s="610"/>
      <c r="GF9" s="610"/>
      <c r="GG9" s="610"/>
      <c r="GH9" s="610"/>
      <c r="GI9" s="610"/>
      <c r="GJ9" s="610"/>
      <c r="GK9" s="610"/>
      <c r="GL9" s="610"/>
      <c r="GM9" s="610"/>
      <c r="GN9" s="610"/>
      <c r="GO9" s="610"/>
      <c r="GP9" s="610"/>
      <c r="GQ9" s="610"/>
      <c r="GR9" s="610"/>
      <c r="GS9" s="610"/>
      <c r="GT9" s="610"/>
      <c r="GU9" s="610"/>
      <c r="GV9" s="610"/>
      <c r="GW9" s="610"/>
      <c r="GX9" s="610"/>
      <c r="GY9" s="610"/>
      <c r="GZ9" s="610"/>
      <c r="HA9" s="610"/>
      <c r="HB9" s="610"/>
      <c r="HC9" s="610"/>
      <c r="HD9" s="610"/>
      <c r="HE9" s="610"/>
      <c r="HF9" s="610"/>
      <c r="HG9" s="610"/>
      <c r="HH9" s="610"/>
      <c r="HI9" s="610"/>
      <c r="HJ9" s="610"/>
      <c r="HK9" s="610"/>
      <c r="HL9" s="610"/>
      <c r="HM9" s="610"/>
      <c r="HN9" s="610"/>
      <c r="HO9" s="610"/>
      <c r="HP9" s="610"/>
      <c r="HQ9" s="610"/>
      <c r="HR9" s="610"/>
      <c r="HS9" s="610"/>
      <c r="HT9" s="610"/>
      <c r="HU9" s="610"/>
      <c r="HV9" s="610"/>
      <c r="HW9" s="610"/>
      <c r="HX9" s="610"/>
      <c r="HY9" s="610"/>
      <c r="HZ9" s="610"/>
      <c r="IA9" s="610"/>
      <c r="IB9" s="610"/>
      <c r="IC9" s="610"/>
      <c r="ID9" s="610"/>
      <c r="IE9" s="610"/>
      <c r="IF9" s="610"/>
      <c r="IG9" s="610"/>
      <c r="IH9" s="610"/>
      <c r="II9" s="610"/>
      <c r="IJ9" s="610"/>
      <c r="IK9" s="610"/>
      <c r="IL9" s="610"/>
      <c r="IM9" s="610"/>
      <c r="IN9" s="610"/>
      <c r="IO9" s="610"/>
      <c r="IP9" s="610"/>
      <c r="IQ9" s="610"/>
      <c r="IR9" s="610"/>
      <c r="IS9" s="610"/>
      <c r="IT9" s="610"/>
      <c r="IU9" s="610"/>
      <c r="IV9" s="610"/>
      <c r="IW9" s="610"/>
      <c r="IX9" s="610"/>
      <c r="IY9" s="610"/>
      <c r="IZ9" s="610"/>
      <c r="JA9" s="610"/>
      <c r="JB9" s="610"/>
      <c r="JC9" s="610"/>
      <c r="JD9" s="610"/>
      <c r="JE9" s="610"/>
      <c r="JF9" s="610"/>
      <c r="JG9" s="610"/>
      <c r="JH9" s="610"/>
      <c r="JI9" s="610"/>
      <c r="JJ9" s="610"/>
      <c r="JK9" s="610"/>
      <c r="JL9" s="610"/>
      <c r="JM9" s="610"/>
      <c r="JN9" s="610"/>
      <c r="JO9" s="610"/>
      <c r="JP9" s="610"/>
      <c r="JQ9" s="610"/>
      <c r="JR9" s="610"/>
      <c r="JS9" s="610"/>
      <c r="JT9" s="610"/>
    </row>
    <row r="10" spans="1:280" x14ac:dyDescent="0.25">
      <c r="A10" s="788">
        <v>5</v>
      </c>
      <c r="B10" s="789" t="s">
        <v>58</v>
      </c>
      <c r="C10" s="789"/>
      <c r="D10" s="790"/>
      <c r="E10" s="790"/>
      <c r="F10" s="789"/>
      <c r="G10" s="789"/>
      <c r="H10" s="789"/>
      <c r="I10" s="789"/>
      <c r="J10" s="789"/>
      <c r="K10" s="791"/>
      <c r="L10" s="791"/>
      <c r="M10" s="792"/>
      <c r="N10" s="792"/>
      <c r="O10" s="791"/>
      <c r="P10" s="791"/>
      <c r="Q10" s="791"/>
      <c r="R10" s="793"/>
      <c r="S10" s="794"/>
      <c r="T10" s="791"/>
      <c r="U10" s="791"/>
      <c r="V10" s="791"/>
      <c r="W10" s="795"/>
      <c r="X10" s="795"/>
      <c r="Y10" s="795"/>
      <c r="Z10" s="796"/>
      <c r="AA10" s="791"/>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89"/>
      <c r="AY10" s="789"/>
      <c r="AZ10" s="789"/>
      <c r="BA10" s="789"/>
      <c r="BB10" s="789"/>
      <c r="BC10" s="789"/>
      <c r="BD10" s="789"/>
      <c r="BE10" s="789"/>
      <c r="BF10" s="789"/>
      <c r="BG10" s="789"/>
      <c r="BH10" s="789"/>
      <c r="BI10" s="789"/>
      <c r="BJ10" s="789"/>
      <c r="BK10" s="789"/>
      <c r="BL10" s="789"/>
      <c r="BM10" s="789"/>
      <c r="BN10" s="789"/>
      <c r="BO10" s="797"/>
      <c r="BP10" s="797"/>
      <c r="BQ10" s="797"/>
      <c r="BR10" s="798"/>
      <c r="BS10" s="48"/>
      <c r="BT10" s="48"/>
      <c r="BU10" s="48"/>
      <c r="BV10" s="48"/>
      <c r="BW10" s="48"/>
      <c r="BX10" s="48"/>
      <c r="BY10" s="48"/>
      <c r="BZ10" s="48"/>
      <c r="CA10" s="48"/>
      <c r="CB10" s="48"/>
      <c r="CC10" s="48"/>
      <c r="CD10" s="48"/>
      <c r="CE10" s="48"/>
      <c r="CF10" s="48"/>
      <c r="CG10" s="48"/>
      <c r="CH10" s="48"/>
      <c r="CI10" s="48"/>
      <c r="CJ10" s="48"/>
      <c r="CK10" s="48"/>
    </row>
    <row r="11" spans="1:280" x14ac:dyDescent="0.25">
      <c r="A11" s="799"/>
      <c r="B11" s="800"/>
      <c r="C11" s="800"/>
      <c r="D11" s="801">
        <v>28</v>
      </c>
      <c r="E11" s="802" t="s">
        <v>458</v>
      </c>
      <c r="F11" s="802"/>
      <c r="G11" s="802"/>
      <c r="H11" s="802"/>
      <c r="I11" s="802"/>
      <c r="J11" s="802"/>
      <c r="K11" s="803"/>
      <c r="L11" s="803"/>
      <c r="M11" s="804"/>
      <c r="N11" s="805"/>
      <c r="O11" s="806"/>
      <c r="P11" s="803"/>
      <c r="Q11" s="803"/>
      <c r="R11" s="807"/>
      <c r="S11" s="808"/>
      <c r="T11" s="803"/>
      <c r="U11" s="803"/>
      <c r="V11" s="803"/>
      <c r="W11" s="809"/>
      <c r="X11" s="809"/>
      <c r="Y11" s="809"/>
      <c r="Z11" s="810"/>
      <c r="AA11" s="803"/>
      <c r="AB11" s="802"/>
      <c r="AC11" s="802"/>
      <c r="AD11" s="802"/>
      <c r="AE11" s="802"/>
      <c r="AF11" s="802"/>
      <c r="AG11" s="802"/>
      <c r="AH11" s="802"/>
      <c r="AI11" s="802"/>
      <c r="AJ11" s="802"/>
      <c r="AK11" s="802"/>
      <c r="AL11" s="802"/>
      <c r="AM11" s="802"/>
      <c r="AN11" s="802"/>
      <c r="AO11" s="802"/>
      <c r="AP11" s="802"/>
      <c r="AQ11" s="802"/>
      <c r="AR11" s="802"/>
      <c r="AS11" s="802"/>
      <c r="AT11" s="802"/>
      <c r="AU11" s="802"/>
      <c r="AV11" s="802"/>
      <c r="AW11" s="802"/>
      <c r="AX11" s="802"/>
      <c r="AY11" s="802"/>
      <c r="AZ11" s="802"/>
      <c r="BA11" s="802"/>
      <c r="BB11" s="802"/>
      <c r="BC11" s="802"/>
      <c r="BD11" s="802"/>
      <c r="BE11" s="802"/>
      <c r="BF11" s="802"/>
      <c r="BG11" s="802"/>
      <c r="BH11" s="802"/>
      <c r="BI11" s="802"/>
      <c r="BJ11" s="802"/>
      <c r="BK11" s="802"/>
      <c r="BL11" s="802"/>
      <c r="BM11" s="802"/>
      <c r="BN11" s="811"/>
      <c r="BO11" s="811"/>
      <c r="BP11" s="811"/>
      <c r="BQ11" s="811"/>
      <c r="BR11" s="812"/>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c r="IW11" s="48"/>
      <c r="IX11" s="48"/>
      <c r="IY11" s="48"/>
      <c r="IZ11" s="48"/>
      <c r="JA11" s="48"/>
      <c r="JB11" s="48"/>
      <c r="JC11" s="48"/>
      <c r="JD11" s="48"/>
      <c r="JE11" s="48"/>
      <c r="JF11" s="48"/>
      <c r="JG11" s="48"/>
      <c r="JH11" s="48"/>
      <c r="JI11" s="48"/>
      <c r="JJ11" s="48"/>
      <c r="JK11" s="48"/>
      <c r="JL11" s="48"/>
      <c r="JM11" s="48"/>
      <c r="JN11" s="48"/>
      <c r="JO11" s="48"/>
      <c r="JP11" s="48"/>
      <c r="JQ11" s="48"/>
      <c r="JR11" s="48"/>
      <c r="JS11" s="48"/>
      <c r="JT11" s="48"/>
    </row>
    <row r="12" spans="1:280" x14ac:dyDescent="0.25">
      <c r="A12" s="799"/>
      <c r="B12" s="800"/>
      <c r="C12" s="800"/>
      <c r="D12" s="813"/>
      <c r="E12" s="800"/>
      <c r="F12" s="800"/>
      <c r="G12" s="314">
        <v>89</v>
      </c>
      <c r="H12" s="814" t="s">
        <v>114</v>
      </c>
      <c r="I12" s="814"/>
      <c r="J12" s="814"/>
      <c r="K12" s="815"/>
      <c r="L12" s="815"/>
      <c r="M12" s="816"/>
      <c r="N12" s="816"/>
      <c r="O12" s="817"/>
      <c r="P12" s="815"/>
      <c r="Q12" s="815"/>
      <c r="R12" s="818"/>
      <c r="S12" s="819"/>
      <c r="T12" s="815"/>
      <c r="U12" s="815"/>
      <c r="V12" s="815"/>
      <c r="W12" s="820"/>
      <c r="X12" s="820"/>
      <c r="Y12" s="820"/>
      <c r="Z12" s="821"/>
      <c r="AA12" s="815"/>
      <c r="AB12" s="822"/>
      <c r="AC12" s="822"/>
      <c r="AD12" s="822"/>
      <c r="AE12" s="822"/>
      <c r="AF12" s="822"/>
      <c r="AG12" s="822"/>
      <c r="AH12" s="822"/>
      <c r="AI12" s="822"/>
      <c r="AJ12" s="822"/>
      <c r="AK12" s="822"/>
      <c r="AL12" s="822"/>
      <c r="AM12" s="822"/>
      <c r="AN12" s="822"/>
      <c r="AO12" s="822"/>
      <c r="AP12" s="822"/>
      <c r="AQ12" s="822"/>
      <c r="AR12" s="822"/>
      <c r="AS12" s="822"/>
      <c r="AT12" s="822"/>
      <c r="AU12" s="822"/>
      <c r="AV12" s="822"/>
      <c r="AW12" s="822"/>
      <c r="AX12" s="822"/>
      <c r="AY12" s="822"/>
      <c r="AZ12" s="822"/>
      <c r="BA12" s="822"/>
      <c r="BB12" s="822"/>
      <c r="BC12" s="822"/>
      <c r="BD12" s="822"/>
      <c r="BE12" s="822"/>
      <c r="BF12" s="822"/>
      <c r="BG12" s="822"/>
      <c r="BH12" s="822"/>
      <c r="BI12" s="822"/>
      <c r="BJ12" s="822"/>
      <c r="BK12" s="822"/>
      <c r="BL12" s="822"/>
      <c r="BM12" s="822"/>
      <c r="BN12" s="823"/>
      <c r="BO12" s="823"/>
      <c r="BP12" s="823"/>
      <c r="BQ12" s="823"/>
      <c r="BR12" s="824"/>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c r="IW12" s="48"/>
      <c r="IX12" s="48"/>
      <c r="IY12" s="48"/>
      <c r="IZ12" s="48"/>
      <c r="JA12" s="48"/>
      <c r="JB12" s="48"/>
      <c r="JC12" s="48"/>
      <c r="JD12" s="48"/>
      <c r="JE12" s="48"/>
      <c r="JF12" s="48"/>
      <c r="JG12" s="48"/>
      <c r="JH12" s="48"/>
      <c r="JI12" s="48"/>
      <c r="JJ12" s="48"/>
      <c r="JK12" s="48"/>
      <c r="JL12" s="48"/>
      <c r="JM12" s="48"/>
      <c r="JN12" s="48"/>
      <c r="JO12" s="48"/>
      <c r="JP12" s="48"/>
      <c r="JQ12" s="48"/>
      <c r="JR12" s="48"/>
      <c r="JS12" s="48"/>
      <c r="JT12" s="48"/>
    </row>
    <row r="13" spans="1:280" ht="135" customHeight="1" x14ac:dyDescent="0.25">
      <c r="A13" s="825"/>
      <c r="B13" s="83"/>
      <c r="C13" s="83"/>
      <c r="D13" s="826"/>
      <c r="E13" s="83"/>
      <c r="F13" s="83"/>
      <c r="G13" s="827"/>
      <c r="H13" s="83"/>
      <c r="I13" s="83"/>
      <c r="J13" s="3232">
        <v>275</v>
      </c>
      <c r="K13" s="3366" t="s">
        <v>459</v>
      </c>
      <c r="L13" s="3084" t="s">
        <v>460</v>
      </c>
      <c r="M13" s="3232">
        <v>4</v>
      </c>
      <c r="N13" s="3232">
        <v>4</v>
      </c>
      <c r="O13" s="3110" t="s">
        <v>461</v>
      </c>
      <c r="P13" s="3368" t="s">
        <v>462</v>
      </c>
      <c r="Q13" s="3107" t="s">
        <v>463</v>
      </c>
      <c r="R13" s="3148">
        <f>+SUM(W13:W14)/S13</f>
        <v>0.65186261775872112</v>
      </c>
      <c r="S13" s="3374">
        <f>SUM(W13:W19)</f>
        <v>1905945991</v>
      </c>
      <c r="T13" s="3107" t="s">
        <v>464</v>
      </c>
      <c r="U13" s="3375" t="s">
        <v>465</v>
      </c>
      <c r="V13" s="3377" t="s">
        <v>466</v>
      </c>
      <c r="W13" s="828">
        <f>952473039-25058096</f>
        <v>927414943</v>
      </c>
      <c r="X13" s="828">
        <v>807884992</v>
      </c>
      <c r="Y13" s="828">
        <v>471806704.5</v>
      </c>
      <c r="Z13" s="829">
        <v>20</v>
      </c>
      <c r="AA13" s="830" t="s">
        <v>467</v>
      </c>
      <c r="AB13" s="3371">
        <v>294321</v>
      </c>
      <c r="AC13" s="3371">
        <v>244313</v>
      </c>
      <c r="AD13" s="3371">
        <v>283947</v>
      </c>
      <c r="AE13" s="3371">
        <v>235701</v>
      </c>
      <c r="AF13" s="3371">
        <v>135754</v>
      </c>
      <c r="AG13" s="3371">
        <v>112688</v>
      </c>
      <c r="AH13" s="3371">
        <v>44640</v>
      </c>
      <c r="AI13" s="3371">
        <v>37055</v>
      </c>
      <c r="AJ13" s="3371">
        <v>308178</v>
      </c>
      <c r="AK13" s="3371">
        <v>255815</v>
      </c>
      <c r="AL13" s="3371">
        <v>89696</v>
      </c>
      <c r="AM13" s="3371">
        <v>74456</v>
      </c>
      <c r="AN13" s="3371">
        <v>2145</v>
      </c>
      <c r="AO13" s="3371">
        <v>1781</v>
      </c>
      <c r="AP13" s="3371">
        <v>12718</v>
      </c>
      <c r="AQ13" s="3371">
        <v>10557</v>
      </c>
      <c r="AR13" s="3371">
        <v>26</v>
      </c>
      <c r="AS13" s="3371">
        <v>22</v>
      </c>
      <c r="AT13" s="3371">
        <v>37</v>
      </c>
      <c r="AU13" s="3371">
        <f>+AT13*0.45</f>
        <v>16.650000000000002</v>
      </c>
      <c r="AV13" s="3371">
        <v>0</v>
      </c>
      <c r="AW13" s="3371">
        <v>0</v>
      </c>
      <c r="AX13" s="3371">
        <v>0</v>
      </c>
      <c r="AY13" s="3371">
        <v>0</v>
      </c>
      <c r="AZ13" s="3371">
        <v>54612</v>
      </c>
      <c r="BA13" s="3371">
        <f>+AZ13*0.83</f>
        <v>45327.96</v>
      </c>
      <c r="BB13" s="3371">
        <v>21944</v>
      </c>
      <c r="BC13" s="3371">
        <f>+BB13*0.83</f>
        <v>18213.52</v>
      </c>
      <c r="BD13" s="3371">
        <v>1010</v>
      </c>
      <c r="BE13" s="3371">
        <f>+BD13*0.83</f>
        <v>838.3</v>
      </c>
      <c r="BF13" s="3371">
        <v>575010</v>
      </c>
      <c r="BG13" s="3371">
        <f>+BF13*0.83</f>
        <v>477258.3</v>
      </c>
      <c r="BH13" s="3386">
        <v>84</v>
      </c>
      <c r="BI13" s="3386">
        <v>1582106052</v>
      </c>
      <c r="BJ13" s="3390">
        <v>690623030.5</v>
      </c>
      <c r="BK13" s="3394">
        <f>+BJ13/BI13</f>
        <v>0.43652132524678566</v>
      </c>
      <c r="BL13" s="3396" t="s">
        <v>468</v>
      </c>
      <c r="BM13" s="3400" t="s">
        <v>469</v>
      </c>
      <c r="BN13" s="3404">
        <v>43466</v>
      </c>
      <c r="BO13" s="3404">
        <v>43466</v>
      </c>
      <c r="BP13" s="3380">
        <v>43830</v>
      </c>
      <c r="BQ13" s="3380">
        <v>43830</v>
      </c>
      <c r="BR13" s="3383" t="s">
        <v>470</v>
      </c>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c r="IW13" s="48"/>
      <c r="IX13" s="48"/>
      <c r="IY13" s="48"/>
      <c r="IZ13" s="48"/>
      <c r="JA13" s="48"/>
      <c r="JB13" s="48"/>
      <c r="JC13" s="48"/>
      <c r="JD13" s="48"/>
      <c r="JE13" s="48"/>
      <c r="JF13" s="48"/>
      <c r="JG13" s="48"/>
      <c r="JH13" s="48"/>
      <c r="JI13" s="48"/>
      <c r="JJ13" s="48"/>
      <c r="JK13" s="48"/>
      <c r="JL13" s="48"/>
      <c r="JM13" s="48"/>
      <c r="JN13" s="48"/>
      <c r="JO13" s="48"/>
      <c r="JP13" s="48"/>
      <c r="JQ13" s="48"/>
      <c r="JR13" s="48"/>
      <c r="JS13" s="48"/>
      <c r="JT13" s="48"/>
    </row>
    <row r="14" spans="1:280" ht="60" customHeight="1" x14ac:dyDescent="0.25">
      <c r="A14" s="825"/>
      <c r="B14" s="83"/>
      <c r="C14" s="83"/>
      <c r="D14" s="826"/>
      <c r="E14" s="83"/>
      <c r="F14" s="83"/>
      <c r="G14" s="826"/>
      <c r="H14" s="83"/>
      <c r="I14" s="83"/>
      <c r="J14" s="3234"/>
      <c r="K14" s="3367"/>
      <c r="L14" s="3068"/>
      <c r="M14" s="3234"/>
      <c r="N14" s="3234"/>
      <c r="O14" s="3111"/>
      <c r="P14" s="3368"/>
      <c r="Q14" s="3107"/>
      <c r="R14" s="3150"/>
      <c r="S14" s="3374"/>
      <c r="T14" s="3107"/>
      <c r="U14" s="3376"/>
      <c r="V14" s="3378"/>
      <c r="W14" s="828">
        <f>0+359941904-44941904</f>
        <v>315000000</v>
      </c>
      <c r="X14" s="828">
        <v>315000000</v>
      </c>
      <c r="Y14" s="828">
        <v>0</v>
      </c>
      <c r="Z14" s="829">
        <v>88</v>
      </c>
      <c r="AA14" s="830" t="s">
        <v>76</v>
      </c>
      <c r="AB14" s="3372"/>
      <c r="AC14" s="3372"/>
      <c r="AD14" s="3372"/>
      <c r="AE14" s="3372"/>
      <c r="AF14" s="3372"/>
      <c r="AG14" s="3372"/>
      <c r="AH14" s="3372"/>
      <c r="AI14" s="3372"/>
      <c r="AJ14" s="3372"/>
      <c r="AK14" s="3372"/>
      <c r="AL14" s="3372"/>
      <c r="AM14" s="3372"/>
      <c r="AN14" s="3372"/>
      <c r="AO14" s="3372"/>
      <c r="AP14" s="3372"/>
      <c r="AQ14" s="3372"/>
      <c r="AR14" s="3372"/>
      <c r="AS14" s="3372"/>
      <c r="AT14" s="3372"/>
      <c r="AU14" s="3372"/>
      <c r="AV14" s="3372"/>
      <c r="AW14" s="3372"/>
      <c r="AX14" s="3372"/>
      <c r="AY14" s="3372"/>
      <c r="AZ14" s="3372"/>
      <c r="BA14" s="3372"/>
      <c r="BB14" s="3372"/>
      <c r="BC14" s="3372"/>
      <c r="BD14" s="3372"/>
      <c r="BE14" s="3372"/>
      <c r="BF14" s="3372"/>
      <c r="BG14" s="3372"/>
      <c r="BH14" s="3387"/>
      <c r="BI14" s="3387"/>
      <c r="BJ14" s="3391"/>
      <c r="BK14" s="3395"/>
      <c r="BL14" s="3397"/>
      <c r="BM14" s="3401"/>
      <c r="BN14" s="3405"/>
      <c r="BO14" s="3405"/>
      <c r="BP14" s="3381"/>
      <c r="BQ14" s="3381"/>
      <c r="BR14" s="3383"/>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c r="IW14" s="48"/>
      <c r="IX14" s="48"/>
      <c r="IY14" s="48"/>
      <c r="IZ14" s="48"/>
      <c r="JA14" s="48"/>
      <c r="JB14" s="48"/>
      <c r="JC14" s="48"/>
      <c r="JD14" s="48"/>
      <c r="JE14" s="48"/>
      <c r="JF14" s="48"/>
      <c r="JG14" s="48"/>
      <c r="JH14" s="48"/>
      <c r="JI14" s="48"/>
      <c r="JJ14" s="48"/>
      <c r="JK14" s="48"/>
      <c r="JL14" s="48"/>
      <c r="JM14" s="48"/>
      <c r="JN14" s="48"/>
      <c r="JO14" s="48"/>
      <c r="JP14" s="48"/>
      <c r="JQ14" s="48"/>
      <c r="JR14" s="48"/>
      <c r="JS14" s="48"/>
      <c r="JT14" s="48"/>
    </row>
    <row r="15" spans="1:280" ht="120" x14ac:dyDescent="0.25">
      <c r="A15" s="825"/>
      <c r="B15" s="3384"/>
      <c r="C15" s="3384"/>
      <c r="D15" s="826"/>
      <c r="E15" s="3384"/>
      <c r="F15" s="3384"/>
      <c r="G15" s="826"/>
      <c r="H15" s="3384"/>
      <c r="I15" s="3384"/>
      <c r="J15" s="3232">
        <v>276</v>
      </c>
      <c r="K15" s="3385" t="s">
        <v>471</v>
      </c>
      <c r="L15" s="3047" t="s">
        <v>472</v>
      </c>
      <c r="M15" s="3232">
        <v>1</v>
      </c>
      <c r="N15" s="3232">
        <v>1</v>
      </c>
      <c r="O15" s="3111"/>
      <c r="P15" s="3368"/>
      <c r="Q15" s="3107"/>
      <c r="R15" s="3403">
        <f>+SUM(W15:W16)/S13</f>
        <v>0.21696892249450944</v>
      </c>
      <c r="S15" s="3374"/>
      <c r="T15" s="3107"/>
      <c r="U15" s="3107" t="s">
        <v>473</v>
      </c>
      <c r="V15" s="3107" t="s">
        <v>474</v>
      </c>
      <c r="W15" s="831">
        <f>240000000+25058096</f>
        <v>265058096</v>
      </c>
      <c r="X15" s="831">
        <v>254856931</v>
      </c>
      <c r="Y15" s="831">
        <v>177030066</v>
      </c>
      <c r="Z15" s="829">
        <v>20</v>
      </c>
      <c r="AA15" s="830" t="s">
        <v>467</v>
      </c>
      <c r="AB15" s="3372"/>
      <c r="AC15" s="3372"/>
      <c r="AD15" s="3372"/>
      <c r="AE15" s="3372"/>
      <c r="AF15" s="3372"/>
      <c r="AG15" s="3372"/>
      <c r="AH15" s="3372"/>
      <c r="AI15" s="3372"/>
      <c r="AJ15" s="3372"/>
      <c r="AK15" s="3372"/>
      <c r="AL15" s="3372"/>
      <c r="AM15" s="3372"/>
      <c r="AN15" s="3372"/>
      <c r="AO15" s="3372"/>
      <c r="AP15" s="3372"/>
      <c r="AQ15" s="3372"/>
      <c r="AR15" s="3372"/>
      <c r="AS15" s="3372"/>
      <c r="AT15" s="3372"/>
      <c r="AU15" s="3372"/>
      <c r="AV15" s="3372"/>
      <c r="AW15" s="3372"/>
      <c r="AX15" s="3372"/>
      <c r="AY15" s="3372"/>
      <c r="AZ15" s="3372"/>
      <c r="BA15" s="3372"/>
      <c r="BB15" s="3372"/>
      <c r="BC15" s="3372"/>
      <c r="BD15" s="3372"/>
      <c r="BE15" s="3372"/>
      <c r="BF15" s="3372"/>
      <c r="BG15" s="3372"/>
      <c r="BH15" s="3387"/>
      <c r="BI15" s="3387"/>
      <c r="BJ15" s="3391"/>
      <c r="BK15" s="3395"/>
      <c r="BL15" s="3397"/>
      <c r="BM15" s="3401"/>
      <c r="BN15" s="3405"/>
      <c r="BO15" s="3405"/>
      <c r="BP15" s="3381"/>
      <c r="BQ15" s="3381"/>
      <c r="BR15" s="3383"/>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c r="IW15" s="48"/>
      <c r="IX15" s="48"/>
      <c r="IY15" s="48"/>
      <c r="IZ15" s="48"/>
      <c r="JA15" s="48"/>
      <c r="JB15" s="48"/>
      <c r="JC15" s="48"/>
      <c r="JD15" s="48"/>
      <c r="JE15" s="48"/>
      <c r="JF15" s="48"/>
      <c r="JG15" s="48"/>
      <c r="JH15" s="48"/>
      <c r="JI15" s="48"/>
      <c r="JJ15" s="48"/>
      <c r="JK15" s="48"/>
      <c r="JL15" s="48"/>
      <c r="JM15" s="48"/>
      <c r="JN15" s="48"/>
      <c r="JO15" s="48"/>
      <c r="JP15" s="48"/>
      <c r="JQ15" s="48"/>
      <c r="JR15" s="48"/>
      <c r="JS15" s="48"/>
      <c r="JT15" s="48"/>
    </row>
    <row r="16" spans="1:280" ht="52.5" customHeight="1" x14ac:dyDescent="0.25">
      <c r="A16" s="825"/>
      <c r="B16" s="83"/>
      <c r="C16" s="83"/>
      <c r="D16" s="826"/>
      <c r="E16" s="83"/>
      <c r="F16" s="83"/>
      <c r="G16" s="826"/>
      <c r="H16" s="83"/>
      <c r="I16" s="83"/>
      <c r="J16" s="3234"/>
      <c r="K16" s="3385"/>
      <c r="L16" s="3047"/>
      <c r="M16" s="3234"/>
      <c r="N16" s="3234"/>
      <c r="O16" s="3111"/>
      <c r="P16" s="3368"/>
      <c r="Q16" s="3107"/>
      <c r="R16" s="3403"/>
      <c r="S16" s="3374"/>
      <c r="T16" s="3107"/>
      <c r="U16" s="3107"/>
      <c r="V16" s="3107"/>
      <c r="W16" s="831">
        <f>0+103531048+44941904</f>
        <v>148472952</v>
      </c>
      <c r="X16" s="831">
        <v>100914731</v>
      </c>
      <c r="Y16" s="831">
        <v>27406000</v>
      </c>
      <c r="Z16" s="829">
        <v>88</v>
      </c>
      <c r="AA16" s="830" t="s">
        <v>76</v>
      </c>
      <c r="AB16" s="3372"/>
      <c r="AC16" s="3372"/>
      <c r="AD16" s="3372"/>
      <c r="AE16" s="3372"/>
      <c r="AF16" s="3372"/>
      <c r="AG16" s="3372"/>
      <c r="AH16" s="3372"/>
      <c r="AI16" s="3372"/>
      <c r="AJ16" s="3372"/>
      <c r="AK16" s="3372"/>
      <c r="AL16" s="3372"/>
      <c r="AM16" s="3372"/>
      <c r="AN16" s="3372"/>
      <c r="AO16" s="3372"/>
      <c r="AP16" s="3372"/>
      <c r="AQ16" s="3372"/>
      <c r="AR16" s="3372"/>
      <c r="AS16" s="3372"/>
      <c r="AT16" s="3372"/>
      <c r="AU16" s="3372"/>
      <c r="AV16" s="3372"/>
      <c r="AW16" s="3372"/>
      <c r="AX16" s="3372"/>
      <c r="AY16" s="3372"/>
      <c r="AZ16" s="3372"/>
      <c r="BA16" s="3372"/>
      <c r="BB16" s="3372"/>
      <c r="BC16" s="3372"/>
      <c r="BD16" s="3372"/>
      <c r="BE16" s="3372"/>
      <c r="BF16" s="3372"/>
      <c r="BG16" s="3372"/>
      <c r="BH16" s="3387"/>
      <c r="BI16" s="3387"/>
      <c r="BJ16" s="3391"/>
      <c r="BK16" s="3395"/>
      <c r="BL16" s="3397"/>
      <c r="BM16" s="3401"/>
      <c r="BN16" s="3405"/>
      <c r="BO16" s="3405"/>
      <c r="BP16" s="3381"/>
      <c r="BQ16" s="3381"/>
      <c r="BR16" s="3383"/>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c r="IW16" s="48"/>
      <c r="IX16" s="48"/>
      <c r="IY16" s="48"/>
      <c r="IZ16" s="48"/>
      <c r="JA16" s="48"/>
      <c r="JB16" s="48"/>
      <c r="JC16" s="48"/>
      <c r="JD16" s="48"/>
      <c r="JE16" s="48"/>
      <c r="JF16" s="48"/>
      <c r="JG16" s="48"/>
      <c r="JH16" s="48"/>
      <c r="JI16" s="48"/>
      <c r="JJ16" s="48"/>
      <c r="JK16" s="48"/>
      <c r="JL16" s="48"/>
      <c r="JM16" s="48"/>
      <c r="JN16" s="48"/>
      <c r="JO16" s="48"/>
      <c r="JP16" s="48"/>
      <c r="JQ16" s="48"/>
      <c r="JR16" s="48"/>
      <c r="JS16" s="48"/>
      <c r="JT16" s="48"/>
    </row>
    <row r="17" spans="1:280" x14ac:dyDescent="0.25">
      <c r="A17" s="825"/>
      <c r="B17" s="83"/>
      <c r="C17" s="83"/>
      <c r="D17" s="826"/>
      <c r="E17" s="83"/>
      <c r="F17" s="83"/>
      <c r="G17" s="826"/>
      <c r="H17" s="83"/>
      <c r="I17" s="83"/>
      <c r="J17" s="3233">
        <v>277</v>
      </c>
      <c r="K17" s="3047" t="s">
        <v>475</v>
      </c>
      <c r="L17" s="3047" t="s">
        <v>476</v>
      </c>
      <c r="M17" s="3232">
        <v>1</v>
      </c>
      <c r="N17" s="3232">
        <v>0.4</v>
      </c>
      <c r="O17" s="3111"/>
      <c r="P17" s="3368"/>
      <c r="Q17" s="3107"/>
      <c r="R17" s="3403">
        <f>+W17/S13</f>
        <v>0.13116845974676938</v>
      </c>
      <c r="S17" s="3374"/>
      <c r="T17" s="3107"/>
      <c r="U17" s="3107" t="s">
        <v>477</v>
      </c>
      <c r="V17" s="3107" t="s">
        <v>478</v>
      </c>
      <c r="W17" s="3379">
        <v>250000000</v>
      </c>
      <c r="X17" s="3379">
        <v>103449398</v>
      </c>
      <c r="Y17" s="3379">
        <v>14380260</v>
      </c>
      <c r="Z17" s="3410">
        <v>56</v>
      </c>
      <c r="AA17" s="3411" t="s">
        <v>479</v>
      </c>
      <c r="AB17" s="3372"/>
      <c r="AC17" s="3372"/>
      <c r="AD17" s="3372"/>
      <c r="AE17" s="3372"/>
      <c r="AF17" s="3372"/>
      <c r="AG17" s="3372"/>
      <c r="AH17" s="3372"/>
      <c r="AI17" s="3372"/>
      <c r="AJ17" s="3372"/>
      <c r="AK17" s="3372"/>
      <c r="AL17" s="3372"/>
      <c r="AM17" s="3372"/>
      <c r="AN17" s="3372"/>
      <c r="AO17" s="3372"/>
      <c r="AP17" s="3372"/>
      <c r="AQ17" s="3372"/>
      <c r="AR17" s="3372"/>
      <c r="AS17" s="3372"/>
      <c r="AT17" s="3372"/>
      <c r="AU17" s="3372"/>
      <c r="AV17" s="3372"/>
      <c r="AW17" s="3372"/>
      <c r="AX17" s="3372"/>
      <c r="AY17" s="3372"/>
      <c r="AZ17" s="3372"/>
      <c r="BA17" s="3372"/>
      <c r="BB17" s="3372"/>
      <c r="BC17" s="3372"/>
      <c r="BD17" s="3372"/>
      <c r="BE17" s="3372"/>
      <c r="BF17" s="3372"/>
      <c r="BG17" s="3372"/>
      <c r="BH17" s="3388"/>
      <c r="BI17" s="3388"/>
      <c r="BJ17" s="3392"/>
      <c r="BK17" s="3204"/>
      <c r="BL17" s="3398"/>
      <c r="BM17" s="3401"/>
      <c r="BN17" s="3405"/>
      <c r="BO17" s="3405"/>
      <c r="BP17" s="3381"/>
      <c r="BQ17" s="3381"/>
      <c r="BR17" s="3383"/>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row>
    <row r="18" spans="1:280" x14ac:dyDescent="0.25">
      <c r="A18" s="825"/>
      <c r="B18" s="83"/>
      <c r="C18" s="83"/>
      <c r="D18" s="826"/>
      <c r="E18" s="83"/>
      <c r="F18" s="83"/>
      <c r="G18" s="826"/>
      <c r="H18" s="83"/>
      <c r="I18" s="83"/>
      <c r="J18" s="3233"/>
      <c r="K18" s="3047"/>
      <c r="L18" s="3047"/>
      <c r="M18" s="3233"/>
      <c r="N18" s="3233"/>
      <c r="O18" s="3111"/>
      <c r="P18" s="3368"/>
      <c r="Q18" s="3107"/>
      <c r="R18" s="3403"/>
      <c r="S18" s="3374"/>
      <c r="T18" s="3107"/>
      <c r="U18" s="3107"/>
      <c r="V18" s="3107"/>
      <c r="W18" s="3379"/>
      <c r="X18" s="3379"/>
      <c r="Y18" s="3379"/>
      <c r="Z18" s="3410"/>
      <c r="AA18" s="3411"/>
      <c r="AB18" s="3372"/>
      <c r="AC18" s="3372"/>
      <c r="AD18" s="3372"/>
      <c r="AE18" s="3372"/>
      <c r="AF18" s="3372"/>
      <c r="AG18" s="3372"/>
      <c r="AH18" s="3372"/>
      <c r="AI18" s="3372"/>
      <c r="AJ18" s="3372"/>
      <c r="AK18" s="3372"/>
      <c r="AL18" s="3372"/>
      <c r="AM18" s="3372"/>
      <c r="AN18" s="3372"/>
      <c r="AO18" s="3372"/>
      <c r="AP18" s="3372"/>
      <c r="AQ18" s="3372"/>
      <c r="AR18" s="3372"/>
      <c r="AS18" s="3372"/>
      <c r="AT18" s="3372"/>
      <c r="AU18" s="3372"/>
      <c r="AV18" s="3372"/>
      <c r="AW18" s="3372"/>
      <c r="AX18" s="3372"/>
      <c r="AY18" s="3372"/>
      <c r="AZ18" s="3372"/>
      <c r="BA18" s="3372"/>
      <c r="BB18" s="3372"/>
      <c r="BC18" s="3372"/>
      <c r="BD18" s="3372"/>
      <c r="BE18" s="3372"/>
      <c r="BF18" s="3372"/>
      <c r="BG18" s="3372"/>
      <c r="BH18" s="3388"/>
      <c r="BI18" s="3388"/>
      <c r="BJ18" s="3392"/>
      <c r="BK18" s="3204"/>
      <c r="BL18" s="3398"/>
      <c r="BM18" s="3401"/>
      <c r="BN18" s="3405"/>
      <c r="BO18" s="3405"/>
      <c r="BP18" s="3381"/>
      <c r="BQ18" s="3381"/>
      <c r="BR18" s="3383"/>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c r="IW18" s="48"/>
      <c r="IX18" s="48"/>
      <c r="IY18" s="48"/>
      <c r="IZ18" s="48"/>
      <c r="JA18" s="48"/>
      <c r="JB18" s="48"/>
      <c r="JC18" s="48"/>
      <c r="JD18" s="48"/>
      <c r="JE18" s="48"/>
      <c r="JF18" s="48"/>
      <c r="JG18" s="48"/>
      <c r="JH18" s="48"/>
      <c r="JI18" s="48"/>
      <c r="JJ18" s="48"/>
      <c r="JK18" s="48"/>
      <c r="JL18" s="48"/>
      <c r="JM18" s="48"/>
      <c r="JN18" s="48"/>
      <c r="JO18" s="48"/>
      <c r="JP18" s="48"/>
      <c r="JQ18" s="48"/>
      <c r="JR18" s="48"/>
      <c r="JS18" s="48"/>
      <c r="JT18" s="48"/>
    </row>
    <row r="19" spans="1:280" ht="51.75" customHeight="1" x14ac:dyDescent="0.25">
      <c r="A19" s="825"/>
      <c r="B19" s="83"/>
      <c r="C19" s="83"/>
      <c r="D19" s="826"/>
      <c r="E19" s="83"/>
      <c r="F19" s="83"/>
      <c r="G19" s="826"/>
      <c r="H19" s="83"/>
      <c r="I19" s="83"/>
      <c r="J19" s="3233"/>
      <c r="K19" s="3047"/>
      <c r="L19" s="3047"/>
      <c r="M19" s="3234"/>
      <c r="N19" s="3234"/>
      <c r="O19" s="3195"/>
      <c r="P19" s="3368"/>
      <c r="Q19" s="3107"/>
      <c r="R19" s="3403"/>
      <c r="S19" s="3374"/>
      <c r="T19" s="3107"/>
      <c r="U19" s="3107"/>
      <c r="V19" s="3107"/>
      <c r="W19" s="3379"/>
      <c r="X19" s="3379"/>
      <c r="Y19" s="3379"/>
      <c r="Z19" s="3410"/>
      <c r="AA19" s="3411"/>
      <c r="AB19" s="3373"/>
      <c r="AC19" s="3373"/>
      <c r="AD19" s="3373"/>
      <c r="AE19" s="3373"/>
      <c r="AF19" s="3373"/>
      <c r="AG19" s="3373"/>
      <c r="AH19" s="3373"/>
      <c r="AI19" s="3373"/>
      <c r="AJ19" s="3373"/>
      <c r="AK19" s="3373"/>
      <c r="AL19" s="3373"/>
      <c r="AM19" s="3373"/>
      <c r="AN19" s="3373"/>
      <c r="AO19" s="3373"/>
      <c r="AP19" s="3373"/>
      <c r="AQ19" s="3373"/>
      <c r="AR19" s="3373"/>
      <c r="AS19" s="3373"/>
      <c r="AT19" s="3373"/>
      <c r="AU19" s="3373"/>
      <c r="AV19" s="3373"/>
      <c r="AW19" s="3373"/>
      <c r="AX19" s="3373"/>
      <c r="AY19" s="3373"/>
      <c r="AZ19" s="3373"/>
      <c r="BA19" s="3373"/>
      <c r="BB19" s="3373"/>
      <c r="BC19" s="3373"/>
      <c r="BD19" s="3373"/>
      <c r="BE19" s="3373"/>
      <c r="BF19" s="3373"/>
      <c r="BG19" s="3373"/>
      <c r="BH19" s="3389"/>
      <c r="BI19" s="3389"/>
      <c r="BJ19" s="3393"/>
      <c r="BK19" s="3205"/>
      <c r="BL19" s="3399"/>
      <c r="BM19" s="3402"/>
      <c r="BN19" s="3406"/>
      <c r="BO19" s="3406"/>
      <c r="BP19" s="3382"/>
      <c r="BQ19" s="3382"/>
      <c r="BR19" s="3383"/>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c r="IW19" s="48"/>
      <c r="IX19" s="48"/>
      <c r="IY19" s="48"/>
      <c r="IZ19" s="48"/>
      <c r="JA19" s="48"/>
      <c r="JB19" s="48"/>
      <c r="JC19" s="48"/>
      <c r="JD19" s="48"/>
      <c r="JE19" s="48"/>
      <c r="JF19" s="48"/>
      <c r="JG19" s="48"/>
      <c r="JH19" s="48"/>
      <c r="JI19" s="48"/>
      <c r="JJ19" s="48"/>
      <c r="JK19" s="48"/>
      <c r="JL19" s="48"/>
      <c r="JM19" s="48"/>
      <c r="JN19" s="48"/>
      <c r="JO19" s="48"/>
      <c r="JP19" s="48"/>
      <c r="JQ19" s="48"/>
      <c r="JR19" s="48"/>
      <c r="JS19" s="48"/>
      <c r="JT19" s="48"/>
    </row>
    <row r="20" spans="1:280" ht="114.75" customHeight="1" x14ac:dyDescent="0.25">
      <c r="A20" s="825"/>
      <c r="B20" s="3384"/>
      <c r="C20" s="3384"/>
      <c r="D20" s="826"/>
      <c r="E20" s="3384"/>
      <c r="F20" s="3384"/>
      <c r="G20" s="826"/>
      <c r="H20" s="3384"/>
      <c r="I20" s="3384"/>
      <c r="J20" s="832">
        <v>278</v>
      </c>
      <c r="K20" s="833" t="s">
        <v>480</v>
      </c>
      <c r="L20" s="833" t="s">
        <v>481</v>
      </c>
      <c r="M20" s="834">
        <v>1</v>
      </c>
      <c r="N20" s="832">
        <v>0.25</v>
      </c>
      <c r="O20" s="3110" t="s">
        <v>482</v>
      </c>
      <c r="P20" s="3368" t="s">
        <v>483</v>
      </c>
      <c r="Q20" s="3107" t="s">
        <v>484</v>
      </c>
      <c r="R20" s="835">
        <f>+W20/S20</f>
        <v>2.259748877542057E-2</v>
      </c>
      <c r="S20" s="3374">
        <f>SUM(W20:W22)</f>
        <v>442527048</v>
      </c>
      <c r="T20" s="3107" t="s">
        <v>485</v>
      </c>
      <c r="U20" s="836" t="s">
        <v>486</v>
      </c>
      <c r="V20" s="836" t="s">
        <v>487</v>
      </c>
      <c r="W20" s="828">
        <f>10000000</f>
        <v>10000000</v>
      </c>
      <c r="X20" s="828">
        <v>0</v>
      </c>
      <c r="Y20" s="828">
        <v>0</v>
      </c>
      <c r="Z20" s="829">
        <v>20</v>
      </c>
      <c r="AA20" s="837" t="s">
        <v>251</v>
      </c>
      <c r="AB20" s="3407">
        <v>294321</v>
      </c>
      <c r="AC20" s="3407">
        <v>269834</v>
      </c>
      <c r="AD20" s="3407">
        <v>283947</v>
      </c>
      <c r="AE20" s="3407">
        <v>260323</v>
      </c>
      <c r="AF20" s="3407">
        <v>135754</v>
      </c>
      <c r="AG20" s="3407">
        <v>124459</v>
      </c>
      <c r="AH20" s="3407">
        <v>44640</v>
      </c>
      <c r="AI20" s="3407">
        <v>40926</v>
      </c>
      <c r="AJ20" s="3407">
        <v>308178</v>
      </c>
      <c r="AK20" s="3407">
        <v>282538</v>
      </c>
      <c r="AL20" s="3407">
        <v>89696</v>
      </c>
      <c r="AM20" s="3407">
        <v>82233</v>
      </c>
      <c r="AN20" s="3407">
        <v>2145</v>
      </c>
      <c r="AO20" s="3407">
        <v>1967</v>
      </c>
      <c r="AP20" s="3407">
        <v>12718</v>
      </c>
      <c r="AQ20" s="3407">
        <v>11660</v>
      </c>
      <c r="AR20" s="3407">
        <v>26</v>
      </c>
      <c r="AS20" s="3407">
        <v>24</v>
      </c>
      <c r="AT20" s="3407">
        <v>37</v>
      </c>
      <c r="AU20" s="3407">
        <f>+AT20*0.5</f>
        <v>18.5</v>
      </c>
      <c r="AV20" s="3407">
        <v>0</v>
      </c>
      <c r="AW20" s="3407">
        <v>0</v>
      </c>
      <c r="AX20" s="3407">
        <v>0</v>
      </c>
      <c r="AY20" s="3407">
        <v>0</v>
      </c>
      <c r="AZ20" s="3407">
        <v>54612</v>
      </c>
      <c r="BA20" s="3407">
        <f>+AZ20*0.92</f>
        <v>50243.040000000001</v>
      </c>
      <c r="BB20" s="3407">
        <v>21944</v>
      </c>
      <c r="BC20" s="3407">
        <f>+BB20*0.92</f>
        <v>20188.48</v>
      </c>
      <c r="BD20" s="3407">
        <v>1010</v>
      </c>
      <c r="BE20" s="3407">
        <f>+BD20*0.92</f>
        <v>929.2</v>
      </c>
      <c r="BF20" s="3407">
        <v>575010</v>
      </c>
      <c r="BG20" s="3407">
        <f>+BF20*0.92</f>
        <v>529009.20000000007</v>
      </c>
      <c r="BH20" s="3412">
        <v>30</v>
      </c>
      <c r="BI20" s="3412">
        <v>405709067</v>
      </c>
      <c r="BJ20" s="3412">
        <v>279846000</v>
      </c>
      <c r="BK20" s="3426">
        <f>+BJ20/BI20</f>
        <v>0.68977014013837656</v>
      </c>
      <c r="BL20" s="3428" t="s">
        <v>488</v>
      </c>
      <c r="BM20" s="3430" t="s">
        <v>489</v>
      </c>
      <c r="BN20" s="3432">
        <v>43470</v>
      </c>
      <c r="BO20" s="3404">
        <v>43481</v>
      </c>
      <c r="BP20" s="3380">
        <v>43826</v>
      </c>
      <c r="BQ20" s="3380">
        <v>43826</v>
      </c>
      <c r="BR20" s="3418" t="s">
        <v>490</v>
      </c>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c r="IW20" s="48"/>
      <c r="IX20" s="48"/>
      <c r="IY20" s="48"/>
      <c r="IZ20" s="48"/>
      <c r="JA20" s="48"/>
      <c r="JB20" s="48"/>
      <c r="JC20" s="48"/>
      <c r="JD20" s="48"/>
      <c r="JE20" s="48"/>
      <c r="JF20" s="48"/>
      <c r="JG20" s="48"/>
      <c r="JH20" s="48"/>
      <c r="JI20" s="48"/>
      <c r="JJ20" s="48"/>
      <c r="JK20" s="48"/>
      <c r="JL20" s="48"/>
      <c r="JM20" s="48"/>
      <c r="JN20" s="48"/>
      <c r="JO20" s="48"/>
      <c r="JP20" s="48"/>
      <c r="JQ20" s="48"/>
      <c r="JR20" s="48"/>
      <c r="JS20" s="48"/>
      <c r="JT20" s="48"/>
    </row>
    <row r="21" spans="1:280" ht="66" customHeight="1" x14ac:dyDescent="0.25">
      <c r="A21" s="825"/>
      <c r="B21" s="83"/>
      <c r="C21" s="83"/>
      <c r="D21" s="826"/>
      <c r="E21" s="83"/>
      <c r="F21" s="83"/>
      <c r="G21" s="826"/>
      <c r="H21" s="83"/>
      <c r="I21" s="83"/>
      <c r="J21" s="3232">
        <v>279</v>
      </c>
      <c r="K21" s="3366" t="s">
        <v>491</v>
      </c>
      <c r="L21" s="3084" t="s">
        <v>492</v>
      </c>
      <c r="M21" s="3232">
        <v>1</v>
      </c>
      <c r="N21" s="3045">
        <v>1</v>
      </c>
      <c r="O21" s="3111"/>
      <c r="P21" s="3368"/>
      <c r="Q21" s="3107"/>
      <c r="R21" s="3148">
        <f>+SUM(W21:W22)/S20</f>
        <v>0.97740251122457944</v>
      </c>
      <c r="S21" s="3374"/>
      <c r="T21" s="3107"/>
      <c r="U21" s="3424" t="s">
        <v>493</v>
      </c>
      <c r="V21" s="3424" t="s">
        <v>494</v>
      </c>
      <c r="W21" s="828">
        <f>306000000</f>
        <v>306000000</v>
      </c>
      <c r="X21" s="828">
        <v>281667067</v>
      </c>
      <c r="Y21" s="828">
        <v>233232000</v>
      </c>
      <c r="Z21" s="829">
        <v>20</v>
      </c>
      <c r="AA21" s="837" t="s">
        <v>251</v>
      </c>
      <c r="AB21" s="3408"/>
      <c r="AC21" s="3408"/>
      <c r="AD21" s="3408"/>
      <c r="AE21" s="3408"/>
      <c r="AF21" s="3408"/>
      <c r="AG21" s="3408"/>
      <c r="AH21" s="3408"/>
      <c r="AI21" s="3408"/>
      <c r="AJ21" s="3408"/>
      <c r="AK21" s="3408"/>
      <c r="AL21" s="3408"/>
      <c r="AM21" s="3408"/>
      <c r="AN21" s="3408"/>
      <c r="AO21" s="3408"/>
      <c r="AP21" s="3408"/>
      <c r="AQ21" s="3408"/>
      <c r="AR21" s="3408"/>
      <c r="AS21" s="3408"/>
      <c r="AT21" s="3408"/>
      <c r="AU21" s="3408"/>
      <c r="AV21" s="3408"/>
      <c r="AW21" s="3408"/>
      <c r="AX21" s="3408"/>
      <c r="AY21" s="3408"/>
      <c r="AZ21" s="3408"/>
      <c r="BA21" s="3408"/>
      <c r="BB21" s="3408"/>
      <c r="BC21" s="3408"/>
      <c r="BD21" s="3408"/>
      <c r="BE21" s="3408"/>
      <c r="BF21" s="3408"/>
      <c r="BG21" s="3408"/>
      <c r="BH21" s="3413"/>
      <c r="BI21" s="3413"/>
      <c r="BJ21" s="3413"/>
      <c r="BK21" s="3427"/>
      <c r="BL21" s="3429"/>
      <c r="BM21" s="3431"/>
      <c r="BN21" s="3433"/>
      <c r="BO21" s="3405"/>
      <c r="BP21" s="3381"/>
      <c r="BQ21" s="3381"/>
      <c r="BR21" s="3419"/>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c r="IW21" s="48"/>
      <c r="IX21" s="48"/>
      <c r="IY21" s="48"/>
      <c r="IZ21" s="48"/>
      <c r="JA21" s="48"/>
      <c r="JB21" s="48"/>
      <c r="JC21" s="48"/>
      <c r="JD21" s="48"/>
      <c r="JE21" s="48"/>
      <c r="JF21" s="48"/>
      <c r="JG21" s="48"/>
      <c r="JH21" s="48"/>
      <c r="JI21" s="48"/>
      <c r="JJ21" s="48"/>
      <c r="JK21" s="48"/>
      <c r="JL21" s="48"/>
      <c r="JM21" s="48"/>
      <c r="JN21" s="48"/>
      <c r="JO21" s="48"/>
      <c r="JP21" s="48"/>
      <c r="JQ21" s="48"/>
      <c r="JR21" s="48"/>
      <c r="JS21" s="48"/>
      <c r="JT21" s="48"/>
    </row>
    <row r="22" spans="1:280" ht="75.75" customHeight="1" thickBot="1" x14ac:dyDescent="0.3">
      <c r="A22" s="825"/>
      <c r="B22" s="83"/>
      <c r="C22" s="83"/>
      <c r="D22" s="826"/>
      <c r="E22" s="83"/>
      <c r="F22" s="83"/>
      <c r="G22" s="826"/>
      <c r="H22" s="83"/>
      <c r="I22" s="83"/>
      <c r="J22" s="3420"/>
      <c r="K22" s="3421"/>
      <c r="L22" s="3422"/>
      <c r="M22" s="3420"/>
      <c r="N22" s="3045"/>
      <c r="O22" s="3111"/>
      <c r="P22" s="3267"/>
      <c r="Q22" s="3107"/>
      <c r="R22" s="3423"/>
      <c r="S22" s="3374"/>
      <c r="T22" s="3107"/>
      <c r="U22" s="3425"/>
      <c r="V22" s="3425"/>
      <c r="W22" s="838">
        <f>0+126527048</f>
        <v>126527048</v>
      </c>
      <c r="X22" s="838">
        <v>124042000</v>
      </c>
      <c r="Y22" s="838">
        <v>46614000</v>
      </c>
      <c r="Z22" s="829">
        <v>88</v>
      </c>
      <c r="AA22" s="837" t="s">
        <v>76</v>
      </c>
      <c r="AB22" s="3409"/>
      <c r="AC22" s="3409"/>
      <c r="AD22" s="3409"/>
      <c r="AE22" s="3409"/>
      <c r="AF22" s="3409"/>
      <c r="AG22" s="3409"/>
      <c r="AH22" s="3409"/>
      <c r="AI22" s="3409"/>
      <c r="AJ22" s="3409"/>
      <c r="AK22" s="3409"/>
      <c r="AL22" s="3409"/>
      <c r="AM22" s="3409"/>
      <c r="AN22" s="3409"/>
      <c r="AO22" s="3409"/>
      <c r="AP22" s="3409"/>
      <c r="AQ22" s="3409"/>
      <c r="AR22" s="3409"/>
      <c r="AS22" s="3409"/>
      <c r="AT22" s="3409"/>
      <c r="AU22" s="3409"/>
      <c r="AV22" s="3409"/>
      <c r="AW22" s="3409"/>
      <c r="AX22" s="3409"/>
      <c r="AY22" s="3409"/>
      <c r="AZ22" s="3409"/>
      <c r="BA22" s="3409"/>
      <c r="BB22" s="3409"/>
      <c r="BC22" s="3409"/>
      <c r="BD22" s="3409"/>
      <c r="BE22" s="3409"/>
      <c r="BF22" s="3409"/>
      <c r="BG22" s="3409"/>
      <c r="BH22" s="3413"/>
      <c r="BI22" s="3413"/>
      <c r="BJ22" s="3413"/>
      <c r="BK22" s="3427"/>
      <c r="BL22" s="3429"/>
      <c r="BM22" s="3431"/>
      <c r="BN22" s="3433"/>
      <c r="BO22" s="3405"/>
      <c r="BP22" s="3381"/>
      <c r="BQ22" s="3381"/>
      <c r="BR22" s="3419"/>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c r="IW22" s="48"/>
      <c r="IX22" s="48"/>
      <c r="IY22" s="48"/>
      <c r="IZ22" s="48"/>
      <c r="JA22" s="48"/>
      <c r="JB22" s="48"/>
      <c r="JC22" s="48"/>
      <c r="JD22" s="48"/>
      <c r="JE22" s="48"/>
      <c r="JF22" s="48"/>
      <c r="JG22" s="48"/>
      <c r="JH22" s="48"/>
      <c r="JI22" s="48"/>
      <c r="JJ22" s="48"/>
      <c r="JK22" s="48"/>
      <c r="JL22" s="48"/>
      <c r="JM22" s="48"/>
      <c r="JN22" s="48"/>
      <c r="JO22" s="48"/>
      <c r="JP22" s="48"/>
      <c r="JQ22" s="48"/>
      <c r="JR22" s="48"/>
      <c r="JS22" s="48"/>
      <c r="JT22" s="48"/>
    </row>
    <row r="23" spans="1:280" ht="39" customHeight="1" thickBot="1" x14ac:dyDescent="0.3">
      <c r="A23" s="839"/>
      <c r="B23" s="840"/>
      <c r="C23" s="840"/>
      <c r="D23" s="840"/>
      <c r="E23" s="840"/>
      <c r="F23" s="840"/>
      <c r="G23" s="840"/>
      <c r="H23" s="840"/>
      <c r="I23" s="840"/>
      <c r="J23" s="841"/>
      <c r="K23" s="842"/>
      <c r="L23" s="842"/>
      <c r="M23" s="843"/>
      <c r="N23" s="843"/>
      <c r="O23" s="844"/>
      <c r="P23" s="844"/>
      <c r="Q23" s="844"/>
      <c r="R23" s="845"/>
      <c r="S23" s="846">
        <f>SUM(S13:S22)</f>
        <v>2348473039</v>
      </c>
      <c r="T23" s="847"/>
      <c r="U23" s="844"/>
      <c r="V23" s="848"/>
      <c r="W23" s="849">
        <f>SUM(W13:W22)</f>
        <v>2348473039</v>
      </c>
      <c r="X23" s="849">
        <f t="shared" ref="X23:Y23" si="0">SUM(X13:X22)</f>
        <v>1987815119</v>
      </c>
      <c r="Y23" s="849">
        <f t="shared" si="0"/>
        <v>970469030.5</v>
      </c>
      <c r="Z23" s="850"/>
      <c r="AA23" s="851"/>
      <c r="AB23" s="852"/>
      <c r="AC23" s="852"/>
      <c r="AD23" s="852"/>
      <c r="AE23" s="852"/>
      <c r="AF23" s="852"/>
      <c r="AG23" s="852"/>
      <c r="AH23" s="852"/>
      <c r="AI23" s="852"/>
      <c r="AJ23" s="852"/>
      <c r="AK23" s="852"/>
      <c r="AL23" s="852"/>
      <c r="AM23" s="852"/>
      <c r="AN23" s="852"/>
      <c r="AO23" s="852"/>
      <c r="AP23" s="852"/>
      <c r="AQ23" s="852"/>
      <c r="AR23" s="852"/>
      <c r="AS23" s="852"/>
      <c r="AT23" s="852"/>
      <c r="AU23" s="852"/>
      <c r="AV23" s="852"/>
      <c r="AW23" s="852"/>
      <c r="AX23" s="852"/>
      <c r="AY23" s="852"/>
      <c r="AZ23" s="852"/>
      <c r="BA23" s="852"/>
      <c r="BB23" s="852"/>
      <c r="BC23" s="852"/>
      <c r="BD23" s="852"/>
      <c r="BE23" s="852"/>
      <c r="BF23" s="852"/>
      <c r="BG23" s="852"/>
      <c r="BH23" s="852"/>
      <c r="BI23" s="853">
        <f>SUM(BI13:BI22)</f>
        <v>1987815119</v>
      </c>
      <c r="BJ23" s="853">
        <f>SUM(BJ13:BJ22)</f>
        <v>970469030.5</v>
      </c>
      <c r="BK23" s="854"/>
      <c r="BL23" s="852"/>
      <c r="BM23" s="852"/>
      <c r="BN23" s="855"/>
      <c r="BO23" s="855"/>
      <c r="BP23" s="856"/>
      <c r="BQ23" s="856"/>
      <c r="BR23" s="848"/>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131"/>
      <c r="DO23" s="131"/>
      <c r="DP23" s="131"/>
      <c r="DQ23" s="131"/>
      <c r="DR23" s="131"/>
      <c r="DS23" s="131"/>
      <c r="DT23" s="131"/>
      <c r="DU23" s="131"/>
      <c r="DV23" s="131"/>
      <c r="DW23" s="131"/>
      <c r="DX23" s="131"/>
      <c r="DY23" s="131"/>
      <c r="DZ23" s="131"/>
      <c r="EA23" s="131"/>
      <c r="EB23" s="131"/>
      <c r="EC23" s="131"/>
      <c r="ED23" s="131"/>
      <c r="EE23" s="131"/>
      <c r="EF23" s="131"/>
      <c r="EG23" s="131"/>
      <c r="EH23" s="131"/>
      <c r="EI23" s="131"/>
      <c r="EJ23" s="131"/>
      <c r="EK23" s="131"/>
      <c r="EL23" s="131"/>
      <c r="EM23" s="131"/>
      <c r="EN23" s="131"/>
      <c r="EO23" s="131"/>
      <c r="EP23" s="131"/>
      <c r="EQ23" s="131"/>
      <c r="ER23" s="131"/>
      <c r="ES23" s="131"/>
      <c r="ET23" s="131"/>
      <c r="EU23" s="131"/>
      <c r="EV23" s="131"/>
      <c r="EW23" s="131"/>
      <c r="EX23" s="131"/>
      <c r="EY23" s="131"/>
      <c r="EZ23" s="131"/>
      <c r="FA23" s="131"/>
      <c r="FB23" s="131"/>
      <c r="FC23" s="131"/>
      <c r="FD23" s="131"/>
      <c r="FE23" s="131"/>
      <c r="FF23" s="131"/>
      <c r="FG23" s="131"/>
      <c r="FH23" s="131"/>
      <c r="FI23" s="131"/>
      <c r="FJ23" s="131"/>
      <c r="FK23" s="131"/>
      <c r="FL23" s="131"/>
      <c r="FM23" s="131"/>
      <c r="FN23" s="131"/>
      <c r="FO23" s="131"/>
      <c r="FP23" s="131"/>
      <c r="FQ23" s="131"/>
      <c r="FR23" s="131"/>
      <c r="FS23" s="131"/>
      <c r="FT23" s="131"/>
      <c r="FU23" s="131"/>
      <c r="FV23" s="131"/>
      <c r="FW23" s="131"/>
      <c r="FX23" s="131"/>
      <c r="FY23" s="131"/>
      <c r="FZ23" s="131"/>
      <c r="GA23" s="131"/>
      <c r="GB23" s="131"/>
      <c r="GC23" s="131"/>
      <c r="GD23" s="131"/>
      <c r="GE23" s="131"/>
      <c r="GF23" s="131"/>
      <c r="GG23" s="131"/>
      <c r="GH23" s="131"/>
      <c r="GI23" s="131"/>
      <c r="GJ23" s="131"/>
      <c r="GK23" s="131"/>
      <c r="GL23" s="131"/>
      <c r="GM23" s="131"/>
      <c r="GN23" s="131"/>
      <c r="GO23" s="131"/>
      <c r="GP23" s="131"/>
      <c r="GQ23" s="131"/>
      <c r="GR23" s="131"/>
      <c r="GS23" s="131"/>
      <c r="GT23" s="131"/>
      <c r="GU23" s="131"/>
      <c r="GV23" s="131"/>
      <c r="GW23" s="131"/>
      <c r="GX23" s="131"/>
      <c r="GY23" s="131"/>
      <c r="GZ23" s="131"/>
      <c r="HA23" s="131"/>
      <c r="HB23" s="131"/>
      <c r="HC23" s="131"/>
      <c r="HD23" s="131"/>
      <c r="HE23" s="131"/>
      <c r="HF23" s="131"/>
      <c r="HG23" s="131"/>
      <c r="HH23" s="131"/>
      <c r="HI23" s="131"/>
      <c r="HJ23" s="131"/>
      <c r="HK23" s="131"/>
      <c r="HL23" s="131"/>
      <c r="HM23" s="131"/>
      <c r="HN23" s="131"/>
      <c r="HO23" s="131"/>
      <c r="HP23" s="131"/>
      <c r="HQ23" s="131"/>
      <c r="HR23" s="131"/>
      <c r="HS23" s="131"/>
      <c r="HT23" s="131"/>
      <c r="HU23" s="131"/>
      <c r="HV23" s="131"/>
      <c r="HW23" s="131"/>
      <c r="HX23" s="131"/>
      <c r="HY23" s="131"/>
      <c r="HZ23" s="131"/>
      <c r="IA23" s="131"/>
      <c r="IB23" s="131"/>
      <c r="IC23" s="131"/>
      <c r="ID23" s="131"/>
      <c r="IE23" s="131"/>
      <c r="IF23" s="131"/>
      <c r="IG23" s="131"/>
      <c r="IH23" s="131"/>
      <c r="II23" s="131"/>
      <c r="IJ23" s="131"/>
      <c r="IK23" s="131"/>
      <c r="IL23" s="131"/>
      <c r="IM23" s="131"/>
      <c r="IN23" s="131"/>
      <c r="IO23" s="131"/>
      <c r="IP23" s="131"/>
      <c r="IQ23" s="131"/>
      <c r="IR23" s="131"/>
      <c r="IS23" s="131"/>
      <c r="IT23" s="131"/>
      <c r="IU23" s="131"/>
      <c r="IV23" s="131"/>
      <c r="IW23" s="131"/>
      <c r="IX23" s="131"/>
      <c r="IY23" s="131"/>
      <c r="IZ23" s="131"/>
      <c r="JA23" s="131"/>
      <c r="JB23" s="131"/>
      <c r="JC23" s="131"/>
      <c r="JD23" s="131"/>
      <c r="JE23" s="131"/>
      <c r="JF23" s="131"/>
      <c r="JG23" s="131"/>
      <c r="JH23" s="131"/>
      <c r="JI23" s="131"/>
      <c r="JJ23" s="131"/>
      <c r="JK23" s="131"/>
      <c r="JL23" s="131"/>
      <c r="JM23" s="131"/>
      <c r="JN23" s="131"/>
      <c r="JO23" s="131"/>
      <c r="JP23" s="131"/>
      <c r="JQ23" s="131"/>
      <c r="JR23" s="131"/>
      <c r="JS23" s="131"/>
      <c r="JT23" s="131"/>
    </row>
    <row r="24" spans="1:280" x14ac:dyDescent="0.25">
      <c r="A24" s="3414"/>
      <c r="B24" s="3414"/>
      <c r="C24" s="3414"/>
      <c r="D24" s="3414"/>
      <c r="E24" s="3414"/>
      <c r="F24" s="3414"/>
      <c r="G24" s="3414"/>
      <c r="H24" s="3414"/>
      <c r="I24" s="3414"/>
      <c r="J24" s="3414"/>
      <c r="K24" s="3414"/>
      <c r="L24" s="3414"/>
      <c r="M24" s="3414"/>
      <c r="N24" s="3414"/>
      <c r="O24" s="3414"/>
      <c r="P24" s="3414"/>
      <c r="Q24" s="3414"/>
      <c r="R24" s="3414"/>
      <c r="S24" s="857" t="s">
        <v>495</v>
      </c>
      <c r="T24" s="3415"/>
      <c r="U24" s="3415"/>
      <c r="V24" s="3415"/>
      <c r="W24" s="858"/>
      <c r="X24" s="858"/>
      <c r="Y24" s="858"/>
      <c r="Z24" s="859"/>
      <c r="AA24" s="860"/>
      <c r="AB24" s="48"/>
      <c r="AC24" s="48"/>
      <c r="AD24" s="861"/>
      <c r="AE24" s="861"/>
      <c r="AF24" s="861"/>
      <c r="AG24" s="861"/>
      <c r="AH24" s="861"/>
      <c r="AI24" s="861"/>
      <c r="AJ24" s="862"/>
      <c r="AK24" s="862"/>
      <c r="AL24" s="862"/>
      <c r="AM24" s="862"/>
      <c r="AN24" s="862"/>
      <c r="AO24" s="862"/>
      <c r="AP24" s="862"/>
      <c r="AQ24" s="862"/>
      <c r="AR24" s="862"/>
      <c r="AS24" s="862"/>
      <c r="AT24" s="862"/>
      <c r="AU24" s="862"/>
      <c r="AV24" s="862"/>
      <c r="AW24" s="862"/>
      <c r="AX24" s="862"/>
      <c r="AY24" s="862"/>
      <c r="AZ24" s="862"/>
      <c r="BA24" s="862"/>
      <c r="BB24" s="862"/>
      <c r="BC24" s="862"/>
      <c r="BD24" s="862"/>
      <c r="BE24" s="862"/>
      <c r="BF24" s="862"/>
      <c r="BG24" s="862"/>
      <c r="BH24" s="862"/>
      <c r="BI24" s="862"/>
      <c r="BJ24" s="862"/>
      <c r="BK24" s="862"/>
      <c r="BL24" s="862"/>
      <c r="BM24" s="862"/>
      <c r="BN24" s="862"/>
      <c r="BO24" s="862"/>
      <c r="BP24" s="862"/>
      <c r="BQ24" s="862"/>
      <c r="BR24" s="862"/>
      <c r="BS24" s="862"/>
      <c r="BT24" s="862"/>
      <c r="BU24" s="862"/>
      <c r="BV24" s="862"/>
      <c r="BW24" s="862"/>
      <c r="BX24" s="862"/>
      <c r="BY24" s="862"/>
      <c r="BZ24" s="862"/>
      <c r="CA24" s="862"/>
      <c r="CB24" s="862"/>
      <c r="CC24" s="862"/>
      <c r="CD24" s="861"/>
      <c r="CE24" s="861"/>
      <c r="CF24" s="862"/>
      <c r="CG24" s="862"/>
      <c r="CH24" s="862"/>
      <c r="CI24" s="862"/>
      <c r="CJ24" s="862"/>
      <c r="CK24" s="862"/>
      <c r="CL24" s="862"/>
      <c r="CM24" s="862"/>
    </row>
    <row r="25" spans="1:280" x14ac:dyDescent="0.25">
      <c r="A25" s="296"/>
      <c r="B25" s="296"/>
      <c r="C25" s="296"/>
      <c r="D25" s="296"/>
      <c r="E25" s="296"/>
      <c r="F25" s="296"/>
      <c r="G25" s="296"/>
      <c r="H25" s="296"/>
      <c r="I25" s="296"/>
      <c r="J25" s="296"/>
      <c r="K25" s="296"/>
      <c r="L25" s="296"/>
      <c r="M25" s="296"/>
      <c r="N25" s="296"/>
      <c r="O25" s="296"/>
      <c r="P25" s="296"/>
      <c r="Q25" s="296"/>
      <c r="R25" s="296"/>
      <c r="S25" s="857"/>
      <c r="T25" s="863"/>
      <c r="U25" s="863"/>
      <c r="V25" s="863"/>
      <c r="W25" s="858"/>
      <c r="X25" s="858"/>
      <c r="Y25" s="858"/>
      <c r="Z25" s="859"/>
      <c r="AA25" s="860"/>
      <c r="AB25" s="864"/>
      <c r="AC25" s="864"/>
      <c r="AD25" s="864"/>
      <c r="AE25" s="864"/>
      <c r="AF25" s="864"/>
      <c r="AG25" s="864"/>
      <c r="AH25" s="864"/>
      <c r="AI25" s="864"/>
      <c r="AJ25" s="864"/>
      <c r="AK25" s="864"/>
      <c r="AL25" s="864"/>
      <c r="AM25" s="864"/>
      <c r="AN25" s="864"/>
      <c r="AO25" s="864"/>
      <c r="AP25" s="864"/>
      <c r="AQ25" s="864"/>
      <c r="AR25" s="864"/>
      <c r="AS25" s="864"/>
      <c r="AT25" s="864"/>
      <c r="AU25" s="864"/>
      <c r="AV25" s="864"/>
      <c r="AW25" s="864"/>
      <c r="AX25" s="864"/>
      <c r="AY25" s="864"/>
      <c r="AZ25" s="864"/>
      <c r="BA25" s="864"/>
      <c r="BB25" s="864"/>
      <c r="BC25" s="864"/>
      <c r="BD25" s="864"/>
      <c r="BE25" s="864"/>
      <c r="BF25" s="864"/>
      <c r="BG25" s="864"/>
      <c r="BH25" s="864"/>
      <c r="BI25" s="864"/>
      <c r="BJ25" s="864"/>
      <c r="BK25" s="864"/>
      <c r="BL25" s="864"/>
      <c r="BM25" s="864"/>
      <c r="BN25" s="862"/>
      <c r="BO25" s="862"/>
      <c r="BP25" s="862"/>
      <c r="BQ25" s="862"/>
      <c r="BR25" s="862"/>
      <c r="BS25" s="862"/>
      <c r="BT25" s="862"/>
      <c r="BU25" s="862"/>
      <c r="BV25" s="862"/>
      <c r="BW25" s="862"/>
      <c r="BX25" s="862"/>
      <c r="BY25" s="862"/>
      <c r="BZ25" s="862"/>
      <c r="CA25" s="862"/>
      <c r="CB25" s="862"/>
      <c r="CC25" s="862"/>
      <c r="CD25" s="861"/>
      <c r="CE25" s="861"/>
      <c r="CF25" s="862"/>
      <c r="CG25" s="862"/>
      <c r="CH25" s="862"/>
      <c r="CI25" s="862"/>
      <c r="CJ25" s="862"/>
      <c r="CK25" s="862"/>
      <c r="CL25" s="862"/>
      <c r="CM25" s="862"/>
    </row>
    <row r="26" spans="1:280" x14ac:dyDescent="0.25">
      <c r="A26" s="296"/>
      <c r="B26" s="296"/>
      <c r="C26" s="296"/>
      <c r="D26" s="296"/>
      <c r="E26" s="296"/>
      <c r="F26" s="296"/>
      <c r="G26" s="296"/>
      <c r="H26" s="296"/>
      <c r="I26" s="296"/>
      <c r="J26" s="296"/>
      <c r="K26" s="296"/>
      <c r="L26" s="296"/>
      <c r="M26" s="296"/>
      <c r="N26" s="296"/>
      <c r="O26" s="296"/>
      <c r="P26" s="296"/>
      <c r="Q26" s="296"/>
      <c r="R26" s="296"/>
      <c r="S26" s="857"/>
      <c r="T26" s="863"/>
      <c r="U26" s="863"/>
      <c r="V26" s="863"/>
      <c r="W26" s="858"/>
      <c r="X26" s="858"/>
      <c r="Y26" s="858"/>
      <c r="Z26" s="859"/>
      <c r="AA26" s="860"/>
      <c r="AB26" s="48"/>
      <c r="AC26" s="48"/>
      <c r="AD26" s="861"/>
      <c r="AE26" s="861"/>
      <c r="AF26" s="861"/>
      <c r="AG26" s="861"/>
      <c r="AH26" s="861"/>
      <c r="AI26" s="861"/>
      <c r="AJ26" s="862"/>
      <c r="AK26" s="862"/>
      <c r="AL26" s="862"/>
      <c r="AM26" s="862"/>
      <c r="AN26" s="862"/>
      <c r="AO26" s="862"/>
      <c r="AP26" s="862"/>
      <c r="AQ26" s="862"/>
      <c r="AR26" s="862"/>
      <c r="AS26" s="862"/>
      <c r="AT26" s="862"/>
      <c r="AU26" s="862"/>
      <c r="AV26" s="862"/>
      <c r="AW26" s="862"/>
      <c r="AX26" s="862"/>
      <c r="AY26" s="862"/>
      <c r="AZ26" s="862"/>
      <c r="BA26" s="862"/>
      <c r="BB26" s="862"/>
      <c r="BC26" s="862"/>
      <c r="BD26" s="862"/>
      <c r="BE26" s="862"/>
      <c r="BF26" s="862"/>
      <c r="BG26" s="862"/>
      <c r="BH26" s="862"/>
      <c r="BI26" s="862"/>
      <c r="BJ26" s="862"/>
      <c r="BK26" s="862"/>
      <c r="BL26" s="862"/>
      <c r="BM26" s="862"/>
      <c r="BN26" s="862"/>
      <c r="BO26" s="862"/>
      <c r="BP26" s="862"/>
      <c r="BQ26" s="862"/>
      <c r="BR26" s="862"/>
      <c r="BS26" s="862"/>
      <c r="BT26" s="862"/>
      <c r="BU26" s="862"/>
      <c r="BV26" s="862"/>
      <c r="BW26" s="862"/>
      <c r="BX26" s="862"/>
      <c r="BY26" s="862"/>
      <c r="BZ26" s="862"/>
      <c r="CA26" s="862"/>
      <c r="CB26" s="862"/>
      <c r="CC26" s="862"/>
      <c r="CD26" s="861"/>
      <c r="CE26" s="861"/>
      <c r="CF26" s="862"/>
      <c r="CG26" s="862"/>
      <c r="CH26" s="862"/>
      <c r="CI26" s="862"/>
      <c r="CJ26" s="862"/>
      <c r="CK26" s="862"/>
      <c r="CL26" s="862"/>
      <c r="CM26" s="862"/>
    </row>
    <row r="27" spans="1:280" x14ac:dyDescent="0.25">
      <c r="A27" s="296"/>
      <c r="B27" s="296"/>
      <c r="C27" s="296"/>
      <c r="D27" s="296"/>
      <c r="E27" s="296"/>
      <c r="F27" s="296"/>
      <c r="G27" s="296"/>
      <c r="H27" s="296"/>
      <c r="I27" s="296"/>
      <c r="J27" s="296"/>
      <c r="K27" s="296"/>
      <c r="L27" s="296"/>
      <c r="M27" s="296"/>
      <c r="N27" s="296"/>
      <c r="O27" s="296"/>
      <c r="P27" s="296"/>
      <c r="Q27" s="296"/>
      <c r="R27" s="296"/>
      <c r="S27" s="857"/>
      <c r="T27" s="863"/>
      <c r="U27" s="863"/>
      <c r="V27" s="863"/>
      <c r="W27" s="858"/>
      <c r="X27" s="858"/>
      <c r="Y27" s="858"/>
      <c r="Z27" s="859"/>
      <c r="AA27" s="860"/>
      <c r="AB27" s="864"/>
      <c r="AC27" s="864"/>
      <c r="AD27" s="864"/>
      <c r="AE27" s="864"/>
      <c r="AF27" s="864"/>
      <c r="AG27" s="864"/>
      <c r="AH27" s="864"/>
      <c r="AI27" s="864"/>
      <c r="AJ27" s="864"/>
      <c r="AK27" s="864"/>
      <c r="AL27" s="864"/>
      <c r="AM27" s="864"/>
      <c r="AN27" s="864"/>
      <c r="AO27" s="864"/>
      <c r="AP27" s="864"/>
      <c r="AQ27" s="864"/>
      <c r="AR27" s="864"/>
      <c r="AS27" s="864"/>
      <c r="AT27" s="864"/>
      <c r="AU27" s="864"/>
      <c r="AV27" s="864"/>
      <c r="AW27" s="864"/>
      <c r="AX27" s="864"/>
      <c r="AY27" s="864"/>
      <c r="AZ27" s="864"/>
      <c r="BA27" s="864"/>
      <c r="BB27" s="864"/>
      <c r="BC27" s="864"/>
      <c r="BD27" s="864"/>
      <c r="BE27" s="864"/>
      <c r="BF27" s="864"/>
      <c r="BG27" s="864"/>
      <c r="BH27" s="864"/>
      <c r="BI27" s="864"/>
      <c r="BJ27" s="864"/>
      <c r="BK27" s="864"/>
      <c r="BL27" s="864"/>
      <c r="BM27" s="864"/>
      <c r="BN27" s="864"/>
      <c r="BO27" s="864"/>
      <c r="BP27" s="862"/>
      <c r="BQ27" s="862"/>
      <c r="BR27" s="862"/>
      <c r="BS27" s="862"/>
      <c r="BT27" s="862"/>
      <c r="BU27" s="862"/>
      <c r="BV27" s="862"/>
      <c r="BW27" s="862"/>
      <c r="BX27" s="862"/>
      <c r="BY27" s="862"/>
      <c r="BZ27" s="862"/>
      <c r="CA27" s="862"/>
      <c r="CB27" s="862"/>
      <c r="CC27" s="862"/>
      <c r="CD27" s="861"/>
      <c r="CE27" s="861"/>
      <c r="CF27" s="862"/>
      <c r="CG27" s="862"/>
      <c r="CH27" s="862"/>
      <c r="CI27" s="862"/>
      <c r="CJ27" s="862"/>
      <c r="CK27" s="862"/>
      <c r="CL27" s="862"/>
      <c r="CM27" s="862"/>
    </row>
    <row r="28" spans="1:280" x14ac:dyDescent="0.25">
      <c r="J28" s="866"/>
      <c r="K28" s="867"/>
      <c r="L28" s="868"/>
      <c r="M28" s="128"/>
      <c r="N28" s="128"/>
      <c r="O28" s="868"/>
      <c r="P28" s="868"/>
      <c r="Q28" s="868"/>
      <c r="R28" s="128"/>
      <c r="S28" s="869"/>
      <c r="T28" s="868"/>
      <c r="U28" s="867"/>
      <c r="V28" s="867"/>
      <c r="W28" s="870"/>
      <c r="X28" s="870"/>
      <c r="Y28" s="870"/>
    </row>
    <row r="29" spans="1:280" x14ac:dyDescent="0.25">
      <c r="J29" s="866"/>
      <c r="K29" s="867"/>
      <c r="L29" s="868"/>
      <c r="M29" s="3416" t="s">
        <v>496</v>
      </c>
      <c r="N29" s="3416"/>
      <c r="O29" s="3416"/>
      <c r="P29" s="3416"/>
      <c r="Q29" s="3416"/>
      <c r="R29" s="3416"/>
      <c r="S29" s="3416"/>
      <c r="T29" s="3416"/>
      <c r="U29" s="867"/>
      <c r="V29" s="867"/>
      <c r="W29" s="870"/>
      <c r="X29" s="870"/>
      <c r="Y29" s="870"/>
    </row>
    <row r="30" spans="1:280" x14ac:dyDescent="0.25">
      <c r="J30" s="866"/>
      <c r="K30" s="867"/>
      <c r="L30" s="868"/>
      <c r="M30" s="3417" t="s">
        <v>497</v>
      </c>
      <c r="N30" s="3417"/>
      <c r="O30" s="3417"/>
      <c r="P30" s="3417"/>
      <c r="Q30" s="3417"/>
      <c r="R30" s="3417"/>
      <c r="S30" s="3417"/>
      <c r="T30" s="3417"/>
      <c r="U30" s="867"/>
      <c r="V30" s="867"/>
      <c r="W30" s="870"/>
      <c r="X30" s="870"/>
      <c r="Y30" s="870"/>
    </row>
  </sheetData>
  <sheetProtection password="A60F" sheet="1" objects="1" scenarios="1"/>
  <mergeCells count="198">
    <mergeCell ref="A24:R24"/>
    <mergeCell ref="T24:V24"/>
    <mergeCell ref="M29:T29"/>
    <mergeCell ref="M30:T30"/>
    <mergeCell ref="BQ20:BQ22"/>
    <mergeCell ref="BR20:BR22"/>
    <mergeCell ref="J21:J22"/>
    <mergeCell ref="K21:K22"/>
    <mergeCell ref="L21:L22"/>
    <mergeCell ref="M21:M22"/>
    <mergeCell ref="N21:N22"/>
    <mergeCell ref="R21:R22"/>
    <mergeCell ref="U21:U22"/>
    <mergeCell ref="V21:V22"/>
    <mergeCell ref="BK20:BK22"/>
    <mergeCell ref="BL20:BL22"/>
    <mergeCell ref="BM20:BM22"/>
    <mergeCell ref="BN20:BN22"/>
    <mergeCell ref="BO20:BO22"/>
    <mergeCell ref="BP20:BP22"/>
    <mergeCell ref="BE20:BE22"/>
    <mergeCell ref="BF20:BF22"/>
    <mergeCell ref="BG20:BG22"/>
    <mergeCell ref="BH20:BH22"/>
    <mergeCell ref="BI20:BI22"/>
    <mergeCell ref="BJ20:BJ22"/>
    <mergeCell ref="AY20:AY22"/>
    <mergeCell ref="AZ20:AZ22"/>
    <mergeCell ref="BA20:BA22"/>
    <mergeCell ref="BB20:BB22"/>
    <mergeCell ref="BC20:BC22"/>
    <mergeCell ref="BD20:BD22"/>
    <mergeCell ref="AS20:AS22"/>
    <mergeCell ref="AT20:AT22"/>
    <mergeCell ref="AU20:AU22"/>
    <mergeCell ref="AV20:AV22"/>
    <mergeCell ref="AW20:AW22"/>
    <mergeCell ref="AX20:AX22"/>
    <mergeCell ref="AM20:AM22"/>
    <mergeCell ref="AN20:AN22"/>
    <mergeCell ref="AO20:AO22"/>
    <mergeCell ref="AP20:AP22"/>
    <mergeCell ref="AQ20:AQ22"/>
    <mergeCell ref="AR20:AR22"/>
    <mergeCell ref="AG20:AG22"/>
    <mergeCell ref="AH20:AH22"/>
    <mergeCell ref="AI20:AI22"/>
    <mergeCell ref="AJ20:AJ22"/>
    <mergeCell ref="AK20:AK22"/>
    <mergeCell ref="AL20:AL22"/>
    <mergeCell ref="T20:T22"/>
    <mergeCell ref="AB20:AB22"/>
    <mergeCell ref="AC20:AC22"/>
    <mergeCell ref="AD20:AD22"/>
    <mergeCell ref="AE20:AE22"/>
    <mergeCell ref="AF20:AF22"/>
    <mergeCell ref="Y17:Y19"/>
    <mergeCell ref="Z17:Z19"/>
    <mergeCell ref="AA17:AA19"/>
    <mergeCell ref="AF13:AF19"/>
    <mergeCell ref="B20:C20"/>
    <mergeCell ref="E20:F20"/>
    <mergeCell ref="H20:I20"/>
    <mergeCell ref="O20:O22"/>
    <mergeCell ref="P20:P22"/>
    <mergeCell ref="Q20:Q22"/>
    <mergeCell ref="S20:S22"/>
    <mergeCell ref="J17:J19"/>
    <mergeCell ref="K17:K19"/>
    <mergeCell ref="L17:L19"/>
    <mergeCell ref="M17:M19"/>
    <mergeCell ref="N17:N19"/>
    <mergeCell ref="R17:R19"/>
    <mergeCell ref="L15:L16"/>
    <mergeCell ref="M15:M16"/>
    <mergeCell ref="N15:N16"/>
    <mergeCell ref="R15:R16"/>
    <mergeCell ref="U15:U16"/>
    <mergeCell ref="V15:V16"/>
    <mergeCell ref="BN13:BN19"/>
    <mergeCell ref="BO13:BO19"/>
    <mergeCell ref="BP13:BP19"/>
    <mergeCell ref="BA13:BA19"/>
    <mergeCell ref="AP13:AP19"/>
    <mergeCell ref="AQ13:AQ19"/>
    <mergeCell ref="AR13:AR19"/>
    <mergeCell ref="AS13:AS19"/>
    <mergeCell ref="AT13:AT19"/>
    <mergeCell ref="AU13:AU19"/>
    <mergeCell ref="AJ13:AJ19"/>
    <mergeCell ref="AK13:AK19"/>
    <mergeCell ref="AL13:AL19"/>
    <mergeCell ref="AM13:AM19"/>
    <mergeCell ref="AN13:AN19"/>
    <mergeCell ref="AO13:AO19"/>
    <mergeCell ref="AD13:AD19"/>
    <mergeCell ref="AE13:AE19"/>
    <mergeCell ref="BQ13:BQ19"/>
    <mergeCell ref="BR13:BR19"/>
    <mergeCell ref="B15:C15"/>
    <mergeCell ref="E15:F15"/>
    <mergeCell ref="H15:I15"/>
    <mergeCell ref="J15:J16"/>
    <mergeCell ref="K15:K16"/>
    <mergeCell ref="BH13:BH19"/>
    <mergeCell ref="BI13:BI19"/>
    <mergeCell ref="BJ13:BJ19"/>
    <mergeCell ref="BK13:BK19"/>
    <mergeCell ref="BL13:BL19"/>
    <mergeCell ref="BM13:BM19"/>
    <mergeCell ref="BB13:BB19"/>
    <mergeCell ref="BC13:BC19"/>
    <mergeCell ref="BD13:BD19"/>
    <mergeCell ref="BE13:BE19"/>
    <mergeCell ref="BF13:BF19"/>
    <mergeCell ref="BG13:BG19"/>
    <mergeCell ref="AV13:AV19"/>
    <mergeCell ref="AW13:AW19"/>
    <mergeCell ref="AX13:AX19"/>
    <mergeCell ref="AY13:AY19"/>
    <mergeCell ref="AZ13:AZ19"/>
    <mergeCell ref="AG13:AG19"/>
    <mergeCell ref="AH13:AH19"/>
    <mergeCell ref="AI13:AI19"/>
    <mergeCell ref="S13:S19"/>
    <mergeCell ref="T13:T19"/>
    <mergeCell ref="U13:U14"/>
    <mergeCell ref="V13:V14"/>
    <mergeCell ref="AB13:AB19"/>
    <mergeCell ref="AC13:AC19"/>
    <mergeCell ref="U17:U19"/>
    <mergeCell ref="V17:V19"/>
    <mergeCell ref="W17:W19"/>
    <mergeCell ref="X17:X19"/>
    <mergeCell ref="BN7:BO8"/>
    <mergeCell ref="BP7:BQ8"/>
    <mergeCell ref="BR7:BR8"/>
    <mergeCell ref="BI8:BI9"/>
    <mergeCell ref="BJ8:BJ9"/>
    <mergeCell ref="BK8:BK9"/>
    <mergeCell ref="BL8:BL9"/>
    <mergeCell ref="BM8:BM9"/>
    <mergeCell ref="J13:J14"/>
    <mergeCell ref="K13:K14"/>
    <mergeCell ref="L13:L14"/>
    <mergeCell ref="M13:M14"/>
    <mergeCell ref="N13:N14"/>
    <mergeCell ref="O13:O19"/>
    <mergeCell ref="P13:P19"/>
    <mergeCell ref="Q13:Q19"/>
    <mergeCell ref="R13:R14"/>
    <mergeCell ref="AV8:AW8"/>
    <mergeCell ref="AX8:AY8"/>
    <mergeCell ref="AZ8:BA8"/>
    <mergeCell ref="BB8:BC8"/>
    <mergeCell ref="BD8:BE8"/>
    <mergeCell ref="BH8:BH9"/>
    <mergeCell ref="AJ8:AK8"/>
    <mergeCell ref="Q7:Q9"/>
    <mergeCell ref="R7:R9"/>
    <mergeCell ref="S7:S9"/>
    <mergeCell ref="T7:T9"/>
    <mergeCell ref="U7:U9"/>
    <mergeCell ref="V7:V9"/>
    <mergeCell ref="AZ7:BE7"/>
    <mergeCell ref="BF7:BG8"/>
    <mergeCell ref="BH7:BM7"/>
    <mergeCell ref="AL8:AM8"/>
    <mergeCell ref="AN8:AO8"/>
    <mergeCell ref="AP8:AQ8"/>
    <mergeCell ref="AR8:AS8"/>
    <mergeCell ref="AT8:AU8"/>
    <mergeCell ref="W7:Y8"/>
    <mergeCell ref="Z7:Z9"/>
    <mergeCell ref="J7:J9"/>
    <mergeCell ref="K7:K9"/>
    <mergeCell ref="L7:L9"/>
    <mergeCell ref="M7:N8"/>
    <mergeCell ref="O7:O9"/>
    <mergeCell ref="P7:P9"/>
    <mergeCell ref="A1:BN4"/>
    <mergeCell ref="A5:M6"/>
    <mergeCell ref="O5:BR5"/>
    <mergeCell ref="AB6:BD6"/>
    <mergeCell ref="A7:A8"/>
    <mergeCell ref="B7:C8"/>
    <mergeCell ref="D7:D8"/>
    <mergeCell ref="E7:F8"/>
    <mergeCell ref="G7:G8"/>
    <mergeCell ref="H7:I8"/>
    <mergeCell ref="AA7:AA9"/>
    <mergeCell ref="AB7:AE7"/>
    <mergeCell ref="AF7:AM7"/>
    <mergeCell ref="AN7:AY7"/>
    <mergeCell ref="AB8:AC8"/>
    <mergeCell ref="AD8:AE8"/>
    <mergeCell ref="AF8:AG8"/>
    <mergeCell ref="AH8:AI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75"/>
  <sheetViews>
    <sheetView showGridLines="0" zoomScale="60" zoomScaleNormal="60" workbookViewId="0">
      <selection sqref="A1:BM4"/>
    </sheetView>
  </sheetViews>
  <sheetFormatPr baseColWidth="10" defaultColWidth="11.42578125" defaultRowHeight="27.75" customHeight="1" x14ac:dyDescent="0.2"/>
  <cols>
    <col min="1" max="1" width="13.28515625" style="1048" customWidth="1"/>
    <col min="2" max="2" width="9.28515625" style="438" customWidth="1"/>
    <col min="3" max="3" width="21.140625" style="438" customWidth="1"/>
    <col min="4" max="5" width="14.28515625" style="438" customWidth="1"/>
    <col min="6" max="6" width="19.28515625" style="438" customWidth="1"/>
    <col min="7" max="7" width="19.7109375" style="438" customWidth="1"/>
    <col min="8" max="8" width="10.42578125" style="438" customWidth="1"/>
    <col min="9" max="9" width="23.42578125" style="438" customWidth="1"/>
    <col min="10" max="10" width="16.140625" style="438" customWidth="1"/>
    <col min="11" max="11" width="60.42578125" style="439" customWidth="1"/>
    <col min="12" max="12" width="37.42578125" style="440" customWidth="1"/>
    <col min="13" max="13" width="15.5703125" style="440" customWidth="1"/>
    <col min="14" max="14" width="17.140625" style="440" customWidth="1"/>
    <col min="15" max="15" width="34.7109375" style="441" customWidth="1"/>
    <col min="16" max="16" width="25.7109375" style="441" customWidth="1"/>
    <col min="17" max="17" width="39" style="439" customWidth="1"/>
    <col min="18" max="18" width="22.5703125" style="442" customWidth="1"/>
    <col min="19" max="19" width="31.5703125" style="1050" customWidth="1"/>
    <col min="20" max="20" width="41.28515625" style="439" customWidth="1"/>
    <col min="21" max="21" width="81.28515625" style="439" customWidth="1"/>
    <col min="22" max="22" width="45.28515625" style="439" customWidth="1"/>
    <col min="23" max="25" width="32" style="1052" customWidth="1"/>
    <col min="26" max="26" width="28.28515625" style="445" customWidth="1"/>
    <col min="27" max="27" width="46.140625" style="446" customWidth="1"/>
    <col min="28" max="29" width="12" style="438" customWidth="1"/>
    <col min="30" max="31" width="10.85546875" style="438" customWidth="1"/>
    <col min="32" max="32" width="12.7109375" style="438" customWidth="1"/>
    <col min="33" max="33" width="9.42578125" style="438" customWidth="1"/>
    <col min="34" max="35" width="9.85546875" style="438" customWidth="1"/>
    <col min="36" max="37" width="13.28515625" style="438" customWidth="1"/>
    <col min="38" max="39" width="13.7109375" style="438" customWidth="1"/>
    <col min="40" max="41" width="7.5703125" style="438" customWidth="1"/>
    <col min="42" max="43" width="10.85546875" style="438" customWidth="1"/>
    <col min="44" max="47" width="6.28515625" style="438" customWidth="1"/>
    <col min="48" max="49" width="6.5703125" style="438" customWidth="1"/>
    <col min="50" max="53" width="9" style="438" customWidth="1"/>
    <col min="54" max="55" width="11.85546875" style="438" customWidth="1"/>
    <col min="56" max="57" width="8.85546875" style="438" customWidth="1"/>
    <col min="58" max="58" width="10.85546875" style="438" customWidth="1"/>
    <col min="59" max="59" width="23.28515625" style="438" customWidth="1"/>
    <col min="60" max="60" width="28.28515625" style="438" customWidth="1"/>
    <col min="61" max="61" width="30.140625" style="438" customWidth="1"/>
    <col min="62" max="62" width="18" style="438" customWidth="1"/>
    <col min="63" max="63" width="19.5703125" style="438" customWidth="1"/>
    <col min="64" max="64" width="22" style="438" customWidth="1"/>
    <col min="65" max="65" width="15" style="447" customWidth="1"/>
    <col min="66" max="66" width="14.7109375" style="447" customWidth="1"/>
    <col min="67" max="68" width="16.85546875" style="449" customWidth="1"/>
    <col min="69" max="69" width="24.85546875" style="450" customWidth="1"/>
    <col min="70" max="16384" width="11.42578125" style="438"/>
  </cols>
  <sheetData>
    <row r="1" spans="1:75" ht="20.25" customHeight="1" x14ac:dyDescent="0.2">
      <c r="A1" s="3434" t="s">
        <v>498</v>
      </c>
      <c r="B1" s="3435"/>
      <c r="C1" s="3435"/>
      <c r="D1" s="3435"/>
      <c r="E1" s="3435"/>
      <c r="F1" s="3435"/>
      <c r="G1" s="3435"/>
      <c r="H1" s="3435"/>
      <c r="I1" s="3435"/>
      <c r="J1" s="3435"/>
      <c r="K1" s="3435"/>
      <c r="L1" s="3435"/>
      <c r="M1" s="3435"/>
      <c r="N1" s="3435"/>
      <c r="O1" s="3435"/>
      <c r="P1" s="3435"/>
      <c r="Q1" s="3435"/>
      <c r="R1" s="3435"/>
      <c r="S1" s="3435"/>
      <c r="T1" s="3435"/>
      <c r="U1" s="3435"/>
      <c r="V1" s="3435"/>
      <c r="W1" s="3435"/>
      <c r="X1" s="3435"/>
      <c r="Y1" s="3435"/>
      <c r="Z1" s="3435"/>
      <c r="AA1" s="3435"/>
      <c r="AB1" s="3435"/>
      <c r="AC1" s="3435"/>
      <c r="AD1" s="3435"/>
      <c r="AE1" s="3435"/>
      <c r="AF1" s="3435"/>
      <c r="AG1" s="3435"/>
      <c r="AH1" s="3435"/>
      <c r="AI1" s="3435"/>
      <c r="AJ1" s="3435"/>
      <c r="AK1" s="3435"/>
      <c r="AL1" s="3435"/>
      <c r="AM1" s="3435"/>
      <c r="AN1" s="3435"/>
      <c r="AO1" s="3435"/>
      <c r="AP1" s="3435"/>
      <c r="AQ1" s="3435"/>
      <c r="AR1" s="3435"/>
      <c r="AS1" s="3435"/>
      <c r="AT1" s="3435"/>
      <c r="AU1" s="3435"/>
      <c r="AV1" s="3435"/>
      <c r="AW1" s="3435"/>
      <c r="AX1" s="3435"/>
      <c r="AY1" s="3435"/>
      <c r="AZ1" s="3435"/>
      <c r="BA1" s="3435"/>
      <c r="BB1" s="3435"/>
      <c r="BC1" s="3435"/>
      <c r="BD1" s="3435"/>
      <c r="BE1" s="3435"/>
      <c r="BF1" s="3435"/>
      <c r="BG1" s="3435"/>
      <c r="BH1" s="3435"/>
      <c r="BI1" s="3435"/>
      <c r="BJ1" s="3435"/>
      <c r="BK1" s="3435"/>
      <c r="BL1" s="3435"/>
      <c r="BM1" s="3435"/>
      <c r="BN1" s="902"/>
      <c r="BP1" s="903" t="s">
        <v>199</v>
      </c>
      <c r="BQ1" s="903" t="s">
        <v>1</v>
      </c>
      <c r="BR1" s="440"/>
      <c r="BS1" s="440"/>
      <c r="BT1" s="440"/>
      <c r="BU1" s="440"/>
      <c r="BV1" s="440"/>
      <c r="BW1" s="440"/>
    </row>
    <row r="2" spans="1:75" ht="20.25" customHeight="1" x14ac:dyDescent="0.2">
      <c r="A2" s="3436"/>
      <c r="B2" s="3437"/>
      <c r="C2" s="3437"/>
      <c r="D2" s="3437"/>
      <c r="E2" s="3437"/>
      <c r="F2" s="3437"/>
      <c r="G2" s="3437"/>
      <c r="H2" s="3437"/>
      <c r="I2" s="3437"/>
      <c r="J2" s="3437"/>
      <c r="K2" s="3437"/>
      <c r="L2" s="3437"/>
      <c r="M2" s="3437"/>
      <c r="N2" s="3437"/>
      <c r="O2" s="3437"/>
      <c r="P2" s="3437"/>
      <c r="Q2" s="3437"/>
      <c r="R2" s="3437"/>
      <c r="S2" s="3437"/>
      <c r="T2" s="3437"/>
      <c r="U2" s="3437"/>
      <c r="V2" s="3437"/>
      <c r="W2" s="3437"/>
      <c r="X2" s="3437"/>
      <c r="Y2" s="3437"/>
      <c r="Z2" s="3437"/>
      <c r="AA2" s="3437"/>
      <c r="AB2" s="3437"/>
      <c r="AC2" s="3437"/>
      <c r="AD2" s="3437"/>
      <c r="AE2" s="3437"/>
      <c r="AF2" s="3437"/>
      <c r="AG2" s="3437"/>
      <c r="AH2" s="3437"/>
      <c r="AI2" s="3437"/>
      <c r="AJ2" s="3437"/>
      <c r="AK2" s="3437"/>
      <c r="AL2" s="3437"/>
      <c r="AM2" s="3437"/>
      <c r="AN2" s="3437"/>
      <c r="AO2" s="3437"/>
      <c r="AP2" s="3437"/>
      <c r="AQ2" s="3437"/>
      <c r="AR2" s="3437"/>
      <c r="AS2" s="3437"/>
      <c r="AT2" s="3437"/>
      <c r="AU2" s="3437"/>
      <c r="AV2" s="3437"/>
      <c r="AW2" s="3437"/>
      <c r="AX2" s="3437"/>
      <c r="AY2" s="3437"/>
      <c r="AZ2" s="3437"/>
      <c r="BA2" s="3437"/>
      <c r="BB2" s="3437"/>
      <c r="BC2" s="3437"/>
      <c r="BD2" s="3437"/>
      <c r="BE2" s="3437"/>
      <c r="BF2" s="3437"/>
      <c r="BG2" s="3437"/>
      <c r="BH2" s="3437"/>
      <c r="BI2" s="3437"/>
      <c r="BJ2" s="3437"/>
      <c r="BK2" s="3437"/>
      <c r="BL2" s="3437"/>
      <c r="BM2" s="3437"/>
      <c r="BN2" s="886"/>
      <c r="BP2" s="904" t="s">
        <v>2</v>
      </c>
      <c r="BQ2" s="903" t="s">
        <v>499</v>
      </c>
      <c r="BR2" s="440"/>
      <c r="BS2" s="440"/>
      <c r="BT2" s="440"/>
      <c r="BU2" s="440"/>
      <c r="BV2" s="440"/>
      <c r="BW2" s="440"/>
    </row>
    <row r="3" spans="1:75" ht="20.25" customHeight="1" x14ac:dyDescent="0.2">
      <c r="A3" s="3436"/>
      <c r="B3" s="3437"/>
      <c r="C3" s="3437"/>
      <c r="D3" s="3437"/>
      <c r="E3" s="3437"/>
      <c r="F3" s="3437"/>
      <c r="G3" s="3437"/>
      <c r="H3" s="3437"/>
      <c r="I3" s="3437"/>
      <c r="J3" s="3437"/>
      <c r="K3" s="3437"/>
      <c r="L3" s="3437"/>
      <c r="M3" s="3437"/>
      <c r="N3" s="3437"/>
      <c r="O3" s="3437"/>
      <c r="P3" s="3437"/>
      <c r="Q3" s="3437"/>
      <c r="R3" s="3437"/>
      <c r="S3" s="3437"/>
      <c r="T3" s="3437"/>
      <c r="U3" s="3437"/>
      <c r="V3" s="3437"/>
      <c r="W3" s="3437"/>
      <c r="X3" s="3437"/>
      <c r="Y3" s="3437"/>
      <c r="Z3" s="3437"/>
      <c r="AA3" s="3437"/>
      <c r="AB3" s="3437"/>
      <c r="AC3" s="3437"/>
      <c r="AD3" s="3437"/>
      <c r="AE3" s="3437"/>
      <c r="AF3" s="3437"/>
      <c r="AG3" s="3437"/>
      <c r="AH3" s="3437"/>
      <c r="AI3" s="3437"/>
      <c r="AJ3" s="3437"/>
      <c r="AK3" s="3437"/>
      <c r="AL3" s="3437"/>
      <c r="AM3" s="3437"/>
      <c r="AN3" s="3437"/>
      <c r="AO3" s="3437"/>
      <c r="AP3" s="3437"/>
      <c r="AQ3" s="3437"/>
      <c r="AR3" s="3437"/>
      <c r="AS3" s="3437"/>
      <c r="AT3" s="3437"/>
      <c r="AU3" s="3437"/>
      <c r="AV3" s="3437"/>
      <c r="AW3" s="3437"/>
      <c r="AX3" s="3437"/>
      <c r="AY3" s="3437"/>
      <c r="AZ3" s="3437"/>
      <c r="BA3" s="3437"/>
      <c r="BB3" s="3437"/>
      <c r="BC3" s="3437"/>
      <c r="BD3" s="3437"/>
      <c r="BE3" s="3437"/>
      <c r="BF3" s="3437"/>
      <c r="BG3" s="3437"/>
      <c r="BH3" s="3437"/>
      <c r="BI3" s="3437"/>
      <c r="BJ3" s="3437"/>
      <c r="BK3" s="3437"/>
      <c r="BL3" s="3437"/>
      <c r="BM3" s="3437"/>
      <c r="BN3" s="886"/>
      <c r="BP3" s="903" t="s">
        <v>3</v>
      </c>
      <c r="BQ3" s="905" t="s">
        <v>4</v>
      </c>
      <c r="BR3" s="440"/>
      <c r="BS3" s="440"/>
      <c r="BT3" s="440"/>
      <c r="BU3" s="440"/>
      <c r="BV3" s="440"/>
      <c r="BW3" s="440"/>
    </row>
    <row r="4" spans="1:75" ht="20.25" customHeight="1" x14ac:dyDescent="0.2">
      <c r="A4" s="3438"/>
      <c r="B4" s="3439"/>
      <c r="C4" s="3439"/>
      <c r="D4" s="3439"/>
      <c r="E4" s="3439"/>
      <c r="F4" s="3439"/>
      <c r="G4" s="3439"/>
      <c r="H4" s="3439"/>
      <c r="I4" s="3439"/>
      <c r="J4" s="3439"/>
      <c r="K4" s="3439"/>
      <c r="L4" s="3439"/>
      <c r="M4" s="3439"/>
      <c r="N4" s="3439"/>
      <c r="O4" s="3439"/>
      <c r="P4" s="3439"/>
      <c r="Q4" s="3439"/>
      <c r="R4" s="3439"/>
      <c r="S4" s="3439"/>
      <c r="T4" s="3439"/>
      <c r="U4" s="3439"/>
      <c r="V4" s="3439"/>
      <c r="W4" s="3439"/>
      <c r="X4" s="3439"/>
      <c r="Y4" s="3439"/>
      <c r="Z4" s="3439"/>
      <c r="AA4" s="3439"/>
      <c r="AB4" s="3439"/>
      <c r="AC4" s="3439"/>
      <c r="AD4" s="3439"/>
      <c r="AE4" s="3439"/>
      <c r="AF4" s="3439"/>
      <c r="AG4" s="3439"/>
      <c r="AH4" s="3439"/>
      <c r="AI4" s="3439"/>
      <c r="AJ4" s="3439"/>
      <c r="AK4" s="3439"/>
      <c r="AL4" s="3439"/>
      <c r="AM4" s="3439"/>
      <c r="AN4" s="3439"/>
      <c r="AO4" s="3439"/>
      <c r="AP4" s="3439"/>
      <c r="AQ4" s="3439"/>
      <c r="AR4" s="3439"/>
      <c r="AS4" s="3439"/>
      <c r="AT4" s="3439"/>
      <c r="AU4" s="3439"/>
      <c r="AV4" s="3439"/>
      <c r="AW4" s="3439"/>
      <c r="AX4" s="3439"/>
      <c r="AY4" s="3439"/>
      <c r="AZ4" s="3439"/>
      <c r="BA4" s="3439"/>
      <c r="BB4" s="3439"/>
      <c r="BC4" s="3439"/>
      <c r="BD4" s="3439"/>
      <c r="BE4" s="3439"/>
      <c r="BF4" s="3439"/>
      <c r="BG4" s="3439"/>
      <c r="BH4" s="3439"/>
      <c r="BI4" s="3439"/>
      <c r="BJ4" s="3439"/>
      <c r="BK4" s="3439"/>
      <c r="BL4" s="3439"/>
      <c r="BM4" s="3439"/>
      <c r="BN4" s="887"/>
      <c r="BP4" s="903" t="s">
        <v>5</v>
      </c>
      <c r="BQ4" s="906" t="s">
        <v>500</v>
      </c>
      <c r="BR4" s="440"/>
      <c r="BS4" s="440"/>
      <c r="BT4" s="440"/>
      <c r="BU4" s="440"/>
      <c r="BV4" s="440"/>
      <c r="BW4" s="440"/>
    </row>
    <row r="5" spans="1:75" ht="27.75" customHeight="1" x14ac:dyDescent="0.2">
      <c r="A5" s="3440" t="s">
        <v>7</v>
      </c>
      <c r="B5" s="3440"/>
      <c r="C5" s="3440"/>
      <c r="D5" s="3440"/>
      <c r="E5" s="3440"/>
      <c r="F5" s="3440"/>
      <c r="G5" s="3440"/>
      <c r="H5" s="3440"/>
      <c r="I5" s="3440"/>
      <c r="J5" s="3440"/>
      <c r="K5" s="3440"/>
      <c r="L5" s="3440"/>
      <c r="M5" s="3440"/>
      <c r="N5" s="907"/>
      <c r="O5" s="3442" t="s">
        <v>8</v>
      </c>
      <c r="P5" s="3442"/>
      <c r="Q5" s="3442"/>
      <c r="R5" s="3442"/>
      <c r="S5" s="3442"/>
      <c r="T5" s="3442"/>
      <c r="U5" s="3442"/>
      <c r="V5" s="3442"/>
      <c r="W5" s="3442"/>
      <c r="X5" s="3442"/>
      <c r="Y5" s="3442"/>
      <c r="Z5" s="3442"/>
      <c r="AA5" s="3442"/>
      <c r="AB5" s="3442"/>
      <c r="AC5" s="3442"/>
      <c r="AD5" s="3442"/>
      <c r="AE5" s="3442"/>
      <c r="AF5" s="3442"/>
      <c r="AG5" s="3442"/>
      <c r="AH5" s="3442"/>
      <c r="AI5" s="3442"/>
      <c r="AJ5" s="3442"/>
      <c r="AK5" s="3442"/>
      <c r="AL5" s="3442"/>
      <c r="AM5" s="3442"/>
      <c r="AN5" s="3442"/>
      <c r="AO5" s="3442"/>
      <c r="AP5" s="3442"/>
      <c r="AQ5" s="3442"/>
      <c r="AR5" s="3442"/>
      <c r="AS5" s="3442"/>
      <c r="AT5" s="3442"/>
      <c r="AU5" s="3442"/>
      <c r="AV5" s="3442"/>
      <c r="AW5" s="3442"/>
      <c r="AX5" s="3442"/>
      <c r="AY5" s="3442"/>
      <c r="AZ5" s="3442"/>
      <c r="BA5" s="3442"/>
      <c r="BB5" s="3442"/>
      <c r="BC5" s="3442"/>
      <c r="BD5" s="3442"/>
      <c r="BE5" s="3442"/>
      <c r="BF5" s="3442"/>
      <c r="BG5" s="3442"/>
      <c r="BH5" s="3442"/>
      <c r="BI5" s="3442"/>
      <c r="BJ5" s="3442"/>
      <c r="BK5" s="3442"/>
      <c r="BL5" s="3442"/>
      <c r="BM5" s="3442"/>
      <c r="BN5" s="3442"/>
      <c r="BO5" s="3442"/>
      <c r="BP5" s="3442"/>
      <c r="BQ5" s="3442"/>
      <c r="BR5" s="440"/>
      <c r="BS5" s="440"/>
      <c r="BT5" s="440"/>
      <c r="BU5" s="440"/>
      <c r="BV5" s="440"/>
      <c r="BW5" s="440"/>
    </row>
    <row r="6" spans="1:75" ht="27.75" customHeight="1" thickBot="1" x14ac:dyDescent="0.25">
      <c r="A6" s="3441"/>
      <c r="B6" s="3441"/>
      <c r="C6" s="3441"/>
      <c r="D6" s="3441"/>
      <c r="E6" s="3441"/>
      <c r="F6" s="3441"/>
      <c r="G6" s="3441"/>
      <c r="H6" s="3441"/>
      <c r="I6" s="3441"/>
      <c r="J6" s="3441"/>
      <c r="K6" s="3441"/>
      <c r="L6" s="3441"/>
      <c r="M6" s="3441"/>
      <c r="N6" s="908"/>
      <c r="O6" s="912"/>
      <c r="P6" s="908"/>
      <c r="Q6" s="909"/>
      <c r="R6" s="909"/>
      <c r="S6" s="910"/>
      <c r="T6" s="909"/>
      <c r="U6" s="909"/>
      <c r="V6" s="909"/>
      <c r="W6" s="911"/>
      <c r="X6" s="911"/>
      <c r="Y6" s="911"/>
      <c r="Z6" s="909"/>
      <c r="AA6" s="908"/>
      <c r="AB6" s="3443" t="s">
        <v>107</v>
      </c>
      <c r="AC6" s="3441"/>
      <c r="AD6" s="3441"/>
      <c r="AE6" s="3441"/>
      <c r="AF6" s="3441"/>
      <c r="AG6" s="3441"/>
      <c r="AH6" s="3441"/>
      <c r="AI6" s="3441"/>
      <c r="AJ6" s="3441"/>
      <c r="AK6" s="3441"/>
      <c r="AL6" s="3441"/>
      <c r="AM6" s="3441"/>
      <c r="AN6" s="3441"/>
      <c r="AO6" s="3441"/>
      <c r="AP6" s="3441"/>
      <c r="AQ6" s="3441"/>
      <c r="AR6" s="3441"/>
      <c r="AS6" s="3441"/>
      <c r="AT6" s="3441"/>
      <c r="AU6" s="3441"/>
      <c r="AV6" s="3441"/>
      <c r="AW6" s="3441"/>
      <c r="AX6" s="3441"/>
      <c r="AY6" s="3441"/>
      <c r="AZ6" s="3441"/>
      <c r="BA6" s="3441"/>
      <c r="BB6" s="3441"/>
      <c r="BC6" s="3441"/>
      <c r="BD6" s="3444"/>
      <c r="BE6" s="908"/>
      <c r="BF6" s="908"/>
      <c r="BG6" s="908"/>
      <c r="BH6" s="908"/>
      <c r="BI6" s="908"/>
      <c r="BJ6" s="908"/>
      <c r="BK6" s="908"/>
      <c r="BL6" s="908"/>
      <c r="BM6" s="909"/>
      <c r="BN6" s="909"/>
      <c r="BO6" s="909"/>
      <c r="BP6" s="909"/>
      <c r="BQ6" s="913"/>
      <c r="BR6" s="440"/>
      <c r="BS6" s="440"/>
      <c r="BT6" s="440"/>
      <c r="BU6" s="440"/>
      <c r="BV6" s="440"/>
      <c r="BW6" s="440"/>
    </row>
    <row r="7" spans="1:75" ht="40.5" customHeight="1" x14ac:dyDescent="0.2">
      <c r="A7" s="3445" t="s">
        <v>0</v>
      </c>
      <c r="B7" s="3447" t="s">
        <v>9</v>
      </c>
      <c r="C7" s="3448"/>
      <c r="D7" s="3448" t="s">
        <v>0</v>
      </c>
      <c r="E7" s="3447" t="s">
        <v>10</v>
      </c>
      <c r="F7" s="3448"/>
      <c r="G7" s="3448" t="s">
        <v>0</v>
      </c>
      <c r="H7" s="3447" t="s">
        <v>11</v>
      </c>
      <c r="I7" s="3448"/>
      <c r="J7" s="3448" t="s">
        <v>0</v>
      </c>
      <c r="K7" s="3457" t="s">
        <v>12</v>
      </c>
      <c r="L7" s="3451" t="s">
        <v>13</v>
      </c>
      <c r="M7" s="3447" t="s">
        <v>501</v>
      </c>
      <c r="N7" s="3448"/>
      <c r="O7" s="3451" t="s">
        <v>15</v>
      </c>
      <c r="P7" s="3451" t="s">
        <v>108</v>
      </c>
      <c r="Q7" s="3451" t="s">
        <v>8</v>
      </c>
      <c r="R7" s="3453" t="s">
        <v>17</v>
      </c>
      <c r="S7" s="3455" t="s">
        <v>18</v>
      </c>
      <c r="T7" s="3457" t="s">
        <v>19</v>
      </c>
      <c r="U7" s="3447" t="s">
        <v>20</v>
      </c>
      <c r="V7" s="3451" t="s">
        <v>21</v>
      </c>
      <c r="W7" s="3461" t="s">
        <v>18</v>
      </c>
      <c r="X7" s="3462"/>
      <c r="Y7" s="3463"/>
      <c r="Z7" s="3467" t="s">
        <v>0</v>
      </c>
      <c r="AA7" s="3451" t="s">
        <v>22</v>
      </c>
      <c r="AB7" s="3470" t="s">
        <v>23</v>
      </c>
      <c r="AC7" s="3470"/>
      <c r="AD7" s="3470"/>
      <c r="AE7" s="914"/>
      <c r="AF7" s="3471" t="s">
        <v>24</v>
      </c>
      <c r="AG7" s="3472"/>
      <c r="AH7" s="3472"/>
      <c r="AI7" s="3472"/>
      <c r="AJ7" s="3472"/>
      <c r="AK7" s="3472"/>
      <c r="AL7" s="3472"/>
      <c r="AM7" s="3473"/>
      <c r="AN7" s="3474" t="s">
        <v>25</v>
      </c>
      <c r="AO7" s="3475"/>
      <c r="AP7" s="3475"/>
      <c r="AQ7" s="3475"/>
      <c r="AR7" s="3475"/>
      <c r="AS7" s="3475"/>
      <c r="AT7" s="3475"/>
      <c r="AU7" s="3475"/>
      <c r="AV7" s="3475"/>
      <c r="AW7" s="3475"/>
      <c r="AX7" s="3475"/>
      <c r="AY7" s="3476"/>
      <c r="AZ7" s="3471" t="s">
        <v>26</v>
      </c>
      <c r="BA7" s="3472"/>
      <c r="BB7" s="3472"/>
      <c r="BC7" s="3472"/>
      <c r="BD7" s="3472"/>
      <c r="BE7" s="3473"/>
      <c r="BF7" s="3497" t="s">
        <v>27</v>
      </c>
      <c r="BG7" s="3482" t="s">
        <v>28</v>
      </c>
      <c r="BH7" s="3483"/>
      <c r="BI7" s="3483"/>
      <c r="BJ7" s="3483"/>
      <c r="BK7" s="3483"/>
      <c r="BL7" s="3484"/>
      <c r="BM7" s="3485" t="s">
        <v>29</v>
      </c>
      <c r="BN7" s="3485"/>
      <c r="BO7" s="3485" t="s">
        <v>30</v>
      </c>
      <c r="BP7" s="3485"/>
      <c r="BQ7" s="3486" t="s">
        <v>31</v>
      </c>
      <c r="BR7" s="440"/>
      <c r="BS7" s="440"/>
      <c r="BT7" s="440"/>
      <c r="BU7" s="440"/>
      <c r="BV7" s="440"/>
      <c r="BW7" s="440"/>
    </row>
    <row r="8" spans="1:75" ht="143.25" customHeight="1" x14ac:dyDescent="0.2">
      <c r="A8" s="3446"/>
      <c r="B8" s="3449"/>
      <c r="C8" s="3450"/>
      <c r="D8" s="3450"/>
      <c r="E8" s="3449"/>
      <c r="F8" s="3450"/>
      <c r="G8" s="3450"/>
      <c r="H8" s="3449"/>
      <c r="I8" s="3450"/>
      <c r="J8" s="3450"/>
      <c r="K8" s="3458"/>
      <c r="L8" s="3452"/>
      <c r="M8" s="3459"/>
      <c r="N8" s="3460"/>
      <c r="O8" s="3452"/>
      <c r="P8" s="3452"/>
      <c r="Q8" s="3452"/>
      <c r="R8" s="3454"/>
      <c r="S8" s="3456"/>
      <c r="T8" s="3458"/>
      <c r="U8" s="3449"/>
      <c r="V8" s="3452"/>
      <c r="W8" s="3464"/>
      <c r="X8" s="3465"/>
      <c r="Y8" s="3466"/>
      <c r="Z8" s="3468"/>
      <c r="AA8" s="3452"/>
      <c r="AB8" s="3489" t="s">
        <v>37</v>
      </c>
      <c r="AC8" s="3490"/>
      <c r="AD8" s="3489" t="s">
        <v>38</v>
      </c>
      <c r="AE8" s="3490"/>
      <c r="AF8" s="3477" t="s">
        <v>39</v>
      </c>
      <c r="AG8" s="3478"/>
      <c r="AH8" s="3477" t="s">
        <v>40</v>
      </c>
      <c r="AI8" s="3478"/>
      <c r="AJ8" s="3477" t="s">
        <v>2351</v>
      </c>
      <c r="AK8" s="3478"/>
      <c r="AL8" s="3477" t="s">
        <v>42</v>
      </c>
      <c r="AM8" s="3478"/>
      <c r="AN8" s="3479" t="s">
        <v>43</v>
      </c>
      <c r="AO8" s="3480"/>
      <c r="AP8" s="3477" t="s">
        <v>44</v>
      </c>
      <c r="AQ8" s="3481"/>
      <c r="AR8" s="3479" t="s">
        <v>45</v>
      </c>
      <c r="AS8" s="3480"/>
      <c r="AT8" s="3479" t="s">
        <v>46</v>
      </c>
      <c r="AU8" s="3480"/>
      <c r="AV8" s="3479" t="s">
        <v>47</v>
      </c>
      <c r="AW8" s="3480"/>
      <c r="AX8" s="3479" t="s">
        <v>48</v>
      </c>
      <c r="AY8" s="3480"/>
      <c r="AZ8" s="3477" t="s">
        <v>49</v>
      </c>
      <c r="BA8" s="3478"/>
      <c r="BB8" s="3477" t="s">
        <v>50</v>
      </c>
      <c r="BC8" s="3478"/>
      <c r="BD8" s="3477" t="s">
        <v>51</v>
      </c>
      <c r="BE8" s="3478"/>
      <c r="BF8" s="3498"/>
      <c r="BG8" s="3491" t="s">
        <v>112</v>
      </c>
      <c r="BH8" s="3492" t="s">
        <v>53</v>
      </c>
      <c r="BI8" s="3493" t="s">
        <v>54</v>
      </c>
      <c r="BJ8" s="3494" t="s">
        <v>55</v>
      </c>
      <c r="BK8" s="3491" t="s">
        <v>56</v>
      </c>
      <c r="BL8" s="3495" t="s">
        <v>57</v>
      </c>
      <c r="BM8" s="3485"/>
      <c r="BN8" s="3485"/>
      <c r="BO8" s="3485"/>
      <c r="BP8" s="3485"/>
      <c r="BQ8" s="3487"/>
      <c r="BR8" s="440"/>
      <c r="BS8" s="440"/>
      <c r="BT8" s="440"/>
      <c r="BU8" s="440"/>
      <c r="BV8" s="440"/>
      <c r="BW8" s="440"/>
    </row>
    <row r="9" spans="1:75" ht="27.75" customHeight="1" x14ac:dyDescent="0.2">
      <c r="A9" s="3446"/>
      <c r="B9" s="3449"/>
      <c r="C9" s="3450"/>
      <c r="D9" s="3450"/>
      <c r="E9" s="3449"/>
      <c r="F9" s="3450"/>
      <c r="G9" s="3450"/>
      <c r="H9" s="3449"/>
      <c r="I9" s="3450"/>
      <c r="J9" s="3450"/>
      <c r="K9" s="3458"/>
      <c r="L9" s="3452"/>
      <c r="M9" s="17" t="s">
        <v>32</v>
      </c>
      <c r="N9" s="17" t="s">
        <v>33</v>
      </c>
      <c r="O9" s="3452"/>
      <c r="P9" s="3452"/>
      <c r="Q9" s="3452"/>
      <c r="R9" s="3454"/>
      <c r="S9" s="3456"/>
      <c r="T9" s="3458"/>
      <c r="U9" s="3449"/>
      <c r="V9" s="3452"/>
      <c r="W9" s="17" t="s">
        <v>34</v>
      </c>
      <c r="X9" s="17" t="s">
        <v>35</v>
      </c>
      <c r="Y9" s="17" t="s">
        <v>36</v>
      </c>
      <c r="Z9" s="3469"/>
      <c r="AA9" s="3452"/>
      <c r="AB9" s="915" t="s">
        <v>32</v>
      </c>
      <c r="AC9" s="915" t="s">
        <v>33</v>
      </c>
      <c r="AD9" s="916" t="s">
        <v>32</v>
      </c>
      <c r="AE9" s="917" t="s">
        <v>33</v>
      </c>
      <c r="AF9" s="918" t="s">
        <v>32</v>
      </c>
      <c r="AG9" s="918" t="s">
        <v>33</v>
      </c>
      <c r="AH9" s="918" t="s">
        <v>32</v>
      </c>
      <c r="AI9" s="918" t="s">
        <v>33</v>
      </c>
      <c r="AJ9" s="918" t="s">
        <v>32</v>
      </c>
      <c r="AK9" s="918" t="s">
        <v>33</v>
      </c>
      <c r="AL9" s="918" t="s">
        <v>32</v>
      </c>
      <c r="AM9" s="918" t="s">
        <v>33</v>
      </c>
      <c r="AN9" s="918" t="s">
        <v>32</v>
      </c>
      <c r="AO9" s="918" t="s">
        <v>33</v>
      </c>
      <c r="AP9" s="918" t="s">
        <v>32</v>
      </c>
      <c r="AQ9" s="918" t="s">
        <v>33</v>
      </c>
      <c r="AR9" s="918" t="s">
        <v>32</v>
      </c>
      <c r="AS9" s="918" t="s">
        <v>33</v>
      </c>
      <c r="AT9" s="918" t="s">
        <v>32</v>
      </c>
      <c r="AU9" s="918" t="s">
        <v>33</v>
      </c>
      <c r="AV9" s="918" t="s">
        <v>32</v>
      </c>
      <c r="AW9" s="918" t="s">
        <v>33</v>
      </c>
      <c r="AX9" s="918" t="s">
        <v>32</v>
      </c>
      <c r="AY9" s="918" t="s">
        <v>33</v>
      </c>
      <c r="AZ9" s="918" t="s">
        <v>32</v>
      </c>
      <c r="BA9" s="918" t="s">
        <v>33</v>
      </c>
      <c r="BB9" s="918" t="s">
        <v>32</v>
      </c>
      <c r="BC9" s="918" t="s">
        <v>33</v>
      </c>
      <c r="BD9" s="918" t="s">
        <v>32</v>
      </c>
      <c r="BE9" s="918" t="s">
        <v>33</v>
      </c>
      <c r="BF9" s="918"/>
      <c r="BG9" s="3491"/>
      <c r="BH9" s="3492"/>
      <c r="BI9" s="3493"/>
      <c r="BJ9" s="3494"/>
      <c r="BK9" s="3491"/>
      <c r="BL9" s="3496"/>
      <c r="BM9" s="919" t="s">
        <v>32</v>
      </c>
      <c r="BN9" s="919" t="s">
        <v>33</v>
      </c>
      <c r="BO9" s="919" t="s">
        <v>32</v>
      </c>
      <c r="BP9" s="919" t="s">
        <v>33</v>
      </c>
      <c r="BQ9" s="3488"/>
      <c r="BR9" s="440"/>
      <c r="BS9" s="440"/>
      <c r="BT9" s="440"/>
      <c r="BU9" s="440"/>
      <c r="BV9" s="440"/>
      <c r="BW9" s="440"/>
    </row>
    <row r="10" spans="1:75" ht="27.75" customHeight="1" x14ac:dyDescent="0.2">
      <c r="A10" s="920">
        <v>1</v>
      </c>
      <c r="B10" s="921" t="s">
        <v>502</v>
      </c>
      <c r="C10" s="921"/>
      <c r="D10" s="921"/>
      <c r="E10" s="921"/>
      <c r="F10" s="921"/>
      <c r="G10" s="921"/>
      <c r="H10" s="921"/>
      <c r="I10" s="921"/>
      <c r="J10" s="921"/>
      <c r="K10" s="922"/>
      <c r="L10" s="921"/>
      <c r="M10" s="921"/>
      <c r="N10" s="921"/>
      <c r="O10" s="923"/>
      <c r="P10" s="923"/>
      <c r="Q10" s="922"/>
      <c r="R10" s="924"/>
      <c r="S10" s="925"/>
      <c r="T10" s="922"/>
      <c r="U10" s="922"/>
      <c r="V10" s="922"/>
      <c r="W10" s="926"/>
      <c r="X10" s="926"/>
      <c r="Y10" s="926"/>
      <c r="Z10" s="927"/>
      <c r="AA10" s="923"/>
      <c r="AB10" s="921"/>
      <c r="AC10" s="921"/>
      <c r="AD10" s="921"/>
      <c r="AE10" s="921"/>
      <c r="AF10" s="921"/>
      <c r="AG10" s="921"/>
      <c r="AH10" s="921"/>
      <c r="AI10" s="921"/>
      <c r="AJ10" s="921"/>
      <c r="AK10" s="921"/>
      <c r="AL10" s="921"/>
      <c r="AM10" s="921"/>
      <c r="AN10" s="921"/>
      <c r="AO10" s="921"/>
      <c r="AP10" s="921"/>
      <c r="AQ10" s="921"/>
      <c r="AR10" s="921"/>
      <c r="AS10" s="921"/>
      <c r="AT10" s="921"/>
      <c r="AU10" s="921"/>
      <c r="AV10" s="921"/>
      <c r="AW10" s="921"/>
      <c r="AX10" s="921"/>
      <c r="AY10" s="921"/>
      <c r="AZ10" s="921"/>
      <c r="BA10" s="921"/>
      <c r="BB10" s="921"/>
      <c r="BC10" s="921"/>
      <c r="BD10" s="921"/>
      <c r="BE10" s="921"/>
      <c r="BF10" s="921"/>
      <c r="BG10" s="921"/>
      <c r="BH10" s="921"/>
      <c r="BI10" s="921"/>
      <c r="BJ10" s="921"/>
      <c r="BK10" s="921"/>
      <c r="BL10" s="921"/>
      <c r="BM10" s="928"/>
      <c r="BN10" s="928"/>
      <c r="BO10" s="928"/>
      <c r="BP10" s="928"/>
      <c r="BQ10" s="929"/>
      <c r="BR10" s="440"/>
      <c r="BS10" s="440"/>
      <c r="BT10" s="440"/>
      <c r="BU10" s="440"/>
      <c r="BV10" s="440"/>
      <c r="BW10" s="440"/>
    </row>
    <row r="11" spans="1:75" s="440" customFormat="1" ht="27.75" customHeight="1" x14ac:dyDescent="0.2">
      <c r="A11" s="3499"/>
      <c r="B11" s="3499"/>
      <c r="C11" s="3499"/>
      <c r="D11" s="930">
        <v>1</v>
      </c>
      <c r="E11" s="931" t="s">
        <v>503</v>
      </c>
      <c r="F11" s="931"/>
      <c r="G11" s="931"/>
      <c r="H11" s="3500"/>
      <c r="I11" s="3501"/>
      <c r="J11" s="931"/>
      <c r="K11" s="932"/>
      <c r="L11" s="931"/>
      <c r="M11" s="931"/>
      <c r="N11" s="931"/>
      <c r="O11" s="933"/>
      <c r="P11" s="933"/>
      <c r="Q11" s="932"/>
      <c r="R11" s="934"/>
      <c r="S11" s="935"/>
      <c r="T11" s="932"/>
      <c r="U11" s="932"/>
      <c r="V11" s="932"/>
      <c r="W11" s="936"/>
      <c r="X11" s="936"/>
      <c r="Y11" s="936"/>
      <c r="Z11" s="930"/>
      <c r="AA11" s="933"/>
      <c r="AB11" s="931"/>
      <c r="AC11" s="931"/>
      <c r="AD11" s="931"/>
      <c r="AE11" s="931"/>
      <c r="AF11" s="931"/>
      <c r="AG11" s="931"/>
      <c r="AH11" s="931"/>
      <c r="AI11" s="931"/>
      <c r="AJ11" s="931"/>
      <c r="AK11" s="931"/>
      <c r="AL11" s="931"/>
      <c r="AM11" s="931"/>
      <c r="AN11" s="931"/>
      <c r="AO11" s="931"/>
      <c r="AP11" s="931"/>
      <c r="AQ11" s="931"/>
      <c r="AR11" s="931"/>
      <c r="AS11" s="931"/>
      <c r="AT11" s="931"/>
      <c r="AU11" s="931"/>
      <c r="AV11" s="931"/>
      <c r="AW11" s="931"/>
      <c r="AX11" s="931"/>
      <c r="AY11" s="931"/>
      <c r="AZ11" s="931"/>
      <c r="BA11" s="931"/>
      <c r="BB11" s="931"/>
      <c r="BC11" s="931"/>
      <c r="BD11" s="931"/>
      <c r="BE11" s="931"/>
      <c r="BF11" s="931"/>
      <c r="BG11" s="931"/>
      <c r="BH11" s="931"/>
      <c r="BI11" s="931"/>
      <c r="BJ11" s="931"/>
      <c r="BK11" s="931"/>
      <c r="BL11" s="931"/>
      <c r="BM11" s="937"/>
      <c r="BN11" s="937"/>
      <c r="BO11" s="937"/>
      <c r="BP11" s="937"/>
      <c r="BQ11" s="932"/>
    </row>
    <row r="12" spans="1:75" s="440" customFormat="1" ht="27.75" customHeight="1" x14ac:dyDescent="0.2">
      <c r="A12" s="3499"/>
      <c r="B12" s="3499"/>
      <c r="C12" s="3499"/>
      <c r="D12" s="3502"/>
      <c r="E12" s="3502"/>
      <c r="F12" s="3502"/>
      <c r="G12" s="938">
        <v>2</v>
      </c>
      <c r="H12" s="939" t="s">
        <v>504</v>
      </c>
      <c r="I12" s="939"/>
      <c r="J12" s="939"/>
      <c r="K12" s="940"/>
      <c r="L12" s="939"/>
      <c r="M12" s="939"/>
      <c r="N12" s="939"/>
      <c r="O12" s="941"/>
      <c r="P12" s="941"/>
      <c r="Q12" s="940"/>
      <c r="R12" s="942"/>
      <c r="S12" s="943"/>
      <c r="T12" s="940"/>
      <c r="U12" s="940"/>
      <c r="V12" s="940"/>
      <c r="W12" s="944"/>
      <c r="X12" s="944"/>
      <c r="Y12" s="944"/>
      <c r="Z12" s="945"/>
      <c r="AA12" s="941"/>
      <c r="AB12" s="939"/>
      <c r="AC12" s="939"/>
      <c r="AD12" s="939"/>
      <c r="AE12" s="939"/>
      <c r="AF12" s="939"/>
      <c r="AG12" s="939"/>
      <c r="AH12" s="939"/>
      <c r="AI12" s="939"/>
      <c r="AJ12" s="939"/>
      <c r="AK12" s="939"/>
      <c r="AL12" s="939"/>
      <c r="AM12" s="939"/>
      <c r="AN12" s="939"/>
      <c r="AO12" s="939"/>
      <c r="AP12" s="939"/>
      <c r="AQ12" s="939"/>
      <c r="AR12" s="939"/>
      <c r="AS12" s="939"/>
      <c r="AT12" s="939"/>
      <c r="AU12" s="939"/>
      <c r="AV12" s="939"/>
      <c r="AW12" s="939"/>
      <c r="AX12" s="939"/>
      <c r="AY12" s="939"/>
      <c r="AZ12" s="939"/>
      <c r="BA12" s="939"/>
      <c r="BB12" s="939"/>
      <c r="BC12" s="939"/>
      <c r="BD12" s="939"/>
      <c r="BE12" s="939"/>
      <c r="BF12" s="939"/>
      <c r="BG12" s="939"/>
      <c r="BH12" s="939"/>
      <c r="BI12" s="939"/>
      <c r="BJ12" s="939"/>
      <c r="BK12" s="939"/>
      <c r="BL12" s="939"/>
      <c r="BM12" s="946"/>
      <c r="BN12" s="946"/>
      <c r="BO12" s="946"/>
      <c r="BP12" s="946"/>
      <c r="BQ12" s="940"/>
    </row>
    <row r="13" spans="1:75" s="440" customFormat="1" ht="27.75" customHeight="1" x14ac:dyDescent="0.2">
      <c r="A13" s="3499"/>
      <c r="B13" s="3499"/>
      <c r="C13" s="3499"/>
      <c r="D13" s="3502"/>
      <c r="E13" s="3502"/>
      <c r="F13" s="3502"/>
      <c r="G13" s="3503"/>
      <c r="H13" s="3503"/>
      <c r="I13" s="3503"/>
      <c r="J13" s="3504">
        <v>9</v>
      </c>
      <c r="K13" s="3505" t="s">
        <v>505</v>
      </c>
      <c r="L13" s="3505" t="s">
        <v>506</v>
      </c>
      <c r="M13" s="3504">
        <v>5</v>
      </c>
      <c r="N13" s="3507">
        <v>4</v>
      </c>
      <c r="O13" s="3510" t="s">
        <v>507</v>
      </c>
      <c r="P13" s="3504" t="s">
        <v>508</v>
      </c>
      <c r="Q13" s="3505" t="s">
        <v>509</v>
      </c>
      <c r="R13" s="3520">
        <f>SUM(W13:W20)/S13</f>
        <v>1</v>
      </c>
      <c r="S13" s="3521">
        <f>SUM(W13:W20)</f>
        <v>2440979994</v>
      </c>
      <c r="T13" s="3505" t="s">
        <v>510</v>
      </c>
      <c r="U13" s="3522" t="s">
        <v>511</v>
      </c>
      <c r="V13" s="3525" t="s">
        <v>512</v>
      </c>
      <c r="W13" s="3513">
        <f>2000000000</f>
        <v>2000000000</v>
      </c>
      <c r="X13" s="3513">
        <v>1418861559</v>
      </c>
      <c r="Y13" s="3513">
        <v>233681623.80000001</v>
      </c>
      <c r="Z13" s="3516" t="s">
        <v>513</v>
      </c>
      <c r="AA13" s="3516" t="s">
        <v>514</v>
      </c>
      <c r="AB13" s="3519">
        <v>294321</v>
      </c>
      <c r="AC13" s="3519">
        <v>294322</v>
      </c>
      <c r="AD13" s="3519">
        <v>283947</v>
      </c>
      <c r="AE13" s="3519">
        <v>283947</v>
      </c>
      <c r="AF13" s="3519">
        <v>135754</v>
      </c>
      <c r="AG13" s="3519">
        <v>135754</v>
      </c>
      <c r="AH13" s="3519">
        <v>44640</v>
      </c>
      <c r="AI13" s="3519">
        <v>44640</v>
      </c>
      <c r="AJ13" s="3519">
        <v>308178</v>
      </c>
      <c r="AK13" s="3519">
        <v>308178</v>
      </c>
      <c r="AL13" s="3519">
        <v>89696</v>
      </c>
      <c r="AM13" s="3519">
        <v>89696</v>
      </c>
      <c r="AN13" s="3519">
        <v>2145</v>
      </c>
      <c r="AO13" s="3519">
        <v>2145</v>
      </c>
      <c r="AP13" s="3519">
        <v>12718</v>
      </c>
      <c r="AQ13" s="3519">
        <v>12718</v>
      </c>
      <c r="AR13" s="3519">
        <v>26</v>
      </c>
      <c r="AS13" s="3519">
        <v>26</v>
      </c>
      <c r="AT13" s="3519">
        <v>37</v>
      </c>
      <c r="AU13" s="3519">
        <v>37</v>
      </c>
      <c r="AV13" s="3519">
        <v>0</v>
      </c>
      <c r="AW13" s="3531">
        <v>0</v>
      </c>
      <c r="AX13" s="3519">
        <v>0</v>
      </c>
      <c r="AY13" s="3531">
        <v>0</v>
      </c>
      <c r="AZ13" s="3519">
        <v>54612</v>
      </c>
      <c r="BA13" s="3519">
        <v>54612</v>
      </c>
      <c r="BB13" s="3519">
        <v>21944</v>
      </c>
      <c r="BC13" s="3519">
        <v>21944</v>
      </c>
      <c r="BD13" s="3519">
        <v>1010</v>
      </c>
      <c r="BE13" s="3519">
        <v>1010</v>
      </c>
      <c r="BF13" s="3519">
        <v>578268</v>
      </c>
      <c r="BG13" s="3544" t="s">
        <v>515</v>
      </c>
      <c r="BH13" s="3531">
        <f>X13+X17+X18+X20</f>
        <v>1841807941.2</v>
      </c>
      <c r="BI13" s="3531">
        <f>Y13+Y17+Y18+Y20</f>
        <v>233681623.80000001</v>
      </c>
      <c r="BJ13" s="3534">
        <f>BI13/BH13</f>
        <v>0.12687621688054432</v>
      </c>
      <c r="BK13" s="3537" t="s">
        <v>516</v>
      </c>
      <c r="BL13" s="3540" t="s">
        <v>517</v>
      </c>
      <c r="BM13" s="3543">
        <v>43466</v>
      </c>
      <c r="BN13" s="3543">
        <v>43466</v>
      </c>
      <c r="BO13" s="3543">
        <v>43830</v>
      </c>
      <c r="BP13" s="3543">
        <v>43830</v>
      </c>
      <c r="BQ13" s="3526" t="s">
        <v>518</v>
      </c>
    </row>
    <row r="14" spans="1:75" s="440" customFormat="1" ht="27.75" customHeight="1" x14ac:dyDescent="0.2">
      <c r="A14" s="3499"/>
      <c r="B14" s="3499"/>
      <c r="C14" s="3499"/>
      <c r="D14" s="3502"/>
      <c r="E14" s="3502"/>
      <c r="F14" s="3502"/>
      <c r="G14" s="3503"/>
      <c r="H14" s="3503"/>
      <c r="I14" s="3503"/>
      <c r="J14" s="3504"/>
      <c r="K14" s="3505"/>
      <c r="L14" s="3505"/>
      <c r="M14" s="3504"/>
      <c r="N14" s="3508"/>
      <c r="O14" s="3511"/>
      <c r="P14" s="3504"/>
      <c r="Q14" s="3505"/>
      <c r="R14" s="3520"/>
      <c r="S14" s="3521"/>
      <c r="T14" s="3505"/>
      <c r="U14" s="3523"/>
      <c r="V14" s="3525"/>
      <c r="W14" s="3514"/>
      <c r="X14" s="3514"/>
      <c r="Y14" s="3514"/>
      <c r="Z14" s="3517"/>
      <c r="AA14" s="3517"/>
      <c r="AB14" s="3519"/>
      <c r="AC14" s="3519"/>
      <c r="AD14" s="3519"/>
      <c r="AE14" s="3519"/>
      <c r="AF14" s="3519"/>
      <c r="AG14" s="3519"/>
      <c r="AH14" s="3519"/>
      <c r="AI14" s="3519"/>
      <c r="AJ14" s="3519"/>
      <c r="AK14" s="3519"/>
      <c r="AL14" s="3519"/>
      <c r="AM14" s="3519"/>
      <c r="AN14" s="3519"/>
      <c r="AO14" s="3519"/>
      <c r="AP14" s="3519"/>
      <c r="AQ14" s="3519"/>
      <c r="AR14" s="3519"/>
      <c r="AS14" s="3519"/>
      <c r="AT14" s="3519"/>
      <c r="AU14" s="3519"/>
      <c r="AV14" s="3519"/>
      <c r="AW14" s="3532"/>
      <c r="AX14" s="3519"/>
      <c r="AY14" s="3532"/>
      <c r="AZ14" s="3519"/>
      <c r="BA14" s="3519"/>
      <c r="BB14" s="3519"/>
      <c r="BC14" s="3519"/>
      <c r="BD14" s="3519"/>
      <c r="BE14" s="3519"/>
      <c r="BF14" s="3519"/>
      <c r="BG14" s="3545"/>
      <c r="BH14" s="3532"/>
      <c r="BI14" s="3532"/>
      <c r="BJ14" s="3535"/>
      <c r="BK14" s="3538"/>
      <c r="BL14" s="3541"/>
      <c r="BM14" s="3543"/>
      <c r="BN14" s="3543"/>
      <c r="BO14" s="3543"/>
      <c r="BP14" s="3543"/>
      <c r="BQ14" s="3526"/>
    </row>
    <row r="15" spans="1:75" s="440" customFormat="1" ht="27.75" customHeight="1" x14ac:dyDescent="0.2">
      <c r="A15" s="3499"/>
      <c r="B15" s="3499"/>
      <c r="C15" s="3499"/>
      <c r="D15" s="3502"/>
      <c r="E15" s="3502"/>
      <c r="F15" s="3502"/>
      <c r="G15" s="3503"/>
      <c r="H15" s="3503"/>
      <c r="I15" s="3503"/>
      <c r="J15" s="3504"/>
      <c r="K15" s="3505"/>
      <c r="L15" s="3505"/>
      <c r="M15" s="3504"/>
      <c r="N15" s="3508"/>
      <c r="O15" s="3511"/>
      <c r="P15" s="3504"/>
      <c r="Q15" s="3505"/>
      <c r="R15" s="3520"/>
      <c r="S15" s="3521"/>
      <c r="T15" s="3505"/>
      <c r="U15" s="3523"/>
      <c r="V15" s="3525"/>
      <c r="W15" s="3514"/>
      <c r="X15" s="3514"/>
      <c r="Y15" s="3514"/>
      <c r="Z15" s="3517"/>
      <c r="AA15" s="3517"/>
      <c r="AB15" s="3519"/>
      <c r="AC15" s="3519"/>
      <c r="AD15" s="3519"/>
      <c r="AE15" s="3519"/>
      <c r="AF15" s="3519"/>
      <c r="AG15" s="3519"/>
      <c r="AH15" s="3519"/>
      <c r="AI15" s="3519"/>
      <c r="AJ15" s="3519"/>
      <c r="AK15" s="3519"/>
      <c r="AL15" s="3519"/>
      <c r="AM15" s="3519"/>
      <c r="AN15" s="3519"/>
      <c r="AO15" s="3519"/>
      <c r="AP15" s="3519"/>
      <c r="AQ15" s="3519"/>
      <c r="AR15" s="3519"/>
      <c r="AS15" s="3519"/>
      <c r="AT15" s="3519"/>
      <c r="AU15" s="3519"/>
      <c r="AV15" s="3519"/>
      <c r="AW15" s="3532"/>
      <c r="AX15" s="3519"/>
      <c r="AY15" s="3532"/>
      <c r="AZ15" s="3519"/>
      <c r="BA15" s="3519"/>
      <c r="BB15" s="3519"/>
      <c r="BC15" s="3519"/>
      <c r="BD15" s="3519"/>
      <c r="BE15" s="3519"/>
      <c r="BF15" s="3519"/>
      <c r="BG15" s="3545"/>
      <c r="BH15" s="3532"/>
      <c r="BI15" s="3532"/>
      <c r="BJ15" s="3535"/>
      <c r="BK15" s="3538"/>
      <c r="BL15" s="3541"/>
      <c r="BM15" s="3543"/>
      <c r="BN15" s="3543"/>
      <c r="BO15" s="3543"/>
      <c r="BP15" s="3543"/>
      <c r="BQ15" s="3526"/>
    </row>
    <row r="16" spans="1:75" s="440" customFormat="1" ht="27.75" customHeight="1" x14ac:dyDescent="0.2">
      <c r="A16" s="3499"/>
      <c r="B16" s="3499"/>
      <c r="C16" s="3499"/>
      <c r="D16" s="3502"/>
      <c r="E16" s="3502"/>
      <c r="F16" s="3502"/>
      <c r="G16" s="3503"/>
      <c r="H16" s="3503"/>
      <c r="I16" s="3503"/>
      <c r="J16" s="3504"/>
      <c r="K16" s="3505"/>
      <c r="L16" s="3505"/>
      <c r="M16" s="3504"/>
      <c r="N16" s="3508"/>
      <c r="O16" s="3511"/>
      <c r="P16" s="3504"/>
      <c r="Q16" s="3505"/>
      <c r="R16" s="3520"/>
      <c r="S16" s="3521"/>
      <c r="T16" s="3505"/>
      <c r="U16" s="3523"/>
      <c r="V16" s="3525"/>
      <c r="W16" s="3515"/>
      <c r="X16" s="3515"/>
      <c r="Y16" s="3515"/>
      <c r="Z16" s="3518"/>
      <c r="AA16" s="3518"/>
      <c r="AB16" s="3519"/>
      <c r="AC16" s="3519"/>
      <c r="AD16" s="3519"/>
      <c r="AE16" s="3519"/>
      <c r="AF16" s="3519"/>
      <c r="AG16" s="3519"/>
      <c r="AH16" s="3519"/>
      <c r="AI16" s="3519"/>
      <c r="AJ16" s="3519"/>
      <c r="AK16" s="3519"/>
      <c r="AL16" s="3519"/>
      <c r="AM16" s="3519"/>
      <c r="AN16" s="3519"/>
      <c r="AO16" s="3519"/>
      <c r="AP16" s="3519"/>
      <c r="AQ16" s="3519"/>
      <c r="AR16" s="3519"/>
      <c r="AS16" s="3519"/>
      <c r="AT16" s="3519"/>
      <c r="AU16" s="3519"/>
      <c r="AV16" s="3519"/>
      <c r="AW16" s="3532"/>
      <c r="AX16" s="3519"/>
      <c r="AY16" s="3532"/>
      <c r="AZ16" s="3519"/>
      <c r="BA16" s="3519"/>
      <c r="BB16" s="3519"/>
      <c r="BC16" s="3519"/>
      <c r="BD16" s="3519"/>
      <c r="BE16" s="3519"/>
      <c r="BF16" s="3519"/>
      <c r="BG16" s="3545"/>
      <c r="BH16" s="3532"/>
      <c r="BI16" s="3532"/>
      <c r="BJ16" s="3535"/>
      <c r="BK16" s="3538"/>
      <c r="BL16" s="3541"/>
      <c r="BM16" s="3543"/>
      <c r="BN16" s="3543"/>
      <c r="BO16" s="3543"/>
      <c r="BP16" s="3543"/>
      <c r="BQ16" s="3526"/>
    </row>
    <row r="17" spans="1:69" s="440" customFormat="1" ht="51" customHeight="1" x14ac:dyDescent="0.2">
      <c r="A17" s="3499"/>
      <c r="B17" s="3499"/>
      <c r="C17" s="3499"/>
      <c r="D17" s="3502"/>
      <c r="E17" s="3502"/>
      <c r="F17" s="3502"/>
      <c r="G17" s="3503"/>
      <c r="H17" s="3503"/>
      <c r="I17" s="3503"/>
      <c r="J17" s="3504"/>
      <c r="K17" s="3505"/>
      <c r="L17" s="3505"/>
      <c r="M17" s="3504"/>
      <c r="N17" s="3508"/>
      <c r="O17" s="3511"/>
      <c r="P17" s="3504"/>
      <c r="Q17" s="3505"/>
      <c r="R17" s="3520"/>
      <c r="S17" s="3521"/>
      <c r="T17" s="3505"/>
      <c r="U17" s="3524"/>
      <c r="V17" s="3525"/>
      <c r="W17" s="947">
        <v>4200000</v>
      </c>
      <c r="X17" s="947">
        <v>0</v>
      </c>
      <c r="Y17" s="947">
        <v>0</v>
      </c>
      <c r="Z17" s="948">
        <v>27</v>
      </c>
      <c r="AA17" s="895" t="s">
        <v>519</v>
      </c>
      <c r="AB17" s="3519"/>
      <c r="AC17" s="3519"/>
      <c r="AD17" s="3519"/>
      <c r="AE17" s="3519"/>
      <c r="AF17" s="3519"/>
      <c r="AG17" s="3519"/>
      <c r="AH17" s="3519"/>
      <c r="AI17" s="3519"/>
      <c r="AJ17" s="3519"/>
      <c r="AK17" s="3519"/>
      <c r="AL17" s="3519"/>
      <c r="AM17" s="3519"/>
      <c r="AN17" s="3519"/>
      <c r="AO17" s="3519"/>
      <c r="AP17" s="3519"/>
      <c r="AQ17" s="3519"/>
      <c r="AR17" s="3519"/>
      <c r="AS17" s="3519"/>
      <c r="AT17" s="3519"/>
      <c r="AU17" s="3519"/>
      <c r="AV17" s="3519"/>
      <c r="AW17" s="3532"/>
      <c r="AX17" s="3519"/>
      <c r="AY17" s="3532"/>
      <c r="AZ17" s="3519"/>
      <c r="BA17" s="3519"/>
      <c r="BB17" s="3519"/>
      <c r="BC17" s="3519"/>
      <c r="BD17" s="3519"/>
      <c r="BE17" s="3519"/>
      <c r="BF17" s="3519"/>
      <c r="BG17" s="3545"/>
      <c r="BH17" s="3532"/>
      <c r="BI17" s="3532"/>
      <c r="BJ17" s="3535"/>
      <c r="BK17" s="3538"/>
      <c r="BL17" s="3541"/>
      <c r="BM17" s="3543"/>
      <c r="BN17" s="3543"/>
      <c r="BO17" s="3543"/>
      <c r="BP17" s="3543"/>
      <c r="BQ17" s="3526"/>
    </row>
    <row r="18" spans="1:69" s="440" customFormat="1" ht="27.75" customHeight="1" x14ac:dyDescent="0.2">
      <c r="A18" s="3499"/>
      <c r="B18" s="3499"/>
      <c r="C18" s="3499"/>
      <c r="D18" s="3502"/>
      <c r="E18" s="3502"/>
      <c r="F18" s="3502"/>
      <c r="G18" s="3503"/>
      <c r="H18" s="3503"/>
      <c r="I18" s="3503"/>
      <c r="J18" s="3504"/>
      <c r="K18" s="3505"/>
      <c r="L18" s="3505"/>
      <c r="M18" s="3504"/>
      <c r="N18" s="3508"/>
      <c r="O18" s="3511"/>
      <c r="P18" s="3504"/>
      <c r="Q18" s="3505"/>
      <c r="R18" s="3520"/>
      <c r="S18" s="3521"/>
      <c r="T18" s="3505"/>
      <c r="U18" s="3522" t="s">
        <v>520</v>
      </c>
      <c r="V18" s="3525"/>
      <c r="W18" s="3527">
        <v>425000000</v>
      </c>
      <c r="X18" s="3527">
        <v>422946382.19999999</v>
      </c>
      <c r="Y18" s="3527">
        <v>0</v>
      </c>
      <c r="Z18" s="3529" t="s">
        <v>521</v>
      </c>
      <c r="AA18" s="3529" t="s">
        <v>522</v>
      </c>
      <c r="AB18" s="3519"/>
      <c r="AC18" s="3519"/>
      <c r="AD18" s="3519"/>
      <c r="AE18" s="3519"/>
      <c r="AF18" s="3519"/>
      <c r="AG18" s="3519"/>
      <c r="AH18" s="3519"/>
      <c r="AI18" s="3519"/>
      <c r="AJ18" s="3519"/>
      <c r="AK18" s="3519"/>
      <c r="AL18" s="3519"/>
      <c r="AM18" s="3519"/>
      <c r="AN18" s="3519"/>
      <c r="AO18" s="3519"/>
      <c r="AP18" s="3519"/>
      <c r="AQ18" s="3519"/>
      <c r="AR18" s="3519"/>
      <c r="AS18" s="3519"/>
      <c r="AT18" s="3519"/>
      <c r="AU18" s="3519"/>
      <c r="AV18" s="3519"/>
      <c r="AW18" s="3532"/>
      <c r="AX18" s="3519"/>
      <c r="AY18" s="3532"/>
      <c r="AZ18" s="3519"/>
      <c r="BA18" s="3519"/>
      <c r="BB18" s="3519"/>
      <c r="BC18" s="3519"/>
      <c r="BD18" s="3519"/>
      <c r="BE18" s="3519"/>
      <c r="BF18" s="3519"/>
      <c r="BG18" s="3545"/>
      <c r="BH18" s="3532"/>
      <c r="BI18" s="3532"/>
      <c r="BJ18" s="3535"/>
      <c r="BK18" s="3538"/>
      <c r="BL18" s="3541"/>
      <c r="BM18" s="3543"/>
      <c r="BN18" s="3543"/>
      <c r="BO18" s="3543"/>
      <c r="BP18" s="3543"/>
      <c r="BQ18" s="3526"/>
    </row>
    <row r="19" spans="1:69" s="440" customFormat="1" ht="27.75" customHeight="1" x14ac:dyDescent="0.2">
      <c r="A19" s="3499"/>
      <c r="B19" s="3499"/>
      <c r="C19" s="3499"/>
      <c r="D19" s="3502"/>
      <c r="E19" s="3502"/>
      <c r="F19" s="3502"/>
      <c r="G19" s="3503"/>
      <c r="H19" s="3503"/>
      <c r="I19" s="3503"/>
      <c r="J19" s="3504"/>
      <c r="K19" s="3505"/>
      <c r="L19" s="3505"/>
      <c r="M19" s="3504"/>
      <c r="N19" s="3508"/>
      <c r="O19" s="3511"/>
      <c r="P19" s="3504"/>
      <c r="Q19" s="3505"/>
      <c r="R19" s="3520"/>
      <c r="S19" s="3521"/>
      <c r="T19" s="3505"/>
      <c r="U19" s="3523"/>
      <c r="V19" s="3525"/>
      <c r="W19" s="3528"/>
      <c r="X19" s="3528"/>
      <c r="Y19" s="3528"/>
      <c r="Z19" s="3530"/>
      <c r="AA19" s="3530"/>
      <c r="AB19" s="3519"/>
      <c r="AC19" s="3519"/>
      <c r="AD19" s="3519"/>
      <c r="AE19" s="3519"/>
      <c r="AF19" s="3519"/>
      <c r="AG19" s="3519"/>
      <c r="AH19" s="3519"/>
      <c r="AI19" s="3519"/>
      <c r="AJ19" s="3519"/>
      <c r="AK19" s="3519"/>
      <c r="AL19" s="3519"/>
      <c r="AM19" s="3519"/>
      <c r="AN19" s="3519"/>
      <c r="AO19" s="3519"/>
      <c r="AP19" s="3519"/>
      <c r="AQ19" s="3519"/>
      <c r="AR19" s="3519"/>
      <c r="AS19" s="3519"/>
      <c r="AT19" s="3519"/>
      <c r="AU19" s="3519"/>
      <c r="AV19" s="3519"/>
      <c r="AW19" s="3532"/>
      <c r="AX19" s="3519"/>
      <c r="AY19" s="3532"/>
      <c r="AZ19" s="3519"/>
      <c r="BA19" s="3519"/>
      <c r="BB19" s="3519"/>
      <c r="BC19" s="3519"/>
      <c r="BD19" s="3519"/>
      <c r="BE19" s="3519"/>
      <c r="BF19" s="3519"/>
      <c r="BG19" s="3545"/>
      <c r="BH19" s="3532"/>
      <c r="BI19" s="3532"/>
      <c r="BJ19" s="3535"/>
      <c r="BK19" s="3538"/>
      <c r="BL19" s="3541"/>
      <c r="BM19" s="3543"/>
      <c r="BN19" s="3543"/>
      <c r="BO19" s="3543"/>
      <c r="BP19" s="3543"/>
      <c r="BQ19" s="3526"/>
    </row>
    <row r="20" spans="1:69" s="440" customFormat="1" ht="55.5" customHeight="1" x14ac:dyDescent="0.2">
      <c r="A20" s="3499"/>
      <c r="B20" s="3499"/>
      <c r="C20" s="3499"/>
      <c r="D20" s="3502"/>
      <c r="E20" s="3502"/>
      <c r="F20" s="3502"/>
      <c r="G20" s="3503"/>
      <c r="H20" s="3503"/>
      <c r="I20" s="3503"/>
      <c r="J20" s="3504"/>
      <c r="K20" s="3505"/>
      <c r="L20" s="3505"/>
      <c r="M20" s="3504"/>
      <c r="N20" s="3508"/>
      <c r="O20" s="3512"/>
      <c r="P20" s="3504"/>
      <c r="Q20" s="3505"/>
      <c r="R20" s="3520"/>
      <c r="S20" s="3521"/>
      <c r="T20" s="3505"/>
      <c r="U20" s="3524"/>
      <c r="V20" s="3525"/>
      <c r="W20" s="947">
        <v>11779994</v>
      </c>
      <c r="X20" s="947">
        <v>0</v>
      </c>
      <c r="Y20" s="947">
        <v>0</v>
      </c>
      <c r="Z20" s="948">
        <v>90</v>
      </c>
      <c r="AA20" s="895" t="s">
        <v>523</v>
      </c>
      <c r="AB20" s="3519"/>
      <c r="AC20" s="3519"/>
      <c r="AD20" s="3519">
        <v>283947</v>
      </c>
      <c r="AE20" s="3519">
        <v>283947</v>
      </c>
      <c r="AF20" s="3519">
        <v>135754</v>
      </c>
      <c r="AG20" s="3519">
        <v>135754</v>
      </c>
      <c r="AH20" s="3519">
        <v>44640</v>
      </c>
      <c r="AI20" s="3519">
        <v>44640</v>
      </c>
      <c r="AJ20" s="3519">
        <v>308178</v>
      </c>
      <c r="AK20" s="3519">
        <v>308178</v>
      </c>
      <c r="AL20" s="3519">
        <v>89696</v>
      </c>
      <c r="AM20" s="3519">
        <v>89696</v>
      </c>
      <c r="AN20" s="3519">
        <v>2145</v>
      </c>
      <c r="AO20" s="3519">
        <v>2145</v>
      </c>
      <c r="AP20" s="3519">
        <v>12718</v>
      </c>
      <c r="AQ20" s="3519">
        <v>12718</v>
      </c>
      <c r="AR20" s="3519">
        <v>26</v>
      </c>
      <c r="AS20" s="3519">
        <v>26</v>
      </c>
      <c r="AT20" s="3519">
        <v>37</v>
      </c>
      <c r="AU20" s="3519">
        <v>37</v>
      </c>
      <c r="AV20" s="3519"/>
      <c r="AW20" s="3533"/>
      <c r="AX20" s="3519"/>
      <c r="AY20" s="3533"/>
      <c r="AZ20" s="3519">
        <v>54612</v>
      </c>
      <c r="BA20" s="3519">
        <v>54612</v>
      </c>
      <c r="BB20" s="3519">
        <v>21944</v>
      </c>
      <c r="BC20" s="3519">
        <v>21944</v>
      </c>
      <c r="BD20" s="3519">
        <v>1010</v>
      </c>
      <c r="BE20" s="3519">
        <v>1010</v>
      </c>
      <c r="BF20" s="3519">
        <v>578268</v>
      </c>
      <c r="BG20" s="3546"/>
      <c r="BH20" s="3533"/>
      <c r="BI20" s="3533"/>
      <c r="BJ20" s="3536"/>
      <c r="BK20" s="3539"/>
      <c r="BL20" s="3541"/>
      <c r="BM20" s="3543"/>
      <c r="BN20" s="3543"/>
      <c r="BO20" s="3543"/>
      <c r="BP20" s="3543"/>
      <c r="BQ20" s="3526"/>
    </row>
    <row r="21" spans="1:69" s="440" customFormat="1" ht="84" customHeight="1" x14ac:dyDescent="0.2">
      <c r="A21" s="3499"/>
      <c r="B21" s="3499"/>
      <c r="C21" s="3499"/>
      <c r="D21" s="3502"/>
      <c r="E21" s="3502"/>
      <c r="F21" s="3502"/>
      <c r="G21" s="3506"/>
      <c r="H21" s="3506"/>
      <c r="I21" s="3506"/>
      <c r="J21" s="3504">
        <v>9</v>
      </c>
      <c r="K21" s="3505" t="s">
        <v>505</v>
      </c>
      <c r="L21" s="3505" t="s">
        <v>506</v>
      </c>
      <c r="M21" s="3504">
        <v>5</v>
      </c>
      <c r="N21" s="3508"/>
      <c r="O21" s="3504" t="s">
        <v>524</v>
      </c>
      <c r="P21" s="3504" t="s">
        <v>525</v>
      </c>
      <c r="Q21" s="3505" t="s">
        <v>526</v>
      </c>
      <c r="R21" s="3520">
        <f>SUM(W21+W22)/S21</f>
        <v>1</v>
      </c>
      <c r="S21" s="3521">
        <f>SUM(W21+W22)</f>
        <v>1120246431</v>
      </c>
      <c r="T21" s="3505" t="s">
        <v>527</v>
      </c>
      <c r="U21" s="949" t="s">
        <v>528</v>
      </c>
      <c r="V21" s="3525" t="s">
        <v>529</v>
      </c>
      <c r="W21" s="947">
        <v>1105246431</v>
      </c>
      <c r="X21" s="947">
        <v>1091680073</v>
      </c>
      <c r="Y21" s="947">
        <v>0</v>
      </c>
      <c r="Z21" s="948">
        <v>27</v>
      </c>
      <c r="AA21" s="895" t="s">
        <v>519</v>
      </c>
      <c r="AB21" s="3519">
        <v>294321</v>
      </c>
      <c r="AC21" s="3519">
        <v>294321</v>
      </c>
      <c r="AD21" s="3519">
        <v>283947</v>
      </c>
      <c r="AE21" s="3519">
        <v>283947</v>
      </c>
      <c r="AF21" s="3519">
        <v>135754</v>
      </c>
      <c r="AG21" s="3519">
        <v>135754</v>
      </c>
      <c r="AH21" s="3519">
        <v>44640</v>
      </c>
      <c r="AI21" s="3519">
        <v>44640</v>
      </c>
      <c r="AJ21" s="3519">
        <v>308178</v>
      </c>
      <c r="AK21" s="3519">
        <v>308178</v>
      </c>
      <c r="AL21" s="3519">
        <v>89696</v>
      </c>
      <c r="AM21" s="3519">
        <v>89696</v>
      </c>
      <c r="AN21" s="3519">
        <v>2145</v>
      </c>
      <c r="AO21" s="3519">
        <v>2145</v>
      </c>
      <c r="AP21" s="3519">
        <v>12718</v>
      </c>
      <c r="AQ21" s="3519">
        <v>12718</v>
      </c>
      <c r="AR21" s="3519">
        <v>26</v>
      </c>
      <c r="AS21" s="3519">
        <v>26</v>
      </c>
      <c r="AT21" s="3519">
        <v>37</v>
      </c>
      <c r="AU21" s="3519">
        <v>37</v>
      </c>
      <c r="AV21" s="3519">
        <v>0</v>
      </c>
      <c r="AW21" s="3531">
        <v>0</v>
      </c>
      <c r="AX21" s="3519">
        <v>0</v>
      </c>
      <c r="AY21" s="3531">
        <v>0</v>
      </c>
      <c r="AZ21" s="3519">
        <v>54612</v>
      </c>
      <c r="BA21" s="3519">
        <v>54612</v>
      </c>
      <c r="BB21" s="3519">
        <v>21944</v>
      </c>
      <c r="BC21" s="3519">
        <v>21944</v>
      </c>
      <c r="BD21" s="3519">
        <v>1010</v>
      </c>
      <c r="BE21" s="3519">
        <v>1010</v>
      </c>
      <c r="BF21" s="3519">
        <v>578268</v>
      </c>
      <c r="BG21" s="3531">
        <v>1</v>
      </c>
      <c r="BH21" s="3531">
        <f>X21+X22</f>
        <v>1091680073</v>
      </c>
      <c r="BI21" s="3531">
        <f>Y21+Y22</f>
        <v>0</v>
      </c>
      <c r="BJ21" s="3534">
        <f>BI21/BH21</f>
        <v>0</v>
      </c>
      <c r="BK21" s="3537" t="s">
        <v>530</v>
      </c>
      <c r="BL21" s="3541"/>
      <c r="BM21" s="3543">
        <v>43466</v>
      </c>
      <c r="BN21" s="3543">
        <v>43466</v>
      </c>
      <c r="BO21" s="3543">
        <v>43830</v>
      </c>
      <c r="BP21" s="3548">
        <v>43830</v>
      </c>
      <c r="BQ21" s="3526"/>
    </row>
    <row r="22" spans="1:69" s="440" customFormat="1" ht="55.5" customHeight="1" x14ac:dyDescent="0.2">
      <c r="A22" s="3499"/>
      <c r="B22" s="3499"/>
      <c r="C22" s="3499"/>
      <c r="D22" s="3502"/>
      <c r="E22" s="3502"/>
      <c r="F22" s="3502"/>
      <c r="G22" s="3506"/>
      <c r="H22" s="3506"/>
      <c r="I22" s="3506"/>
      <c r="J22" s="3504"/>
      <c r="K22" s="3505"/>
      <c r="L22" s="3505"/>
      <c r="M22" s="3504"/>
      <c r="N22" s="3509"/>
      <c r="O22" s="3504"/>
      <c r="P22" s="3504"/>
      <c r="Q22" s="3505"/>
      <c r="R22" s="3520"/>
      <c r="S22" s="3521"/>
      <c r="T22" s="3505"/>
      <c r="U22" s="949" t="s">
        <v>531</v>
      </c>
      <c r="V22" s="3525"/>
      <c r="W22" s="681">
        <f>0+15000000</f>
        <v>15000000</v>
      </c>
      <c r="X22" s="681">
        <v>0</v>
      </c>
      <c r="Y22" s="681">
        <v>0</v>
      </c>
      <c r="Z22" s="948">
        <v>88</v>
      </c>
      <c r="AA22" s="895" t="s">
        <v>532</v>
      </c>
      <c r="AB22" s="3519"/>
      <c r="AC22" s="3519"/>
      <c r="AD22" s="3519">
        <v>283947</v>
      </c>
      <c r="AE22" s="3519">
        <v>283947</v>
      </c>
      <c r="AF22" s="3519">
        <v>135754</v>
      </c>
      <c r="AG22" s="3519">
        <v>135754</v>
      </c>
      <c r="AH22" s="3519">
        <v>44640</v>
      </c>
      <c r="AI22" s="3519">
        <v>44640</v>
      </c>
      <c r="AJ22" s="3519">
        <v>308178</v>
      </c>
      <c r="AK22" s="3519">
        <v>308178</v>
      </c>
      <c r="AL22" s="3519">
        <v>89696</v>
      </c>
      <c r="AM22" s="3519">
        <v>89696</v>
      </c>
      <c r="AN22" s="3519">
        <v>2145</v>
      </c>
      <c r="AO22" s="3519">
        <v>2145</v>
      </c>
      <c r="AP22" s="3519">
        <v>12718</v>
      </c>
      <c r="AQ22" s="3519">
        <v>12718</v>
      </c>
      <c r="AR22" s="3519">
        <v>26</v>
      </c>
      <c r="AS22" s="3519">
        <v>26</v>
      </c>
      <c r="AT22" s="3519">
        <v>37</v>
      </c>
      <c r="AU22" s="3519">
        <v>37</v>
      </c>
      <c r="AV22" s="3519"/>
      <c r="AW22" s="3533"/>
      <c r="AX22" s="3519"/>
      <c r="AY22" s="3533"/>
      <c r="AZ22" s="3519">
        <v>54612</v>
      </c>
      <c r="BA22" s="3519">
        <v>54612</v>
      </c>
      <c r="BB22" s="3519">
        <v>21944</v>
      </c>
      <c r="BC22" s="3519">
        <v>21944</v>
      </c>
      <c r="BD22" s="3519">
        <v>1010</v>
      </c>
      <c r="BE22" s="3519">
        <v>1010</v>
      </c>
      <c r="BF22" s="3519">
        <v>578268</v>
      </c>
      <c r="BG22" s="3533"/>
      <c r="BH22" s="3533"/>
      <c r="BI22" s="3533"/>
      <c r="BJ22" s="3536"/>
      <c r="BK22" s="3539"/>
      <c r="BL22" s="3541"/>
      <c r="BM22" s="3543"/>
      <c r="BN22" s="3543"/>
      <c r="BO22" s="3543"/>
      <c r="BP22" s="3549"/>
      <c r="BQ22" s="3526"/>
    </row>
    <row r="23" spans="1:69" s="440" customFormat="1" ht="45" customHeight="1" x14ac:dyDescent="0.2">
      <c r="A23" s="3499"/>
      <c r="B23" s="3499"/>
      <c r="C23" s="3499"/>
      <c r="D23" s="3502"/>
      <c r="E23" s="3502"/>
      <c r="F23" s="3502"/>
      <c r="G23" s="3505"/>
      <c r="H23" s="3505"/>
      <c r="I23" s="3505"/>
      <c r="J23" s="3504">
        <v>10</v>
      </c>
      <c r="K23" s="3505" t="s">
        <v>533</v>
      </c>
      <c r="L23" s="3505" t="s">
        <v>534</v>
      </c>
      <c r="M23" s="3504">
        <v>5</v>
      </c>
      <c r="N23" s="3507">
        <v>5</v>
      </c>
      <c r="O23" s="3504" t="s">
        <v>535</v>
      </c>
      <c r="P23" s="3504" t="s">
        <v>536</v>
      </c>
      <c r="Q23" s="3505" t="s">
        <v>537</v>
      </c>
      <c r="R23" s="3547">
        <f>W23/S23</f>
        <v>1</v>
      </c>
      <c r="S23" s="3521">
        <f>+W23</f>
        <v>80000000</v>
      </c>
      <c r="T23" s="3505" t="s">
        <v>538</v>
      </c>
      <c r="U23" s="950" t="s">
        <v>539</v>
      </c>
      <c r="V23" s="3505" t="s">
        <v>540</v>
      </c>
      <c r="W23" s="3521">
        <v>80000000</v>
      </c>
      <c r="X23" s="3521">
        <v>80000000</v>
      </c>
      <c r="Y23" s="3513">
        <v>0</v>
      </c>
      <c r="Z23" s="3506">
        <v>27</v>
      </c>
      <c r="AA23" s="3510" t="s">
        <v>519</v>
      </c>
      <c r="AB23" s="3519">
        <v>294321</v>
      </c>
      <c r="AC23" s="3519">
        <v>294321</v>
      </c>
      <c r="AD23" s="3519">
        <v>283947</v>
      </c>
      <c r="AE23" s="3519">
        <v>283947</v>
      </c>
      <c r="AF23" s="3519">
        <v>135754</v>
      </c>
      <c r="AG23" s="3519">
        <v>135754</v>
      </c>
      <c r="AH23" s="3519">
        <v>44640</v>
      </c>
      <c r="AI23" s="3519">
        <v>44640</v>
      </c>
      <c r="AJ23" s="3519">
        <v>308178</v>
      </c>
      <c r="AK23" s="3519">
        <v>308178</v>
      </c>
      <c r="AL23" s="3519">
        <v>89696</v>
      </c>
      <c r="AM23" s="3519">
        <v>89696</v>
      </c>
      <c r="AN23" s="3519">
        <v>2145</v>
      </c>
      <c r="AO23" s="3519">
        <v>2145</v>
      </c>
      <c r="AP23" s="3519">
        <v>12718</v>
      </c>
      <c r="AQ23" s="3519">
        <v>12718</v>
      </c>
      <c r="AR23" s="3519">
        <v>26</v>
      </c>
      <c r="AS23" s="3519">
        <v>26</v>
      </c>
      <c r="AT23" s="3519">
        <v>37</v>
      </c>
      <c r="AU23" s="3519">
        <v>37</v>
      </c>
      <c r="AV23" s="3519">
        <v>0</v>
      </c>
      <c r="AW23" s="3531">
        <v>0</v>
      </c>
      <c r="AX23" s="3519">
        <v>0</v>
      </c>
      <c r="AY23" s="3531">
        <v>0</v>
      </c>
      <c r="AZ23" s="3519">
        <v>54612</v>
      </c>
      <c r="BA23" s="3519">
        <v>54612</v>
      </c>
      <c r="BB23" s="3519">
        <v>21944</v>
      </c>
      <c r="BC23" s="3519">
        <v>21944</v>
      </c>
      <c r="BD23" s="3519">
        <v>1010</v>
      </c>
      <c r="BE23" s="3519">
        <v>1010</v>
      </c>
      <c r="BF23" s="3519">
        <v>578268</v>
      </c>
      <c r="BG23" s="3531">
        <v>1</v>
      </c>
      <c r="BH23" s="3531">
        <f>X23</f>
        <v>80000000</v>
      </c>
      <c r="BI23" s="3537">
        <f>Y23</f>
        <v>0</v>
      </c>
      <c r="BJ23" s="3553">
        <f>BI23/BH23</f>
        <v>0</v>
      </c>
      <c r="BK23" s="3531" t="s">
        <v>541</v>
      </c>
      <c r="BL23" s="3541"/>
      <c r="BM23" s="3543">
        <v>43466</v>
      </c>
      <c r="BN23" s="3543">
        <v>43466</v>
      </c>
      <c r="BO23" s="3543">
        <v>43830</v>
      </c>
      <c r="BP23" s="3548">
        <v>43830</v>
      </c>
      <c r="BQ23" s="3526"/>
    </row>
    <row r="24" spans="1:69" s="440" customFormat="1" ht="45" customHeight="1" x14ac:dyDescent="0.2">
      <c r="A24" s="3499"/>
      <c r="B24" s="3499"/>
      <c r="C24" s="3499"/>
      <c r="D24" s="3502"/>
      <c r="E24" s="3502"/>
      <c r="F24" s="3502"/>
      <c r="G24" s="3505"/>
      <c r="H24" s="3505"/>
      <c r="I24" s="3505"/>
      <c r="J24" s="3504"/>
      <c r="K24" s="3505"/>
      <c r="L24" s="3505"/>
      <c r="M24" s="3504"/>
      <c r="N24" s="3509"/>
      <c r="O24" s="3504"/>
      <c r="P24" s="3504"/>
      <c r="Q24" s="3505"/>
      <c r="R24" s="3504"/>
      <c r="S24" s="3521"/>
      <c r="T24" s="3505"/>
      <c r="U24" s="950" t="s">
        <v>542</v>
      </c>
      <c r="V24" s="3505"/>
      <c r="W24" s="3521"/>
      <c r="X24" s="3521"/>
      <c r="Y24" s="3515"/>
      <c r="Z24" s="3506"/>
      <c r="AA24" s="3512"/>
      <c r="AB24" s="3519"/>
      <c r="AC24" s="3519"/>
      <c r="AD24" s="3519"/>
      <c r="AE24" s="3519">
        <v>283947</v>
      </c>
      <c r="AF24" s="3519"/>
      <c r="AG24" s="3519">
        <v>135754</v>
      </c>
      <c r="AH24" s="3519"/>
      <c r="AI24" s="3519">
        <v>44640</v>
      </c>
      <c r="AJ24" s="3519"/>
      <c r="AK24" s="3519">
        <v>308178</v>
      </c>
      <c r="AL24" s="3519"/>
      <c r="AM24" s="3519">
        <v>89696</v>
      </c>
      <c r="AN24" s="3519"/>
      <c r="AO24" s="3519">
        <v>2145</v>
      </c>
      <c r="AP24" s="3519"/>
      <c r="AQ24" s="3519"/>
      <c r="AR24" s="3519"/>
      <c r="AS24" s="3519">
        <v>26</v>
      </c>
      <c r="AT24" s="3519"/>
      <c r="AU24" s="3519">
        <v>37</v>
      </c>
      <c r="AV24" s="3519"/>
      <c r="AW24" s="3533"/>
      <c r="AX24" s="3519"/>
      <c r="AY24" s="3533"/>
      <c r="AZ24" s="3519"/>
      <c r="BA24" s="3519">
        <v>54612</v>
      </c>
      <c r="BB24" s="3519"/>
      <c r="BC24" s="3519">
        <v>21944</v>
      </c>
      <c r="BD24" s="3519"/>
      <c r="BE24" s="3519">
        <v>1010</v>
      </c>
      <c r="BF24" s="3519"/>
      <c r="BG24" s="3533"/>
      <c r="BH24" s="3533"/>
      <c r="BI24" s="3552"/>
      <c r="BJ24" s="3554"/>
      <c r="BK24" s="3533"/>
      <c r="BL24" s="3541"/>
      <c r="BM24" s="3543"/>
      <c r="BN24" s="3543"/>
      <c r="BO24" s="3543"/>
      <c r="BP24" s="3549"/>
      <c r="BQ24" s="3526"/>
    </row>
    <row r="25" spans="1:69" s="440" customFormat="1" ht="296.25" customHeight="1" x14ac:dyDescent="0.2">
      <c r="A25" s="3499"/>
      <c r="B25" s="3499"/>
      <c r="C25" s="3499"/>
      <c r="D25" s="3502"/>
      <c r="E25" s="3502"/>
      <c r="F25" s="3502"/>
      <c r="G25" s="3504"/>
      <c r="H25" s="3504"/>
      <c r="I25" s="3504"/>
      <c r="J25" s="895">
        <v>11</v>
      </c>
      <c r="K25" s="950" t="s">
        <v>543</v>
      </c>
      <c r="L25" s="950" t="s">
        <v>544</v>
      </c>
      <c r="M25" s="895">
        <v>1</v>
      </c>
      <c r="N25" s="891">
        <v>0</v>
      </c>
      <c r="O25" s="895" t="s">
        <v>545</v>
      </c>
      <c r="P25" s="895" t="s">
        <v>546</v>
      </c>
      <c r="Q25" s="950" t="s">
        <v>547</v>
      </c>
      <c r="R25" s="951">
        <f>+W25/S25</f>
        <v>1</v>
      </c>
      <c r="S25" s="947">
        <f>SUM(W25)</f>
        <v>230000000</v>
      </c>
      <c r="T25" s="950" t="s">
        <v>548</v>
      </c>
      <c r="U25" s="950" t="s">
        <v>549</v>
      </c>
      <c r="V25" s="950" t="s">
        <v>550</v>
      </c>
      <c r="W25" s="952">
        <v>230000000</v>
      </c>
      <c r="X25" s="952">
        <v>230000000</v>
      </c>
      <c r="Y25" s="952">
        <v>0</v>
      </c>
      <c r="Z25" s="948">
        <v>27</v>
      </c>
      <c r="AA25" s="895" t="s">
        <v>519</v>
      </c>
      <c r="AB25" s="953">
        <v>294321</v>
      </c>
      <c r="AC25" s="953">
        <v>294321</v>
      </c>
      <c r="AD25" s="953">
        <v>283947</v>
      </c>
      <c r="AE25" s="953">
        <v>283947</v>
      </c>
      <c r="AF25" s="953">
        <v>135754</v>
      </c>
      <c r="AG25" s="953">
        <v>135754</v>
      </c>
      <c r="AH25" s="953">
        <v>44640</v>
      </c>
      <c r="AI25" s="953">
        <v>44640</v>
      </c>
      <c r="AJ25" s="953">
        <v>308178</v>
      </c>
      <c r="AK25" s="953">
        <v>308178</v>
      </c>
      <c r="AL25" s="953">
        <v>89696</v>
      </c>
      <c r="AM25" s="953">
        <v>89696</v>
      </c>
      <c r="AN25" s="953">
        <v>2145</v>
      </c>
      <c r="AO25" s="953">
        <v>2145</v>
      </c>
      <c r="AP25" s="953">
        <v>12718</v>
      </c>
      <c r="AQ25" s="953">
        <v>12718</v>
      </c>
      <c r="AR25" s="953">
        <v>26</v>
      </c>
      <c r="AS25" s="953">
        <v>26</v>
      </c>
      <c r="AT25" s="953">
        <v>37</v>
      </c>
      <c r="AU25" s="953">
        <v>37</v>
      </c>
      <c r="AV25" s="953">
        <v>0</v>
      </c>
      <c r="AW25" s="953">
        <v>0</v>
      </c>
      <c r="AX25" s="953">
        <v>0</v>
      </c>
      <c r="AY25" s="953">
        <v>0</v>
      </c>
      <c r="AZ25" s="953">
        <v>54612</v>
      </c>
      <c r="BA25" s="953">
        <v>54612</v>
      </c>
      <c r="BB25" s="953">
        <v>21944</v>
      </c>
      <c r="BC25" s="953">
        <v>21944</v>
      </c>
      <c r="BD25" s="953">
        <v>1010</v>
      </c>
      <c r="BE25" s="953">
        <v>1010</v>
      </c>
      <c r="BF25" s="953">
        <v>578268</v>
      </c>
      <c r="BG25" s="953">
        <v>1</v>
      </c>
      <c r="BH25" s="953">
        <f>X25</f>
        <v>230000000</v>
      </c>
      <c r="BI25" s="953">
        <f>Y25</f>
        <v>0</v>
      </c>
      <c r="BJ25" s="954">
        <f>BI25/BH25</f>
        <v>0</v>
      </c>
      <c r="BK25" s="953" t="s">
        <v>551</v>
      </c>
      <c r="BL25" s="3541"/>
      <c r="BM25" s="955">
        <v>43466</v>
      </c>
      <c r="BN25" s="955">
        <v>43466</v>
      </c>
      <c r="BO25" s="955">
        <v>43830</v>
      </c>
      <c r="BP25" s="955">
        <v>43830</v>
      </c>
      <c r="BQ25" s="3526"/>
    </row>
    <row r="26" spans="1:69" s="440" customFormat="1" ht="51.75" customHeight="1" x14ac:dyDescent="0.2">
      <c r="A26" s="3499"/>
      <c r="B26" s="3499"/>
      <c r="C26" s="3499"/>
      <c r="D26" s="3502"/>
      <c r="E26" s="3502"/>
      <c r="F26" s="3502"/>
      <c r="G26" s="3504"/>
      <c r="H26" s="3504"/>
      <c r="I26" s="3504"/>
      <c r="J26" s="3504">
        <v>12</v>
      </c>
      <c r="K26" s="3505" t="s">
        <v>552</v>
      </c>
      <c r="L26" s="3505" t="s">
        <v>553</v>
      </c>
      <c r="M26" s="3504">
        <v>3</v>
      </c>
      <c r="N26" s="3507">
        <v>0</v>
      </c>
      <c r="O26" s="3504" t="s">
        <v>554</v>
      </c>
      <c r="P26" s="3504" t="s">
        <v>555</v>
      </c>
      <c r="Q26" s="3505" t="s">
        <v>556</v>
      </c>
      <c r="R26" s="3550">
        <f>(+W26+W27)/S26</f>
        <v>1</v>
      </c>
      <c r="S26" s="3513">
        <f>SUM(W26:W27)</f>
        <v>1190000000</v>
      </c>
      <c r="T26" s="3505" t="s">
        <v>557</v>
      </c>
      <c r="U26" s="950" t="s">
        <v>558</v>
      </c>
      <c r="V26" s="950" t="s">
        <v>559</v>
      </c>
      <c r="W26" s="952">
        <v>440000000</v>
      </c>
      <c r="X26" s="952">
        <v>440000000</v>
      </c>
      <c r="Y26" s="952">
        <v>0</v>
      </c>
      <c r="Z26" s="948">
        <v>27</v>
      </c>
      <c r="AA26" s="895" t="s">
        <v>519</v>
      </c>
      <c r="AB26" s="3519">
        <v>294321</v>
      </c>
      <c r="AC26" s="3519">
        <v>294321</v>
      </c>
      <c r="AD26" s="3519">
        <v>283947</v>
      </c>
      <c r="AE26" s="3519">
        <v>283947</v>
      </c>
      <c r="AF26" s="3519">
        <v>135754</v>
      </c>
      <c r="AG26" s="3519">
        <v>135754</v>
      </c>
      <c r="AH26" s="3519">
        <v>44640</v>
      </c>
      <c r="AI26" s="3519">
        <v>44640</v>
      </c>
      <c r="AJ26" s="3519">
        <v>308178</v>
      </c>
      <c r="AK26" s="3519">
        <v>308178</v>
      </c>
      <c r="AL26" s="3519">
        <v>89696</v>
      </c>
      <c r="AM26" s="3519">
        <v>89696</v>
      </c>
      <c r="AN26" s="3519">
        <v>2145</v>
      </c>
      <c r="AO26" s="3519">
        <v>2145</v>
      </c>
      <c r="AP26" s="3519">
        <v>12718</v>
      </c>
      <c r="AQ26" s="3519">
        <v>12718</v>
      </c>
      <c r="AR26" s="3519">
        <v>26</v>
      </c>
      <c r="AS26" s="3519">
        <v>26</v>
      </c>
      <c r="AT26" s="3519">
        <v>37</v>
      </c>
      <c r="AU26" s="3519">
        <v>37</v>
      </c>
      <c r="AV26" s="3519">
        <v>0</v>
      </c>
      <c r="AW26" s="3531">
        <v>0</v>
      </c>
      <c r="AX26" s="3519">
        <v>0</v>
      </c>
      <c r="AY26" s="3531">
        <v>0</v>
      </c>
      <c r="AZ26" s="3519">
        <v>54612</v>
      </c>
      <c r="BA26" s="3519">
        <v>54612</v>
      </c>
      <c r="BB26" s="3519">
        <v>21944</v>
      </c>
      <c r="BC26" s="3519">
        <v>21944</v>
      </c>
      <c r="BD26" s="3519">
        <v>1010</v>
      </c>
      <c r="BE26" s="3519">
        <v>1010</v>
      </c>
      <c r="BF26" s="3519">
        <v>578268</v>
      </c>
      <c r="BG26" s="3531">
        <v>1</v>
      </c>
      <c r="BH26" s="3531">
        <f>X26+X27</f>
        <v>1190000000</v>
      </c>
      <c r="BI26" s="3531">
        <f>Y26+Y27</f>
        <v>0</v>
      </c>
      <c r="BJ26" s="3534">
        <f>BI26/BH26</f>
        <v>0</v>
      </c>
      <c r="BK26" s="3531" t="s">
        <v>560</v>
      </c>
      <c r="BL26" s="3541"/>
      <c r="BM26" s="3543">
        <v>43466</v>
      </c>
      <c r="BN26" s="3543">
        <v>43466</v>
      </c>
      <c r="BO26" s="3543">
        <v>43830</v>
      </c>
      <c r="BP26" s="3548">
        <v>43830</v>
      </c>
      <c r="BQ26" s="3526"/>
    </row>
    <row r="27" spans="1:69" s="440" customFormat="1" ht="57.75" customHeight="1" x14ac:dyDescent="0.2">
      <c r="A27" s="3499"/>
      <c r="B27" s="3499"/>
      <c r="C27" s="3499"/>
      <c r="D27" s="3502"/>
      <c r="E27" s="3502"/>
      <c r="F27" s="3502"/>
      <c r="G27" s="3504"/>
      <c r="H27" s="3504"/>
      <c r="I27" s="3504"/>
      <c r="J27" s="3504"/>
      <c r="K27" s="3505"/>
      <c r="L27" s="3505"/>
      <c r="M27" s="3504"/>
      <c r="N27" s="3509"/>
      <c r="O27" s="3504"/>
      <c r="P27" s="3504"/>
      <c r="Q27" s="3505"/>
      <c r="R27" s="3551"/>
      <c r="S27" s="3515"/>
      <c r="T27" s="3505"/>
      <c r="U27" s="950" t="s">
        <v>561</v>
      </c>
      <c r="V27" s="950" t="s">
        <v>562</v>
      </c>
      <c r="W27" s="956">
        <v>750000000</v>
      </c>
      <c r="X27" s="956">
        <v>750000000</v>
      </c>
      <c r="Y27" s="956">
        <v>0</v>
      </c>
      <c r="Z27" s="948">
        <v>27</v>
      </c>
      <c r="AA27" s="895" t="s">
        <v>519</v>
      </c>
      <c r="AB27" s="3519"/>
      <c r="AC27" s="3519"/>
      <c r="AD27" s="3519"/>
      <c r="AE27" s="3519">
        <v>283947</v>
      </c>
      <c r="AF27" s="3519"/>
      <c r="AG27" s="3519">
        <v>135754</v>
      </c>
      <c r="AH27" s="3519"/>
      <c r="AI27" s="3519"/>
      <c r="AJ27" s="3519"/>
      <c r="AK27" s="3519">
        <v>308178</v>
      </c>
      <c r="AL27" s="3519"/>
      <c r="AM27" s="3519"/>
      <c r="AN27" s="3519"/>
      <c r="AO27" s="3519">
        <v>2145</v>
      </c>
      <c r="AP27" s="3519"/>
      <c r="AQ27" s="3519"/>
      <c r="AR27" s="3519"/>
      <c r="AS27" s="3519">
        <v>26</v>
      </c>
      <c r="AT27" s="3519"/>
      <c r="AU27" s="3519">
        <v>37</v>
      </c>
      <c r="AV27" s="3519"/>
      <c r="AW27" s="3533"/>
      <c r="AX27" s="3519"/>
      <c r="AY27" s="3533"/>
      <c r="AZ27" s="3519"/>
      <c r="BA27" s="3519">
        <v>54612</v>
      </c>
      <c r="BB27" s="3519"/>
      <c r="BC27" s="3519">
        <v>21944</v>
      </c>
      <c r="BD27" s="3519"/>
      <c r="BE27" s="3519"/>
      <c r="BF27" s="3519"/>
      <c r="BG27" s="3533"/>
      <c r="BH27" s="3533"/>
      <c r="BI27" s="3533"/>
      <c r="BJ27" s="3536"/>
      <c r="BK27" s="3533"/>
      <c r="BL27" s="3542"/>
      <c r="BM27" s="3543"/>
      <c r="BN27" s="3543"/>
      <c r="BO27" s="3543"/>
      <c r="BP27" s="3549"/>
      <c r="BQ27" s="3526"/>
    </row>
    <row r="28" spans="1:69" ht="27.75" customHeight="1" x14ac:dyDescent="0.2">
      <c r="A28" s="957" t="s">
        <v>563</v>
      </c>
      <c r="B28" s="958" t="s">
        <v>564</v>
      </c>
      <c r="C28" s="958"/>
      <c r="D28" s="958"/>
      <c r="E28" s="958"/>
      <c r="F28" s="959"/>
      <c r="G28" s="960"/>
      <c r="H28" s="961"/>
      <c r="I28" s="961"/>
      <c r="J28" s="635"/>
      <c r="K28" s="635"/>
      <c r="L28" s="635"/>
      <c r="M28" s="641"/>
      <c r="N28" s="641"/>
      <c r="O28" s="641"/>
      <c r="P28" s="641"/>
      <c r="Q28" s="635"/>
      <c r="R28" s="635"/>
      <c r="S28" s="962"/>
      <c r="T28" s="635"/>
      <c r="U28" s="961"/>
      <c r="V28" s="635"/>
      <c r="W28" s="963"/>
      <c r="X28" s="963"/>
      <c r="Y28" s="963"/>
      <c r="Z28" s="964"/>
      <c r="AA28" s="965"/>
      <c r="AB28" s="966"/>
      <c r="AC28" s="966"/>
      <c r="AD28" s="565"/>
      <c r="AE28" s="565"/>
      <c r="AF28" s="565"/>
      <c r="AG28" s="565"/>
      <c r="AH28" s="565"/>
      <c r="AI28" s="565"/>
      <c r="AJ28" s="565"/>
      <c r="AK28" s="565"/>
      <c r="AL28" s="565"/>
      <c r="AM28" s="565"/>
      <c r="AN28" s="565"/>
      <c r="AO28" s="565"/>
      <c r="AP28" s="565"/>
      <c r="AQ28" s="565"/>
      <c r="AR28" s="565"/>
      <c r="AS28" s="565"/>
      <c r="AT28" s="565"/>
      <c r="AU28" s="565"/>
      <c r="AV28" s="565"/>
      <c r="AW28" s="565"/>
      <c r="AX28" s="565"/>
      <c r="AY28" s="565"/>
      <c r="AZ28" s="565"/>
      <c r="BA28" s="960"/>
      <c r="BB28" s="967"/>
      <c r="BC28" s="968"/>
      <c r="BD28" s="968"/>
      <c r="BE28" s="968"/>
      <c r="BF28" s="969"/>
      <c r="BG28" s="969"/>
      <c r="BH28" s="970"/>
      <c r="BI28" s="970"/>
      <c r="BJ28" s="970"/>
      <c r="BK28" s="970"/>
      <c r="BL28" s="970"/>
      <c r="BM28" s="969"/>
      <c r="BN28" s="969"/>
      <c r="BO28" s="969"/>
      <c r="BP28" s="969"/>
      <c r="BQ28" s="971"/>
    </row>
    <row r="29" spans="1:69" ht="27.75" customHeight="1" x14ac:dyDescent="0.2">
      <c r="A29" s="3504" t="s">
        <v>565</v>
      </c>
      <c r="B29" s="3504"/>
      <c r="C29" s="3504"/>
      <c r="D29" s="972" t="s">
        <v>566</v>
      </c>
      <c r="E29" s="3555" t="s">
        <v>567</v>
      </c>
      <c r="F29" s="3555"/>
      <c r="G29" s="3555"/>
      <c r="H29" s="3555"/>
      <c r="I29" s="3555"/>
      <c r="J29" s="3555"/>
      <c r="K29" s="3555"/>
      <c r="L29" s="3555"/>
      <c r="M29" s="655"/>
      <c r="N29" s="655"/>
      <c r="O29" s="655"/>
      <c r="P29" s="655"/>
      <c r="Q29" s="649"/>
      <c r="R29" s="649"/>
      <c r="S29" s="973"/>
      <c r="T29" s="649"/>
      <c r="U29" s="649"/>
      <c r="V29" s="649"/>
      <c r="W29" s="973"/>
      <c r="X29" s="973"/>
      <c r="Y29" s="973"/>
      <c r="Z29" s="974"/>
      <c r="AA29" s="654"/>
      <c r="AB29" s="975"/>
      <c r="AC29" s="975"/>
      <c r="AD29" s="648"/>
      <c r="AE29" s="648"/>
      <c r="AF29" s="648"/>
      <c r="AG29" s="648"/>
      <c r="AH29" s="648"/>
      <c r="AI29" s="648"/>
      <c r="AJ29" s="648"/>
      <c r="AK29" s="648"/>
      <c r="AL29" s="648"/>
      <c r="AM29" s="648"/>
      <c r="AN29" s="648"/>
      <c r="AO29" s="648"/>
      <c r="AP29" s="648"/>
      <c r="AQ29" s="648"/>
      <c r="AR29" s="648"/>
      <c r="AS29" s="648"/>
      <c r="AT29" s="648"/>
      <c r="AU29" s="648"/>
      <c r="AV29" s="648"/>
      <c r="AW29" s="648"/>
      <c r="AX29" s="648"/>
      <c r="AY29" s="648"/>
      <c r="AZ29" s="648"/>
      <c r="BA29" s="648"/>
      <c r="BB29" s="976"/>
      <c r="BC29" s="976"/>
      <c r="BD29" s="976"/>
      <c r="BE29" s="977"/>
      <c r="BF29" s="978"/>
      <c r="BG29" s="978"/>
      <c r="BH29" s="979"/>
      <c r="BI29" s="979"/>
      <c r="BJ29" s="979"/>
      <c r="BK29" s="979"/>
      <c r="BL29" s="979"/>
      <c r="BM29" s="980"/>
      <c r="BN29" s="980"/>
      <c r="BO29" s="980"/>
      <c r="BP29" s="980"/>
      <c r="BQ29" s="981"/>
    </row>
    <row r="30" spans="1:69" ht="27.75" customHeight="1" x14ac:dyDescent="0.2">
      <c r="A30" s="3504"/>
      <c r="B30" s="3504"/>
      <c r="C30" s="3504"/>
      <c r="D30" s="3504" t="s">
        <v>565</v>
      </c>
      <c r="E30" s="3504"/>
      <c r="F30" s="3504"/>
      <c r="G30" s="982" t="s">
        <v>568</v>
      </c>
      <c r="H30" s="665" t="s">
        <v>569</v>
      </c>
      <c r="I30" s="665"/>
      <c r="J30" s="665"/>
      <c r="K30" s="666"/>
      <c r="L30" s="666"/>
      <c r="M30" s="673"/>
      <c r="N30" s="673"/>
      <c r="O30" s="673"/>
      <c r="P30" s="673"/>
      <c r="Q30" s="666"/>
      <c r="R30" s="666"/>
      <c r="S30" s="720"/>
      <c r="T30" s="666"/>
      <c r="U30" s="666"/>
      <c r="V30" s="691"/>
      <c r="W30" s="693"/>
      <c r="X30" s="693"/>
      <c r="Y30" s="693"/>
      <c r="Z30" s="983"/>
      <c r="AA30" s="694"/>
      <c r="AB30" s="984"/>
      <c r="AC30" s="984"/>
      <c r="AD30" s="665"/>
      <c r="AE30" s="665"/>
      <c r="AF30" s="665"/>
      <c r="AG30" s="665"/>
      <c r="AH30" s="665"/>
      <c r="AI30" s="665"/>
      <c r="AJ30" s="665"/>
      <c r="AK30" s="665"/>
      <c r="AL30" s="665"/>
      <c r="AM30" s="665"/>
      <c r="AN30" s="665"/>
      <c r="AO30" s="665"/>
      <c r="AP30" s="665"/>
      <c r="AQ30" s="665"/>
      <c r="AR30" s="665"/>
      <c r="AS30" s="665"/>
      <c r="AT30" s="665"/>
      <c r="AU30" s="665"/>
      <c r="AV30" s="665"/>
      <c r="AW30" s="665"/>
      <c r="AX30" s="665"/>
      <c r="AY30" s="665"/>
      <c r="AZ30" s="665"/>
      <c r="BA30" s="665"/>
      <c r="BB30" s="985"/>
      <c r="BC30" s="985"/>
      <c r="BD30" s="985"/>
      <c r="BE30" s="986"/>
      <c r="BF30" s="987"/>
      <c r="BG30" s="987"/>
      <c r="BH30" s="987"/>
      <c r="BI30" s="987"/>
      <c r="BJ30" s="987"/>
      <c r="BK30" s="987"/>
      <c r="BL30" s="987"/>
      <c r="BM30" s="696"/>
      <c r="BN30" s="696"/>
      <c r="BO30" s="696"/>
      <c r="BP30" s="696"/>
      <c r="BQ30" s="988"/>
    </row>
    <row r="31" spans="1:69" ht="59.25" customHeight="1" x14ac:dyDescent="0.2">
      <c r="A31" s="3504"/>
      <c r="B31" s="3504"/>
      <c r="C31" s="3504"/>
      <c r="D31" s="3504"/>
      <c r="E31" s="3504"/>
      <c r="F31" s="3504"/>
      <c r="G31" s="3556" t="s">
        <v>565</v>
      </c>
      <c r="H31" s="3557"/>
      <c r="I31" s="3558"/>
      <c r="J31" s="3562">
        <v>54</v>
      </c>
      <c r="K31" s="3564" t="s">
        <v>570</v>
      </c>
      <c r="L31" s="3564" t="s">
        <v>571</v>
      </c>
      <c r="M31" s="3510">
        <v>130</v>
      </c>
      <c r="N31" s="3507">
        <v>199.51</v>
      </c>
      <c r="O31" s="898" t="s">
        <v>572</v>
      </c>
      <c r="P31" s="3510" t="s">
        <v>573</v>
      </c>
      <c r="Q31" s="3564" t="s">
        <v>574</v>
      </c>
      <c r="R31" s="3550">
        <f>SUM(W31:W36)/S31</f>
        <v>0.75621836672531229</v>
      </c>
      <c r="S31" s="3513">
        <f>SUM(W31:W42)</f>
        <v>6266240674</v>
      </c>
      <c r="T31" s="3505" t="s">
        <v>575</v>
      </c>
      <c r="U31" s="3566" t="s">
        <v>576</v>
      </c>
      <c r="V31" s="901" t="s">
        <v>577</v>
      </c>
      <c r="W31" s="989">
        <v>266273502</v>
      </c>
      <c r="X31" s="952">
        <v>210000000</v>
      </c>
      <c r="Y31" s="990">
        <v>105090407</v>
      </c>
      <c r="Z31" s="991">
        <v>23</v>
      </c>
      <c r="AA31" s="992" t="s">
        <v>651</v>
      </c>
      <c r="AB31" s="3568">
        <v>294321</v>
      </c>
      <c r="AC31" s="3568">
        <f>AB31*BJ31</f>
        <v>80218.611866970343</v>
      </c>
      <c r="AD31" s="3570">
        <v>283947</v>
      </c>
      <c r="AE31" s="3568">
        <f>AD31*$BJ31</f>
        <v>77391.127998989643</v>
      </c>
      <c r="AF31" s="3570">
        <v>135912</v>
      </c>
      <c r="AG31" s="3568">
        <f>AF31*$BJ31</f>
        <v>37043.472861480062</v>
      </c>
      <c r="AH31" s="3570">
        <v>44640</v>
      </c>
      <c r="AI31" s="3568">
        <f>AH31*$BJ31</f>
        <v>12166.847876099757</v>
      </c>
      <c r="AJ31" s="3570">
        <v>308178</v>
      </c>
      <c r="AK31" s="3568">
        <f>AJ31*$BJ31</f>
        <v>83995.404228509651</v>
      </c>
      <c r="AL31" s="3570">
        <v>89696</v>
      </c>
      <c r="AM31" s="3568">
        <f>AL31*$BJ31</f>
        <v>24447.078563948111</v>
      </c>
      <c r="AN31" s="3570">
        <v>2145</v>
      </c>
      <c r="AO31" s="3568">
        <f>AN31*$BJ31</f>
        <v>584.63012307871816</v>
      </c>
      <c r="AP31" s="3570">
        <v>12718</v>
      </c>
      <c r="AQ31" s="3568">
        <f>AP31*$BJ31</f>
        <v>3466.3524034103202</v>
      </c>
      <c r="AR31" s="3570">
        <v>26</v>
      </c>
      <c r="AS31" s="3568">
        <f>AR31*$BJ31</f>
        <v>7.0864257342874923</v>
      </c>
      <c r="AT31" s="3570">
        <v>37</v>
      </c>
      <c r="AU31" s="3568">
        <f>AT31*$BJ31</f>
        <v>10.084528929562969</v>
      </c>
      <c r="AV31" s="3570">
        <v>0</v>
      </c>
      <c r="AW31" s="3568">
        <f>AV31*$BJ31</f>
        <v>0</v>
      </c>
      <c r="AX31" s="3570">
        <v>0</v>
      </c>
      <c r="AY31" s="3568">
        <f>AX31*$BJ31</f>
        <v>0</v>
      </c>
      <c r="AZ31" s="3570">
        <v>54612</v>
      </c>
      <c r="BA31" s="3568">
        <f>AZ31*$BJ31</f>
        <v>14884.764700034944</v>
      </c>
      <c r="BB31" s="3570">
        <v>21944</v>
      </c>
      <c r="BC31" s="3568">
        <f>BB31*$BJ31</f>
        <v>5980.9433197386434</v>
      </c>
      <c r="BD31" s="3570">
        <v>1010</v>
      </c>
      <c r="BE31" s="3568">
        <f>BD31*$BJ31</f>
        <v>275.28038429347566</v>
      </c>
      <c r="BF31" s="3570">
        <f>SUM(AB31:AD42)</f>
        <v>658486.61186697031</v>
      </c>
      <c r="BG31" s="3581">
        <v>90</v>
      </c>
      <c r="BH31" s="3581">
        <f>X31+X32+X33+X34+X35+X36+X37+X38+X39+X40+X41+X42</f>
        <v>2905772465</v>
      </c>
      <c r="BI31" s="3581">
        <f>Y31+Y32+Y33+Y34+Y35+Y36+Y37+Y38+Y39+Y40+Y41+Y42</f>
        <v>791982337.46000004</v>
      </c>
      <c r="BJ31" s="3577">
        <f>BI31/BH31</f>
        <v>0.27255483593413432</v>
      </c>
      <c r="BK31" s="3578" t="s">
        <v>578</v>
      </c>
      <c r="BL31" s="3580" t="s">
        <v>579</v>
      </c>
      <c r="BM31" s="3582">
        <v>43466</v>
      </c>
      <c r="BN31" s="3582">
        <v>43466</v>
      </c>
      <c r="BO31" s="3574">
        <v>43830</v>
      </c>
      <c r="BP31" s="3574">
        <v>43830</v>
      </c>
      <c r="BQ31" s="3430" t="s">
        <v>518</v>
      </c>
    </row>
    <row r="32" spans="1:69" ht="59.25" customHeight="1" x14ac:dyDescent="0.2">
      <c r="A32" s="3504"/>
      <c r="B32" s="3504"/>
      <c r="C32" s="3504"/>
      <c r="D32" s="3504"/>
      <c r="E32" s="3504"/>
      <c r="F32" s="3504"/>
      <c r="G32" s="3559"/>
      <c r="H32" s="3560"/>
      <c r="I32" s="3561"/>
      <c r="J32" s="3563"/>
      <c r="K32" s="3565"/>
      <c r="L32" s="3565"/>
      <c r="M32" s="3511"/>
      <c r="N32" s="3508"/>
      <c r="O32" s="1013"/>
      <c r="P32" s="3511"/>
      <c r="Q32" s="3565"/>
      <c r="R32" s="3573"/>
      <c r="S32" s="3514"/>
      <c r="T32" s="3505"/>
      <c r="U32" s="3567"/>
      <c r="V32" s="901" t="s">
        <v>580</v>
      </c>
      <c r="W32" s="993">
        <v>193300000</v>
      </c>
      <c r="X32" s="952">
        <v>102442389</v>
      </c>
      <c r="Y32" s="990">
        <v>93604323</v>
      </c>
      <c r="Z32" s="991">
        <v>23</v>
      </c>
      <c r="AA32" s="992" t="s">
        <v>651</v>
      </c>
      <c r="AB32" s="3569"/>
      <c r="AC32" s="3569"/>
      <c r="AD32" s="3571"/>
      <c r="AE32" s="3569"/>
      <c r="AF32" s="3571"/>
      <c r="AG32" s="3569"/>
      <c r="AH32" s="3571"/>
      <c r="AI32" s="3569"/>
      <c r="AJ32" s="3571"/>
      <c r="AK32" s="3569"/>
      <c r="AL32" s="3571"/>
      <c r="AM32" s="3569"/>
      <c r="AN32" s="3571"/>
      <c r="AO32" s="3569"/>
      <c r="AP32" s="3571"/>
      <c r="AQ32" s="3569"/>
      <c r="AR32" s="3571"/>
      <c r="AS32" s="3569"/>
      <c r="AT32" s="3571"/>
      <c r="AU32" s="3569"/>
      <c r="AV32" s="3571"/>
      <c r="AW32" s="3569"/>
      <c r="AX32" s="3571"/>
      <c r="AY32" s="3569"/>
      <c r="AZ32" s="3571"/>
      <c r="BA32" s="3569"/>
      <c r="BB32" s="3571"/>
      <c r="BC32" s="3569"/>
      <c r="BD32" s="3571"/>
      <c r="BE32" s="3569"/>
      <c r="BF32" s="3571"/>
      <c r="BG32" s="3581"/>
      <c r="BH32" s="3581"/>
      <c r="BI32" s="3581"/>
      <c r="BJ32" s="3577"/>
      <c r="BK32" s="3579"/>
      <c r="BL32" s="3581"/>
      <c r="BM32" s="3582"/>
      <c r="BN32" s="3582"/>
      <c r="BO32" s="3575"/>
      <c r="BP32" s="3575"/>
      <c r="BQ32" s="3431"/>
    </row>
    <row r="33" spans="1:69" ht="59.25" customHeight="1" x14ac:dyDescent="0.2">
      <c r="A33" s="3504"/>
      <c r="B33" s="3504"/>
      <c r="C33" s="3504"/>
      <c r="D33" s="3504"/>
      <c r="E33" s="3504"/>
      <c r="F33" s="3504"/>
      <c r="G33" s="3559"/>
      <c r="H33" s="3560"/>
      <c r="I33" s="3561"/>
      <c r="J33" s="3563"/>
      <c r="K33" s="3565"/>
      <c r="L33" s="3565"/>
      <c r="M33" s="3511"/>
      <c r="N33" s="3508"/>
      <c r="O33" s="1013" t="s">
        <v>581</v>
      </c>
      <c r="P33" s="3511"/>
      <c r="Q33" s="3565"/>
      <c r="R33" s="3573"/>
      <c r="S33" s="3514"/>
      <c r="T33" s="3505"/>
      <c r="U33" s="3567"/>
      <c r="V33" s="3572" t="s">
        <v>582</v>
      </c>
      <c r="W33" s="993">
        <v>2000000000</v>
      </c>
      <c r="X33" s="952">
        <v>666886453</v>
      </c>
      <c r="Y33" s="990">
        <v>152500777.80000001</v>
      </c>
      <c r="Z33" s="991">
        <v>46</v>
      </c>
      <c r="AA33" s="992" t="s">
        <v>652</v>
      </c>
      <c r="AB33" s="3569"/>
      <c r="AC33" s="3569"/>
      <c r="AD33" s="3571"/>
      <c r="AE33" s="3569"/>
      <c r="AF33" s="3571"/>
      <c r="AG33" s="3569"/>
      <c r="AH33" s="3571"/>
      <c r="AI33" s="3569"/>
      <c r="AJ33" s="3571"/>
      <c r="AK33" s="3569"/>
      <c r="AL33" s="3571"/>
      <c r="AM33" s="3569"/>
      <c r="AN33" s="3571"/>
      <c r="AO33" s="3569"/>
      <c r="AP33" s="3571"/>
      <c r="AQ33" s="3569"/>
      <c r="AR33" s="3571"/>
      <c r="AS33" s="3569"/>
      <c r="AT33" s="3571"/>
      <c r="AU33" s="3569"/>
      <c r="AV33" s="3571"/>
      <c r="AW33" s="3569"/>
      <c r="AX33" s="3571"/>
      <c r="AY33" s="3569"/>
      <c r="AZ33" s="3571"/>
      <c r="BA33" s="3569"/>
      <c r="BB33" s="3571"/>
      <c r="BC33" s="3569"/>
      <c r="BD33" s="3571"/>
      <c r="BE33" s="3569"/>
      <c r="BF33" s="3571"/>
      <c r="BG33" s="3581"/>
      <c r="BH33" s="3581"/>
      <c r="BI33" s="3581"/>
      <c r="BJ33" s="3577"/>
      <c r="BK33" s="3579"/>
      <c r="BL33" s="3581"/>
      <c r="BM33" s="3582"/>
      <c r="BN33" s="3582"/>
      <c r="BO33" s="3575"/>
      <c r="BP33" s="3575"/>
      <c r="BQ33" s="3431"/>
    </row>
    <row r="34" spans="1:69" ht="59.25" customHeight="1" x14ac:dyDescent="0.2">
      <c r="A34" s="3504"/>
      <c r="B34" s="3504"/>
      <c r="C34" s="3504"/>
      <c r="D34" s="3504"/>
      <c r="E34" s="3504"/>
      <c r="F34" s="3504"/>
      <c r="G34" s="3559"/>
      <c r="H34" s="3560"/>
      <c r="I34" s="3561"/>
      <c r="J34" s="3563"/>
      <c r="K34" s="3565"/>
      <c r="L34" s="3565"/>
      <c r="M34" s="3511"/>
      <c r="N34" s="3508"/>
      <c r="O34" s="1013"/>
      <c r="P34" s="3511"/>
      <c r="Q34" s="3565"/>
      <c r="R34" s="3573"/>
      <c r="S34" s="3514"/>
      <c r="T34" s="3505"/>
      <c r="U34" s="3567"/>
      <c r="V34" s="3572"/>
      <c r="W34" s="993">
        <v>1565383782</v>
      </c>
      <c r="X34" s="952">
        <v>992698447</v>
      </c>
      <c r="Y34" s="990">
        <v>0</v>
      </c>
      <c r="Z34" s="991">
        <v>157</v>
      </c>
      <c r="AA34" s="992" t="s">
        <v>583</v>
      </c>
      <c r="AB34" s="3569"/>
      <c r="AC34" s="3569"/>
      <c r="AD34" s="3571"/>
      <c r="AE34" s="3569"/>
      <c r="AF34" s="3571"/>
      <c r="AG34" s="3569"/>
      <c r="AH34" s="3571"/>
      <c r="AI34" s="3569"/>
      <c r="AJ34" s="3571"/>
      <c r="AK34" s="3569"/>
      <c r="AL34" s="3571"/>
      <c r="AM34" s="3569"/>
      <c r="AN34" s="3571"/>
      <c r="AO34" s="3569"/>
      <c r="AP34" s="3571"/>
      <c r="AQ34" s="3569"/>
      <c r="AR34" s="3571"/>
      <c r="AS34" s="3569"/>
      <c r="AT34" s="3571"/>
      <c r="AU34" s="3569"/>
      <c r="AV34" s="3571"/>
      <c r="AW34" s="3569"/>
      <c r="AX34" s="3571"/>
      <c r="AY34" s="3569"/>
      <c r="AZ34" s="3571"/>
      <c r="BA34" s="3569"/>
      <c r="BB34" s="3571"/>
      <c r="BC34" s="3569"/>
      <c r="BD34" s="3571"/>
      <c r="BE34" s="3569"/>
      <c r="BF34" s="3571"/>
      <c r="BG34" s="3581"/>
      <c r="BH34" s="3581"/>
      <c r="BI34" s="3581"/>
      <c r="BJ34" s="3577"/>
      <c r="BK34" s="3579"/>
      <c r="BL34" s="3581"/>
      <c r="BM34" s="3582"/>
      <c r="BN34" s="3582"/>
      <c r="BO34" s="3575"/>
      <c r="BP34" s="3575"/>
      <c r="BQ34" s="3431"/>
    </row>
    <row r="35" spans="1:69" ht="59.25" customHeight="1" x14ac:dyDescent="0.2">
      <c r="A35" s="3504"/>
      <c r="B35" s="3504"/>
      <c r="C35" s="3504"/>
      <c r="D35" s="3504"/>
      <c r="E35" s="3504"/>
      <c r="F35" s="3504"/>
      <c r="G35" s="3559"/>
      <c r="H35" s="3560"/>
      <c r="I35" s="3561"/>
      <c r="J35" s="3563"/>
      <c r="K35" s="3565"/>
      <c r="L35" s="3565"/>
      <c r="M35" s="3511"/>
      <c r="N35" s="3508"/>
      <c r="O35" s="1013"/>
      <c r="P35" s="3511"/>
      <c r="Q35" s="3565"/>
      <c r="R35" s="3573"/>
      <c r="S35" s="3514"/>
      <c r="T35" s="3505"/>
      <c r="U35" s="3567"/>
      <c r="V35" s="3572"/>
      <c r="W35" s="989">
        <f>0+393689004</f>
        <v>393689004</v>
      </c>
      <c r="X35" s="952">
        <v>0</v>
      </c>
      <c r="Y35" s="990"/>
      <c r="Z35" s="991">
        <v>88</v>
      </c>
      <c r="AA35" s="992" t="s">
        <v>532</v>
      </c>
      <c r="AB35" s="3569"/>
      <c r="AC35" s="3569"/>
      <c r="AD35" s="3571"/>
      <c r="AE35" s="3569"/>
      <c r="AF35" s="3571"/>
      <c r="AG35" s="3569"/>
      <c r="AH35" s="3571"/>
      <c r="AI35" s="3569"/>
      <c r="AJ35" s="3571"/>
      <c r="AK35" s="3569"/>
      <c r="AL35" s="3571"/>
      <c r="AM35" s="3569"/>
      <c r="AN35" s="3571"/>
      <c r="AO35" s="3569"/>
      <c r="AP35" s="3571"/>
      <c r="AQ35" s="3569"/>
      <c r="AR35" s="3571"/>
      <c r="AS35" s="3569"/>
      <c r="AT35" s="3571"/>
      <c r="AU35" s="3569"/>
      <c r="AV35" s="3571"/>
      <c r="AW35" s="3569"/>
      <c r="AX35" s="3571"/>
      <c r="AY35" s="3569"/>
      <c r="AZ35" s="3571"/>
      <c r="BA35" s="3569"/>
      <c r="BB35" s="3571"/>
      <c r="BC35" s="3569"/>
      <c r="BD35" s="3571"/>
      <c r="BE35" s="3569"/>
      <c r="BF35" s="3571"/>
      <c r="BG35" s="3581"/>
      <c r="BH35" s="3581"/>
      <c r="BI35" s="3581"/>
      <c r="BJ35" s="3577"/>
      <c r="BK35" s="3579"/>
      <c r="BL35" s="3581"/>
      <c r="BM35" s="3582"/>
      <c r="BN35" s="3582"/>
      <c r="BO35" s="3575"/>
      <c r="BP35" s="3575"/>
      <c r="BQ35" s="3431"/>
    </row>
    <row r="36" spans="1:69" ht="59.25" customHeight="1" x14ac:dyDescent="0.2">
      <c r="A36" s="3504"/>
      <c r="B36" s="3504"/>
      <c r="C36" s="3504"/>
      <c r="D36" s="3504"/>
      <c r="E36" s="3504"/>
      <c r="F36" s="3504"/>
      <c r="G36" s="3559"/>
      <c r="H36" s="3560"/>
      <c r="I36" s="3561"/>
      <c r="J36" s="3563"/>
      <c r="K36" s="3565"/>
      <c r="L36" s="3565"/>
      <c r="M36" s="3511"/>
      <c r="N36" s="3509"/>
      <c r="O36" s="1013" t="s">
        <v>584</v>
      </c>
      <c r="P36" s="3511"/>
      <c r="Q36" s="3565"/>
      <c r="R36" s="3573"/>
      <c r="S36" s="3514"/>
      <c r="T36" s="3505"/>
      <c r="U36" s="3567"/>
      <c r="V36" s="901" t="s">
        <v>585</v>
      </c>
      <c r="W36" s="989">
        <v>320000000</v>
      </c>
      <c r="X36" s="952">
        <v>176821505</v>
      </c>
      <c r="Y36" s="990">
        <v>0</v>
      </c>
      <c r="Z36" s="991">
        <v>46</v>
      </c>
      <c r="AA36" s="992" t="s">
        <v>652</v>
      </c>
      <c r="AB36" s="3569"/>
      <c r="AC36" s="3569"/>
      <c r="AD36" s="3571"/>
      <c r="AE36" s="3569"/>
      <c r="AF36" s="3571"/>
      <c r="AG36" s="3569"/>
      <c r="AH36" s="3571"/>
      <c r="AI36" s="3569"/>
      <c r="AJ36" s="3571"/>
      <c r="AK36" s="3569"/>
      <c r="AL36" s="3571"/>
      <c r="AM36" s="3569"/>
      <c r="AN36" s="3571"/>
      <c r="AO36" s="3569"/>
      <c r="AP36" s="3571"/>
      <c r="AQ36" s="3569"/>
      <c r="AR36" s="3571"/>
      <c r="AS36" s="3569"/>
      <c r="AT36" s="3571"/>
      <c r="AU36" s="3569"/>
      <c r="AV36" s="3571"/>
      <c r="AW36" s="3569"/>
      <c r="AX36" s="3571"/>
      <c r="AY36" s="3569"/>
      <c r="AZ36" s="3571"/>
      <c r="BA36" s="3569"/>
      <c r="BB36" s="3571"/>
      <c r="BC36" s="3569"/>
      <c r="BD36" s="3571"/>
      <c r="BE36" s="3569"/>
      <c r="BF36" s="3571"/>
      <c r="BG36" s="3581"/>
      <c r="BH36" s="3581"/>
      <c r="BI36" s="3581"/>
      <c r="BJ36" s="3577"/>
      <c r="BK36" s="3579"/>
      <c r="BL36" s="3581"/>
      <c r="BM36" s="3582"/>
      <c r="BN36" s="3582"/>
      <c r="BO36" s="3575"/>
      <c r="BP36" s="3575"/>
      <c r="BQ36" s="3431"/>
    </row>
    <row r="37" spans="1:69" ht="59.25" customHeight="1" x14ac:dyDescent="0.2">
      <c r="A37" s="3504"/>
      <c r="B37" s="3504"/>
      <c r="C37" s="3504"/>
      <c r="D37" s="3504"/>
      <c r="E37" s="3504"/>
      <c r="F37" s="3504"/>
      <c r="G37" s="3559"/>
      <c r="H37" s="3560"/>
      <c r="I37" s="3561"/>
      <c r="J37" s="3562">
        <v>55</v>
      </c>
      <c r="K37" s="3564" t="s">
        <v>586</v>
      </c>
      <c r="L37" s="3564" t="s">
        <v>587</v>
      </c>
      <c r="M37" s="3510">
        <v>12</v>
      </c>
      <c r="N37" s="3576">
        <v>9</v>
      </c>
      <c r="P37" s="3511"/>
      <c r="Q37" s="3565"/>
      <c r="R37" s="3550">
        <f>SUM(W37:W42)/S31</f>
        <v>0.24378163327468771</v>
      </c>
      <c r="S37" s="3514"/>
      <c r="T37" s="3505"/>
      <c r="U37" s="3566" t="s">
        <v>588</v>
      </c>
      <c r="V37" s="3572" t="s">
        <v>589</v>
      </c>
      <c r="W37" s="989">
        <v>51500000</v>
      </c>
      <c r="X37" s="952">
        <v>51500000</v>
      </c>
      <c r="Y37" s="990">
        <v>24000000</v>
      </c>
      <c r="Z37" s="991">
        <v>23</v>
      </c>
      <c r="AA37" s="992" t="s">
        <v>651</v>
      </c>
      <c r="AB37" s="3569"/>
      <c r="AC37" s="3569"/>
      <c r="AD37" s="3571"/>
      <c r="AE37" s="3569"/>
      <c r="AF37" s="3571"/>
      <c r="AG37" s="3569"/>
      <c r="AH37" s="3571"/>
      <c r="AI37" s="3569"/>
      <c r="AJ37" s="3571"/>
      <c r="AK37" s="3569"/>
      <c r="AL37" s="3571"/>
      <c r="AM37" s="3569"/>
      <c r="AN37" s="3571"/>
      <c r="AO37" s="3569"/>
      <c r="AP37" s="3571"/>
      <c r="AQ37" s="3569"/>
      <c r="AR37" s="3571"/>
      <c r="AS37" s="3569"/>
      <c r="AT37" s="3571"/>
      <c r="AU37" s="3569"/>
      <c r="AV37" s="3571"/>
      <c r="AW37" s="3569"/>
      <c r="AX37" s="3571"/>
      <c r="AY37" s="3569"/>
      <c r="AZ37" s="3571"/>
      <c r="BA37" s="3569"/>
      <c r="BB37" s="3571"/>
      <c r="BC37" s="3569"/>
      <c r="BD37" s="3571"/>
      <c r="BE37" s="3569"/>
      <c r="BF37" s="3571"/>
      <c r="BG37" s="3581"/>
      <c r="BH37" s="3581"/>
      <c r="BI37" s="3581"/>
      <c r="BJ37" s="3577"/>
      <c r="BK37" s="3579"/>
      <c r="BL37" s="3581"/>
      <c r="BM37" s="3582"/>
      <c r="BN37" s="3582"/>
      <c r="BO37" s="3575"/>
      <c r="BP37" s="3575"/>
      <c r="BQ37" s="3431"/>
    </row>
    <row r="38" spans="1:69" ht="59.25" customHeight="1" x14ac:dyDescent="0.2">
      <c r="A38" s="3504"/>
      <c r="B38" s="3504"/>
      <c r="C38" s="3504"/>
      <c r="D38" s="3504"/>
      <c r="E38" s="3504"/>
      <c r="F38" s="3504"/>
      <c r="G38" s="3559"/>
      <c r="H38" s="3560"/>
      <c r="I38" s="3561"/>
      <c r="J38" s="3563"/>
      <c r="K38" s="3565"/>
      <c r="L38" s="3565"/>
      <c r="M38" s="3511"/>
      <c r="N38" s="3576"/>
      <c r="O38" s="994" t="s">
        <v>590</v>
      </c>
      <c r="P38" s="3511"/>
      <c r="Q38" s="3565"/>
      <c r="R38" s="3573"/>
      <c r="S38" s="3514"/>
      <c r="T38" s="3505"/>
      <c r="U38" s="3567"/>
      <c r="V38" s="3572"/>
      <c r="W38" s="995">
        <v>100000000</v>
      </c>
      <c r="X38" s="952">
        <v>28166800</v>
      </c>
      <c r="Y38" s="996">
        <v>0</v>
      </c>
      <c r="Z38" s="991">
        <v>46</v>
      </c>
      <c r="AA38" s="992" t="s">
        <v>652</v>
      </c>
      <c r="AB38" s="3569"/>
      <c r="AC38" s="3569"/>
      <c r="AD38" s="3571"/>
      <c r="AE38" s="3569"/>
      <c r="AF38" s="3571"/>
      <c r="AG38" s="3569"/>
      <c r="AH38" s="3571"/>
      <c r="AI38" s="3569"/>
      <c r="AJ38" s="3571"/>
      <c r="AK38" s="3569"/>
      <c r="AL38" s="3571"/>
      <c r="AM38" s="3569"/>
      <c r="AN38" s="3571"/>
      <c r="AO38" s="3569"/>
      <c r="AP38" s="3571"/>
      <c r="AQ38" s="3569"/>
      <c r="AR38" s="3571"/>
      <c r="AS38" s="3569"/>
      <c r="AT38" s="3571"/>
      <c r="AU38" s="3569"/>
      <c r="AV38" s="3571"/>
      <c r="AW38" s="3569"/>
      <c r="AX38" s="3571"/>
      <c r="AY38" s="3569"/>
      <c r="AZ38" s="3571"/>
      <c r="BA38" s="3569"/>
      <c r="BB38" s="3571"/>
      <c r="BC38" s="3569"/>
      <c r="BD38" s="3571"/>
      <c r="BE38" s="3569"/>
      <c r="BF38" s="3571"/>
      <c r="BG38" s="3581"/>
      <c r="BH38" s="3581"/>
      <c r="BI38" s="3581"/>
      <c r="BJ38" s="3577"/>
      <c r="BK38" s="3579"/>
      <c r="BL38" s="3581"/>
      <c r="BM38" s="3582"/>
      <c r="BN38" s="3582"/>
      <c r="BO38" s="3575"/>
      <c r="BP38" s="3575"/>
      <c r="BQ38" s="3431"/>
    </row>
    <row r="39" spans="1:69" ht="59.25" customHeight="1" x14ac:dyDescent="0.2">
      <c r="A39" s="3504"/>
      <c r="B39" s="3504"/>
      <c r="C39" s="3504"/>
      <c r="D39" s="3504"/>
      <c r="E39" s="3504"/>
      <c r="F39" s="3504"/>
      <c r="G39" s="3559"/>
      <c r="H39" s="3560"/>
      <c r="I39" s="3561"/>
      <c r="J39" s="3563"/>
      <c r="K39" s="3565"/>
      <c r="L39" s="3565"/>
      <c r="M39" s="3511"/>
      <c r="N39" s="3576"/>
      <c r="P39" s="3511"/>
      <c r="Q39" s="3565"/>
      <c r="R39" s="3573"/>
      <c r="S39" s="3514"/>
      <c r="T39" s="3505"/>
      <c r="U39" s="3567"/>
      <c r="V39" s="3572" t="s">
        <v>591</v>
      </c>
      <c r="W39" s="995">
        <v>448500000</v>
      </c>
      <c r="X39" s="952">
        <v>421466828</v>
      </c>
      <c r="Y39" s="990">
        <v>386472829.66000003</v>
      </c>
      <c r="Z39" s="991">
        <v>23</v>
      </c>
      <c r="AA39" s="992" t="s">
        <v>651</v>
      </c>
      <c r="AB39" s="3569"/>
      <c r="AC39" s="3569"/>
      <c r="AD39" s="3571"/>
      <c r="AE39" s="3569"/>
      <c r="AF39" s="3571"/>
      <c r="AG39" s="3569"/>
      <c r="AH39" s="3571"/>
      <c r="AI39" s="3569"/>
      <c r="AJ39" s="3571"/>
      <c r="AK39" s="3569"/>
      <c r="AL39" s="3571"/>
      <c r="AM39" s="3569"/>
      <c r="AN39" s="3571"/>
      <c r="AO39" s="3569"/>
      <c r="AP39" s="3571"/>
      <c r="AQ39" s="3569"/>
      <c r="AR39" s="3571"/>
      <c r="AS39" s="3569"/>
      <c r="AT39" s="3571"/>
      <c r="AU39" s="3569"/>
      <c r="AV39" s="3571"/>
      <c r="AW39" s="3569"/>
      <c r="AX39" s="3571"/>
      <c r="AY39" s="3569"/>
      <c r="AZ39" s="3571"/>
      <c r="BA39" s="3569"/>
      <c r="BB39" s="3571"/>
      <c r="BC39" s="3569"/>
      <c r="BD39" s="3571"/>
      <c r="BE39" s="3569"/>
      <c r="BF39" s="3571"/>
      <c r="BG39" s="3581"/>
      <c r="BH39" s="3581"/>
      <c r="BI39" s="3581"/>
      <c r="BJ39" s="3577"/>
      <c r="BK39" s="3579"/>
      <c r="BL39" s="3581"/>
      <c r="BM39" s="3582"/>
      <c r="BN39" s="3582"/>
      <c r="BO39" s="3575"/>
      <c r="BP39" s="3575"/>
      <c r="BQ39" s="3431"/>
    </row>
    <row r="40" spans="1:69" ht="59.25" customHeight="1" x14ac:dyDescent="0.2">
      <c r="A40" s="3504"/>
      <c r="B40" s="3504"/>
      <c r="C40" s="3504"/>
      <c r="D40" s="3504"/>
      <c r="E40" s="3504"/>
      <c r="F40" s="3504"/>
      <c r="G40" s="3559"/>
      <c r="H40" s="3560"/>
      <c r="I40" s="3561"/>
      <c r="J40" s="3563"/>
      <c r="K40" s="3565"/>
      <c r="L40" s="3565"/>
      <c r="M40" s="3511"/>
      <c r="N40" s="3576"/>
      <c r="P40" s="3511"/>
      <c r="Q40" s="3565"/>
      <c r="R40" s="3573"/>
      <c r="S40" s="3514"/>
      <c r="T40" s="3505"/>
      <c r="U40" s="3567"/>
      <c r="V40" s="3572"/>
      <c r="W40" s="997">
        <v>42594386</v>
      </c>
      <c r="X40" s="998">
        <v>35278333</v>
      </c>
      <c r="Y40" s="998">
        <v>30314000</v>
      </c>
      <c r="Z40" s="991">
        <v>89</v>
      </c>
      <c r="AA40" s="999" t="s">
        <v>653</v>
      </c>
      <c r="AB40" s="3569"/>
      <c r="AC40" s="3569"/>
      <c r="AD40" s="3571"/>
      <c r="AE40" s="3569"/>
      <c r="AF40" s="3571"/>
      <c r="AG40" s="3569"/>
      <c r="AH40" s="3571"/>
      <c r="AI40" s="3569"/>
      <c r="AJ40" s="3571"/>
      <c r="AK40" s="3569"/>
      <c r="AL40" s="3571"/>
      <c r="AM40" s="3569"/>
      <c r="AN40" s="3571"/>
      <c r="AO40" s="3569"/>
      <c r="AP40" s="3571"/>
      <c r="AQ40" s="3569"/>
      <c r="AR40" s="3571"/>
      <c r="AS40" s="3569"/>
      <c r="AT40" s="3571"/>
      <c r="AU40" s="3569"/>
      <c r="AV40" s="3571"/>
      <c r="AW40" s="3569"/>
      <c r="AX40" s="3571"/>
      <c r="AY40" s="3569"/>
      <c r="AZ40" s="3571"/>
      <c r="BA40" s="3569"/>
      <c r="BB40" s="3571"/>
      <c r="BC40" s="3569"/>
      <c r="BD40" s="3571"/>
      <c r="BE40" s="3569"/>
      <c r="BF40" s="3571"/>
      <c r="BG40" s="3581"/>
      <c r="BH40" s="3581"/>
      <c r="BI40" s="3581"/>
      <c r="BJ40" s="3577"/>
      <c r="BK40" s="3579"/>
      <c r="BL40" s="3581"/>
      <c r="BM40" s="3582"/>
      <c r="BN40" s="3582"/>
      <c r="BO40" s="3575"/>
      <c r="BP40" s="3575"/>
      <c r="BQ40" s="3431"/>
    </row>
    <row r="41" spans="1:69" ht="59.25" customHeight="1" x14ac:dyDescent="0.2">
      <c r="A41" s="3504"/>
      <c r="B41" s="3504"/>
      <c r="C41" s="3504"/>
      <c r="D41" s="3504"/>
      <c r="E41" s="3504"/>
      <c r="F41" s="3504"/>
      <c r="G41" s="3559"/>
      <c r="H41" s="3560"/>
      <c r="I41" s="3561"/>
      <c r="J41" s="3563"/>
      <c r="K41" s="3565"/>
      <c r="L41" s="3565"/>
      <c r="M41" s="3511"/>
      <c r="N41" s="3576"/>
      <c r="O41" s="441" t="s">
        <v>592</v>
      </c>
      <c r="P41" s="3511"/>
      <c r="Q41" s="3565"/>
      <c r="R41" s="3573"/>
      <c r="S41" s="3514"/>
      <c r="T41" s="3505"/>
      <c r="U41" s="3567"/>
      <c r="V41" s="3572"/>
      <c r="W41" s="1000">
        <f>0+185000000</f>
        <v>185000000</v>
      </c>
      <c r="X41" s="952">
        <v>19976533</v>
      </c>
      <c r="Y41" s="990">
        <v>0</v>
      </c>
      <c r="Z41" s="1001">
        <v>88</v>
      </c>
      <c r="AA41" s="1002" t="s">
        <v>532</v>
      </c>
      <c r="AB41" s="3569"/>
      <c r="AC41" s="3569"/>
      <c r="AD41" s="3571"/>
      <c r="AE41" s="3569"/>
      <c r="AF41" s="3571"/>
      <c r="AG41" s="3569"/>
      <c r="AH41" s="3571"/>
      <c r="AI41" s="3569"/>
      <c r="AJ41" s="3571"/>
      <c r="AK41" s="3569"/>
      <c r="AL41" s="3571"/>
      <c r="AM41" s="3569"/>
      <c r="AN41" s="3571"/>
      <c r="AO41" s="3569"/>
      <c r="AP41" s="3571"/>
      <c r="AQ41" s="3569"/>
      <c r="AR41" s="3571"/>
      <c r="AS41" s="3569"/>
      <c r="AT41" s="3571"/>
      <c r="AU41" s="3569"/>
      <c r="AV41" s="3571"/>
      <c r="AW41" s="3569"/>
      <c r="AX41" s="3571"/>
      <c r="AY41" s="3569"/>
      <c r="AZ41" s="3571"/>
      <c r="BA41" s="3569"/>
      <c r="BB41" s="3571"/>
      <c r="BC41" s="3569"/>
      <c r="BD41" s="3571"/>
      <c r="BE41" s="3569"/>
      <c r="BF41" s="3571"/>
      <c r="BG41" s="3581"/>
      <c r="BH41" s="3581"/>
      <c r="BI41" s="3581"/>
      <c r="BJ41" s="3577"/>
      <c r="BK41" s="3579"/>
      <c r="BL41" s="3581"/>
      <c r="BM41" s="3582"/>
      <c r="BN41" s="3582"/>
      <c r="BO41" s="3575"/>
      <c r="BP41" s="3575"/>
      <c r="BQ41" s="3431"/>
    </row>
    <row r="42" spans="1:69" ht="59.25" customHeight="1" x14ac:dyDescent="0.2">
      <c r="A42" s="3504"/>
      <c r="B42" s="3504"/>
      <c r="C42" s="3504"/>
      <c r="D42" s="3504"/>
      <c r="E42" s="3504"/>
      <c r="F42" s="3504"/>
      <c r="G42" s="3559"/>
      <c r="H42" s="3560"/>
      <c r="I42" s="3561"/>
      <c r="J42" s="3563"/>
      <c r="K42" s="3565"/>
      <c r="L42" s="3565"/>
      <c r="M42" s="3511"/>
      <c r="N42" s="3576"/>
      <c r="O42" s="994"/>
      <c r="P42" s="3511"/>
      <c r="Q42" s="3565"/>
      <c r="R42" s="3573"/>
      <c r="S42" s="3514"/>
      <c r="T42" s="3505"/>
      <c r="U42" s="3567"/>
      <c r="V42" s="901" t="s">
        <v>593</v>
      </c>
      <c r="W42" s="1003">
        <v>700000000</v>
      </c>
      <c r="X42" s="996">
        <v>200535177</v>
      </c>
      <c r="Y42" s="996">
        <v>0</v>
      </c>
      <c r="Z42" s="991">
        <v>46</v>
      </c>
      <c r="AA42" s="992" t="s">
        <v>652</v>
      </c>
      <c r="AB42" s="3569"/>
      <c r="AC42" s="3569"/>
      <c r="AD42" s="3571"/>
      <c r="AE42" s="3569"/>
      <c r="AF42" s="3571"/>
      <c r="AG42" s="3569"/>
      <c r="AH42" s="3571"/>
      <c r="AI42" s="3569"/>
      <c r="AJ42" s="3571"/>
      <c r="AK42" s="3569"/>
      <c r="AL42" s="3571"/>
      <c r="AM42" s="3569"/>
      <c r="AN42" s="3571"/>
      <c r="AO42" s="3569"/>
      <c r="AP42" s="3571"/>
      <c r="AQ42" s="3569"/>
      <c r="AR42" s="3571"/>
      <c r="AS42" s="3569"/>
      <c r="AT42" s="3571"/>
      <c r="AU42" s="3569"/>
      <c r="AV42" s="3571"/>
      <c r="AW42" s="3569"/>
      <c r="AX42" s="3571"/>
      <c r="AY42" s="3569"/>
      <c r="AZ42" s="3571"/>
      <c r="BA42" s="3569"/>
      <c r="BB42" s="3571"/>
      <c r="BC42" s="3569"/>
      <c r="BD42" s="3571"/>
      <c r="BE42" s="3569"/>
      <c r="BF42" s="3571"/>
      <c r="BG42" s="3581"/>
      <c r="BH42" s="3581"/>
      <c r="BI42" s="3581"/>
      <c r="BJ42" s="3577"/>
      <c r="BK42" s="3579"/>
      <c r="BL42" s="3581"/>
      <c r="BM42" s="3582"/>
      <c r="BN42" s="3582"/>
      <c r="BO42" s="3575"/>
      <c r="BP42" s="3575"/>
      <c r="BQ42" s="3431"/>
    </row>
    <row r="43" spans="1:69" ht="27.75" customHeight="1" x14ac:dyDescent="0.2">
      <c r="A43" s="1004"/>
      <c r="B43" s="1005"/>
      <c r="C43" s="1006"/>
      <c r="D43" s="3556"/>
      <c r="E43" s="3557"/>
      <c r="F43" s="3557"/>
      <c r="G43" s="899" t="s">
        <v>594</v>
      </c>
      <c r="H43" s="1007" t="s">
        <v>595</v>
      </c>
      <c r="I43" s="665"/>
      <c r="J43" s="665"/>
      <c r="K43" s="665"/>
      <c r="L43" s="665"/>
      <c r="M43" s="665"/>
      <c r="N43" s="665"/>
      <c r="O43" s="673"/>
      <c r="P43" s="673"/>
      <c r="Q43" s="665"/>
      <c r="R43" s="665"/>
      <c r="S43" s="1008"/>
      <c r="T43" s="665"/>
      <c r="U43" s="665"/>
      <c r="V43" s="667"/>
      <c r="W43" s="1009"/>
      <c r="X43" s="1009"/>
      <c r="Y43" s="1009"/>
      <c r="Z43" s="667"/>
      <c r="AA43" s="710"/>
      <c r="AB43" s="665"/>
      <c r="AC43" s="665"/>
      <c r="AD43" s="665"/>
      <c r="AE43" s="665"/>
      <c r="AF43" s="665"/>
      <c r="AG43" s="665"/>
      <c r="AH43" s="665"/>
      <c r="AI43" s="665"/>
      <c r="AJ43" s="665"/>
      <c r="AK43" s="665"/>
      <c r="AL43" s="665"/>
      <c r="AM43" s="665"/>
      <c r="AN43" s="665"/>
      <c r="AO43" s="665"/>
      <c r="AP43" s="665"/>
      <c r="AQ43" s="665"/>
      <c r="AR43" s="665"/>
      <c r="AS43" s="665"/>
      <c r="AT43" s="665"/>
      <c r="AU43" s="665"/>
      <c r="AV43" s="665"/>
      <c r="AW43" s="665"/>
      <c r="AX43" s="665"/>
      <c r="AY43" s="665"/>
      <c r="AZ43" s="665"/>
      <c r="BA43" s="665"/>
      <c r="BB43" s="665"/>
      <c r="BC43" s="665"/>
      <c r="BD43" s="665"/>
      <c r="BE43" s="665"/>
      <c r="BF43" s="665"/>
      <c r="BG43" s="723"/>
      <c r="BH43" s="723"/>
      <c r="BI43" s="723"/>
      <c r="BJ43" s="723"/>
      <c r="BK43" s="723"/>
      <c r="BL43" s="723"/>
      <c r="BM43" s="723"/>
      <c r="BN43" s="723"/>
      <c r="BO43" s="665"/>
      <c r="BP43" s="665"/>
      <c r="BQ43" s="1010"/>
    </row>
    <row r="44" spans="1:69" ht="75" customHeight="1" x14ac:dyDescent="0.2">
      <c r="A44" s="1004"/>
      <c r="B44" s="1005"/>
      <c r="C44" s="1006"/>
      <c r="D44" s="3559"/>
      <c r="E44" s="3560"/>
      <c r="F44" s="3560"/>
      <c r="G44" s="3504"/>
      <c r="H44" s="3504"/>
      <c r="I44" s="3504"/>
      <c r="J44" s="3507">
        <v>57</v>
      </c>
      <c r="K44" s="3564" t="s">
        <v>596</v>
      </c>
      <c r="L44" s="3564" t="s">
        <v>597</v>
      </c>
      <c r="M44" s="3510">
        <v>12</v>
      </c>
      <c r="N44" s="3576">
        <v>29</v>
      </c>
      <c r="O44" s="3596" t="s">
        <v>598</v>
      </c>
      <c r="P44" s="3510" t="s">
        <v>599</v>
      </c>
      <c r="Q44" s="3564" t="s">
        <v>600</v>
      </c>
      <c r="R44" s="3599">
        <f>(W44+W45+W46+W47+W48)/S44</f>
        <v>0.21473347171373725</v>
      </c>
      <c r="S44" s="3513">
        <f>SUM(W44:W63)</f>
        <v>20985340781</v>
      </c>
      <c r="T44" s="3564" t="s">
        <v>601</v>
      </c>
      <c r="U44" s="3566" t="s">
        <v>602</v>
      </c>
      <c r="V44" s="950" t="s">
        <v>603</v>
      </c>
      <c r="W44" s="947">
        <v>174840000</v>
      </c>
      <c r="X44" s="947">
        <v>75000000</v>
      </c>
      <c r="Y44" s="947">
        <v>0</v>
      </c>
      <c r="Z44" s="1011" t="s">
        <v>513</v>
      </c>
      <c r="AA44" s="1012" t="s">
        <v>654</v>
      </c>
      <c r="AB44" s="3590">
        <v>294321</v>
      </c>
      <c r="AC44" s="3590">
        <f>AB44*$BJ44</f>
        <v>196558.10812713945</v>
      </c>
      <c r="AD44" s="3590">
        <v>283947</v>
      </c>
      <c r="AE44" s="3590">
        <f>AD44*$BJ44</f>
        <v>189629.97926881487</v>
      </c>
      <c r="AF44" s="3590">
        <v>135754</v>
      </c>
      <c r="AG44" s="3590">
        <f>AF44*$BJ44</f>
        <v>90661.384714959815</v>
      </c>
      <c r="AH44" s="3590">
        <v>44640</v>
      </c>
      <c r="AI44" s="3590">
        <f>AH44*$BJ44</f>
        <v>29812.191270060597</v>
      </c>
      <c r="AJ44" s="3590">
        <v>308178</v>
      </c>
      <c r="AK44" s="3590">
        <f>AJ44*$BJ44</f>
        <v>205812.30916722075</v>
      </c>
      <c r="AL44" s="3590">
        <v>89696</v>
      </c>
      <c r="AM44" s="3590">
        <f>AL44*$BJ44</f>
        <v>59902.20224371316</v>
      </c>
      <c r="AN44" s="3590">
        <v>2145</v>
      </c>
      <c r="AO44" s="3590">
        <f>AN44*$BJ44</f>
        <v>1432.507846646057</v>
      </c>
      <c r="AP44" s="3590">
        <v>12178</v>
      </c>
      <c r="AQ44" s="3590">
        <f>AP44*$BJ44</f>
        <v>8132.9046883243273</v>
      </c>
      <c r="AR44" s="3590">
        <v>26</v>
      </c>
      <c r="AS44" s="3590">
        <f>AR44*$BJ44</f>
        <v>17.363731474497659</v>
      </c>
      <c r="AT44" s="3590">
        <v>37</v>
      </c>
      <c r="AU44" s="3590">
        <f>AT44*$BJ44</f>
        <v>24.709925559862054</v>
      </c>
      <c r="AV44" s="3590">
        <v>0</v>
      </c>
      <c r="AW44" s="3590">
        <f>AV44*$BJ44</f>
        <v>0</v>
      </c>
      <c r="AX44" s="3590">
        <v>0</v>
      </c>
      <c r="AY44" s="3590">
        <f>AX44*$BJ44</f>
        <v>0</v>
      </c>
      <c r="AZ44" s="3596">
        <v>54612</v>
      </c>
      <c r="BA44" s="3590">
        <f>AZ44*$BJ44</f>
        <v>36471.850126356396</v>
      </c>
      <c r="BB44" s="3596">
        <v>21944</v>
      </c>
      <c r="BC44" s="3590">
        <f>BB44*$BJ44</f>
        <v>14654.989364476025</v>
      </c>
      <c r="BD44" s="3604">
        <v>1010</v>
      </c>
      <c r="BE44" s="3590">
        <f>BD44*$BJ44</f>
        <v>674.51418420163986</v>
      </c>
      <c r="BF44" s="3604">
        <v>578268</v>
      </c>
      <c r="BG44" s="3604">
        <v>92</v>
      </c>
      <c r="BH44" s="3570">
        <f>X44+X45+X46+X47+X48+X49+X50+X51+X52+X53+X54+X55+X56+X57+X58+X59+X60+X61+X62+X63</f>
        <v>1910929828</v>
      </c>
      <c r="BI44" s="3570">
        <f>Y44+Y45+Y46+Y47+Y48+Y49+Y50+Y51+Y52+Y53+Y54+Y55+Y56+Y57+Y58+Y59+Y60+Y61+Y62+Y63</f>
        <v>1276187400</v>
      </c>
      <c r="BJ44" s="3611">
        <f>BI44/BH44</f>
        <v>0.66783582594221769</v>
      </c>
      <c r="BK44" s="3604" t="s">
        <v>604</v>
      </c>
      <c r="BL44" s="3604" t="s">
        <v>605</v>
      </c>
      <c r="BM44" s="3574">
        <v>43466</v>
      </c>
      <c r="BN44" s="3574">
        <v>43466</v>
      </c>
      <c r="BO44" s="3574">
        <v>43830</v>
      </c>
      <c r="BP44" s="3574">
        <v>43830</v>
      </c>
      <c r="BQ44" s="3604" t="s">
        <v>518</v>
      </c>
    </row>
    <row r="45" spans="1:69" ht="75" customHeight="1" x14ac:dyDescent="0.2">
      <c r="A45" s="1004"/>
      <c r="B45" s="1005"/>
      <c r="C45" s="1006"/>
      <c r="D45" s="3559"/>
      <c r="E45" s="3560"/>
      <c r="F45" s="3560"/>
      <c r="G45" s="3504"/>
      <c r="H45" s="3504"/>
      <c r="I45" s="3504"/>
      <c r="J45" s="3508"/>
      <c r="K45" s="3565"/>
      <c r="L45" s="3565"/>
      <c r="M45" s="3511"/>
      <c r="N45" s="3576"/>
      <c r="O45" s="3597"/>
      <c r="P45" s="3511"/>
      <c r="Q45" s="3565"/>
      <c r="R45" s="3600"/>
      <c r="S45" s="3514"/>
      <c r="T45" s="3565"/>
      <c r="U45" s="3567"/>
      <c r="V45" s="950" t="s">
        <v>606</v>
      </c>
      <c r="W45" s="947">
        <v>1025160000</v>
      </c>
      <c r="X45" s="681">
        <f>153339300+280335300</f>
        <v>433674600</v>
      </c>
      <c r="Y45" s="681">
        <f>138781700+280335300</f>
        <v>419117000</v>
      </c>
      <c r="Z45" s="1011" t="s">
        <v>513</v>
      </c>
      <c r="AA45" s="1012" t="s">
        <v>654</v>
      </c>
      <c r="AB45" s="3591"/>
      <c r="AC45" s="3591"/>
      <c r="AD45" s="3591"/>
      <c r="AE45" s="3591"/>
      <c r="AF45" s="3591"/>
      <c r="AG45" s="3591"/>
      <c r="AH45" s="3591"/>
      <c r="AI45" s="3591"/>
      <c r="AJ45" s="3591"/>
      <c r="AK45" s="3591"/>
      <c r="AL45" s="3591"/>
      <c r="AM45" s="3591"/>
      <c r="AN45" s="3591"/>
      <c r="AO45" s="3591"/>
      <c r="AP45" s="3591"/>
      <c r="AQ45" s="3591"/>
      <c r="AR45" s="3591"/>
      <c r="AS45" s="3591"/>
      <c r="AT45" s="3591"/>
      <c r="AU45" s="3591"/>
      <c r="AV45" s="3591"/>
      <c r="AW45" s="3591"/>
      <c r="AX45" s="3591"/>
      <c r="AY45" s="3591"/>
      <c r="AZ45" s="3597"/>
      <c r="BA45" s="3591"/>
      <c r="BB45" s="3597"/>
      <c r="BC45" s="3591"/>
      <c r="BD45" s="3605"/>
      <c r="BE45" s="3591"/>
      <c r="BF45" s="3605"/>
      <c r="BG45" s="3605"/>
      <c r="BH45" s="3571"/>
      <c r="BI45" s="3571"/>
      <c r="BJ45" s="3612"/>
      <c r="BK45" s="3605"/>
      <c r="BL45" s="3605"/>
      <c r="BM45" s="3575"/>
      <c r="BN45" s="3575"/>
      <c r="BO45" s="3575"/>
      <c r="BP45" s="3575"/>
      <c r="BQ45" s="3605"/>
    </row>
    <row r="46" spans="1:69" ht="75" customHeight="1" x14ac:dyDescent="0.2">
      <c r="A46" s="1004"/>
      <c r="B46" s="1005"/>
      <c r="C46" s="1006"/>
      <c r="D46" s="3559"/>
      <c r="E46" s="3560"/>
      <c r="F46" s="3560"/>
      <c r="G46" s="3504"/>
      <c r="H46" s="3504"/>
      <c r="I46" s="3504"/>
      <c r="J46" s="3508"/>
      <c r="K46" s="3565"/>
      <c r="L46" s="3565"/>
      <c r="M46" s="3511"/>
      <c r="N46" s="3576"/>
      <c r="O46" s="3597"/>
      <c r="P46" s="3511"/>
      <c r="Q46" s="3565"/>
      <c r="R46" s="3600"/>
      <c r="S46" s="3514"/>
      <c r="T46" s="3565"/>
      <c r="U46" s="3567"/>
      <c r="V46" s="3606" t="s">
        <v>607</v>
      </c>
      <c r="W46" s="947">
        <v>1500000000</v>
      </c>
      <c r="X46" s="947"/>
      <c r="Y46" s="947"/>
      <c r="Z46" s="1011" t="s">
        <v>513</v>
      </c>
      <c r="AA46" s="1012" t="s">
        <v>654</v>
      </c>
      <c r="AB46" s="3591"/>
      <c r="AC46" s="3591"/>
      <c r="AD46" s="3591"/>
      <c r="AE46" s="3591"/>
      <c r="AF46" s="3591"/>
      <c r="AG46" s="3591"/>
      <c r="AH46" s="3591"/>
      <c r="AI46" s="3591"/>
      <c r="AJ46" s="3591"/>
      <c r="AK46" s="3591"/>
      <c r="AL46" s="3591"/>
      <c r="AM46" s="3591"/>
      <c r="AN46" s="3591"/>
      <c r="AO46" s="3591"/>
      <c r="AP46" s="3591"/>
      <c r="AQ46" s="3591"/>
      <c r="AR46" s="3591"/>
      <c r="AS46" s="3591"/>
      <c r="AT46" s="3591"/>
      <c r="AU46" s="3591"/>
      <c r="AV46" s="3591"/>
      <c r="AW46" s="3591"/>
      <c r="AX46" s="3591"/>
      <c r="AY46" s="3591"/>
      <c r="AZ46" s="3597"/>
      <c r="BA46" s="3591"/>
      <c r="BB46" s="3597"/>
      <c r="BC46" s="3591"/>
      <c r="BD46" s="3605"/>
      <c r="BE46" s="3591"/>
      <c r="BF46" s="3605"/>
      <c r="BG46" s="3605"/>
      <c r="BH46" s="3571"/>
      <c r="BI46" s="3571"/>
      <c r="BJ46" s="3612"/>
      <c r="BK46" s="3605"/>
      <c r="BL46" s="3605"/>
      <c r="BM46" s="3575"/>
      <c r="BN46" s="3575"/>
      <c r="BO46" s="3575"/>
      <c r="BP46" s="3575"/>
      <c r="BQ46" s="3605"/>
    </row>
    <row r="47" spans="1:69" ht="75" customHeight="1" x14ac:dyDescent="0.2">
      <c r="A47" s="1004"/>
      <c r="B47" s="1005"/>
      <c r="C47" s="1006"/>
      <c r="D47" s="3559"/>
      <c r="E47" s="3560"/>
      <c r="F47" s="3560"/>
      <c r="G47" s="3504"/>
      <c r="H47" s="3504"/>
      <c r="I47" s="3504"/>
      <c r="J47" s="3508"/>
      <c r="K47" s="3565"/>
      <c r="L47" s="3565"/>
      <c r="M47" s="3511"/>
      <c r="N47" s="3576"/>
      <c r="O47" s="3597"/>
      <c r="P47" s="3511"/>
      <c r="Q47" s="3565"/>
      <c r="R47" s="3600"/>
      <c r="S47" s="3514"/>
      <c r="T47" s="3565"/>
      <c r="U47" s="3567"/>
      <c r="V47" s="3607"/>
      <c r="W47" s="947">
        <v>1706255081</v>
      </c>
      <c r="X47" s="947">
        <v>300900151</v>
      </c>
      <c r="Y47" s="947">
        <v>200724665</v>
      </c>
      <c r="Z47" s="1011" t="s">
        <v>521</v>
      </c>
      <c r="AA47" s="1012" t="s">
        <v>655</v>
      </c>
      <c r="AB47" s="3591"/>
      <c r="AC47" s="3591"/>
      <c r="AD47" s="3591"/>
      <c r="AE47" s="3591"/>
      <c r="AF47" s="3591"/>
      <c r="AG47" s="3591"/>
      <c r="AH47" s="3591"/>
      <c r="AI47" s="3591"/>
      <c r="AJ47" s="3591"/>
      <c r="AK47" s="3591"/>
      <c r="AL47" s="3591"/>
      <c r="AM47" s="3591"/>
      <c r="AN47" s="3591"/>
      <c r="AO47" s="3591"/>
      <c r="AP47" s="3591"/>
      <c r="AQ47" s="3591"/>
      <c r="AR47" s="3591"/>
      <c r="AS47" s="3591"/>
      <c r="AT47" s="3591"/>
      <c r="AU47" s="3591"/>
      <c r="AV47" s="3591"/>
      <c r="AW47" s="3591"/>
      <c r="AX47" s="3591"/>
      <c r="AY47" s="3591"/>
      <c r="AZ47" s="3597"/>
      <c r="BA47" s="3591"/>
      <c r="BB47" s="3597"/>
      <c r="BC47" s="3591"/>
      <c r="BD47" s="3605"/>
      <c r="BE47" s="3591"/>
      <c r="BF47" s="3605"/>
      <c r="BG47" s="3605"/>
      <c r="BH47" s="3571"/>
      <c r="BI47" s="3571"/>
      <c r="BJ47" s="3612"/>
      <c r="BK47" s="3605"/>
      <c r="BL47" s="3605"/>
      <c r="BM47" s="3575"/>
      <c r="BN47" s="3575"/>
      <c r="BO47" s="3575"/>
      <c r="BP47" s="3575"/>
      <c r="BQ47" s="3605"/>
    </row>
    <row r="48" spans="1:69" ht="75" customHeight="1" x14ac:dyDescent="0.2">
      <c r="A48" s="1004"/>
      <c r="B48" s="1005"/>
      <c r="C48" s="1006"/>
      <c r="D48" s="3559"/>
      <c r="E48" s="3560"/>
      <c r="F48" s="3560"/>
      <c r="G48" s="3504"/>
      <c r="H48" s="3504"/>
      <c r="I48" s="3504"/>
      <c r="J48" s="3508"/>
      <c r="K48" s="3565"/>
      <c r="L48" s="3565"/>
      <c r="M48" s="3511"/>
      <c r="N48" s="3576"/>
      <c r="O48" s="3597"/>
      <c r="P48" s="3511"/>
      <c r="Q48" s="3565"/>
      <c r="R48" s="3600"/>
      <c r="S48" s="3514"/>
      <c r="T48" s="3565"/>
      <c r="U48" s="3567"/>
      <c r="V48" s="950" t="s">
        <v>608</v>
      </c>
      <c r="W48" s="947">
        <v>100000000</v>
      </c>
      <c r="X48" s="947">
        <v>0</v>
      </c>
      <c r="Y48" s="947">
        <v>0</v>
      </c>
      <c r="Z48" s="1011" t="s">
        <v>513</v>
      </c>
      <c r="AA48" s="1012" t="s">
        <v>654</v>
      </c>
      <c r="AB48" s="3591"/>
      <c r="AC48" s="3591"/>
      <c r="AD48" s="3591"/>
      <c r="AE48" s="3591"/>
      <c r="AF48" s="3591"/>
      <c r="AG48" s="3591"/>
      <c r="AH48" s="3591"/>
      <c r="AI48" s="3591"/>
      <c r="AJ48" s="3591"/>
      <c r="AK48" s="3591"/>
      <c r="AL48" s="3591"/>
      <c r="AM48" s="3591"/>
      <c r="AN48" s="3591"/>
      <c r="AO48" s="3591"/>
      <c r="AP48" s="3591"/>
      <c r="AQ48" s="3591"/>
      <c r="AR48" s="3591"/>
      <c r="AS48" s="3591"/>
      <c r="AT48" s="3591"/>
      <c r="AU48" s="3591"/>
      <c r="AV48" s="3591"/>
      <c r="AW48" s="3591"/>
      <c r="AX48" s="3591"/>
      <c r="AY48" s="3591"/>
      <c r="AZ48" s="3597"/>
      <c r="BA48" s="3591"/>
      <c r="BB48" s="3597"/>
      <c r="BC48" s="3591"/>
      <c r="BD48" s="3605"/>
      <c r="BE48" s="3591"/>
      <c r="BF48" s="3605"/>
      <c r="BG48" s="3605"/>
      <c r="BH48" s="3571"/>
      <c r="BI48" s="3571"/>
      <c r="BJ48" s="3612"/>
      <c r="BK48" s="3605"/>
      <c r="BL48" s="3605"/>
      <c r="BM48" s="3575"/>
      <c r="BN48" s="3575"/>
      <c r="BO48" s="3575"/>
      <c r="BP48" s="3575"/>
      <c r="BQ48" s="3605"/>
    </row>
    <row r="49" spans="1:69" ht="75" customHeight="1" x14ac:dyDescent="0.2">
      <c r="A49" s="1014"/>
      <c r="B49" s="1015"/>
      <c r="C49" s="1016"/>
      <c r="D49" s="3559"/>
      <c r="E49" s="3560"/>
      <c r="F49" s="3560"/>
      <c r="G49" s="3504"/>
      <c r="H49" s="3504"/>
      <c r="I49" s="3504"/>
      <c r="J49" s="3507">
        <v>58</v>
      </c>
      <c r="K49" s="2873" t="s">
        <v>609</v>
      </c>
      <c r="L49" s="2873" t="s">
        <v>610</v>
      </c>
      <c r="M49" s="3596">
        <v>1</v>
      </c>
      <c r="N49" s="3576">
        <v>0</v>
      </c>
      <c r="O49" s="3597"/>
      <c r="P49" s="3511"/>
      <c r="Q49" s="3567"/>
      <c r="R49" s="3608">
        <f>(W49+W50)/S44</f>
        <v>0.23739549507390009</v>
      </c>
      <c r="S49" s="3601"/>
      <c r="T49" s="3565"/>
      <c r="U49" s="3567"/>
      <c r="V49" s="901" t="s">
        <v>611</v>
      </c>
      <c r="W49" s="1017">
        <v>4181825364</v>
      </c>
      <c r="X49" s="947">
        <v>0</v>
      </c>
      <c r="Y49" s="947">
        <v>0</v>
      </c>
      <c r="Z49" s="1018">
        <v>46</v>
      </c>
      <c r="AA49" s="992" t="s">
        <v>652</v>
      </c>
      <c r="AB49" s="3591"/>
      <c r="AC49" s="3591"/>
      <c r="AD49" s="3591"/>
      <c r="AE49" s="3591"/>
      <c r="AF49" s="3591"/>
      <c r="AG49" s="3591"/>
      <c r="AH49" s="3591"/>
      <c r="AI49" s="3591"/>
      <c r="AJ49" s="3591"/>
      <c r="AK49" s="3591"/>
      <c r="AL49" s="3591"/>
      <c r="AM49" s="3591"/>
      <c r="AN49" s="3591"/>
      <c r="AO49" s="3591"/>
      <c r="AP49" s="3591"/>
      <c r="AQ49" s="3591"/>
      <c r="AR49" s="3591"/>
      <c r="AS49" s="3591"/>
      <c r="AT49" s="3591"/>
      <c r="AU49" s="3591"/>
      <c r="AV49" s="3591"/>
      <c r="AW49" s="3591"/>
      <c r="AX49" s="3591"/>
      <c r="AY49" s="3591"/>
      <c r="AZ49" s="3597"/>
      <c r="BA49" s="3591"/>
      <c r="BB49" s="3597"/>
      <c r="BC49" s="3591"/>
      <c r="BD49" s="3605"/>
      <c r="BE49" s="3591"/>
      <c r="BF49" s="3605"/>
      <c r="BG49" s="3605"/>
      <c r="BH49" s="3571"/>
      <c r="BI49" s="3571"/>
      <c r="BJ49" s="3612"/>
      <c r="BK49" s="3605"/>
      <c r="BL49" s="3605"/>
      <c r="BM49" s="3575"/>
      <c r="BN49" s="3575"/>
      <c r="BO49" s="3575"/>
      <c r="BP49" s="3575"/>
      <c r="BQ49" s="3605"/>
    </row>
    <row r="50" spans="1:69" ht="75" customHeight="1" x14ac:dyDescent="0.2">
      <c r="A50" s="1014"/>
      <c r="B50" s="1015"/>
      <c r="C50" s="1016"/>
      <c r="D50" s="3559"/>
      <c r="E50" s="3560"/>
      <c r="F50" s="3560"/>
      <c r="G50" s="3504"/>
      <c r="H50" s="3504"/>
      <c r="I50" s="3504"/>
      <c r="J50" s="3508"/>
      <c r="K50" s="3584"/>
      <c r="L50" s="3584"/>
      <c r="M50" s="3597"/>
      <c r="N50" s="3576"/>
      <c r="O50" s="3597"/>
      <c r="P50" s="3511"/>
      <c r="Q50" s="3567"/>
      <c r="R50" s="3609"/>
      <c r="S50" s="3601"/>
      <c r="T50" s="3565"/>
      <c r="U50" s="3567"/>
      <c r="V50" s="901" t="s">
        <v>612</v>
      </c>
      <c r="W50" s="947">
        <v>800000000</v>
      </c>
      <c r="X50" s="947"/>
      <c r="Y50" s="947"/>
      <c r="Z50" s="1018">
        <v>46</v>
      </c>
      <c r="AA50" s="992" t="s">
        <v>652</v>
      </c>
      <c r="AB50" s="3591"/>
      <c r="AC50" s="3591"/>
      <c r="AD50" s="3591"/>
      <c r="AE50" s="3591"/>
      <c r="AF50" s="3591"/>
      <c r="AG50" s="3591"/>
      <c r="AH50" s="3591"/>
      <c r="AI50" s="3591"/>
      <c r="AJ50" s="3591"/>
      <c r="AK50" s="3591"/>
      <c r="AL50" s="3591"/>
      <c r="AM50" s="3591"/>
      <c r="AN50" s="3591"/>
      <c r="AO50" s="3591"/>
      <c r="AP50" s="3591"/>
      <c r="AQ50" s="3591"/>
      <c r="AR50" s="3591"/>
      <c r="AS50" s="3591"/>
      <c r="AT50" s="3591"/>
      <c r="AU50" s="3591"/>
      <c r="AV50" s="3591"/>
      <c r="AW50" s="3591"/>
      <c r="AX50" s="3591"/>
      <c r="AY50" s="3591"/>
      <c r="AZ50" s="3597"/>
      <c r="BA50" s="3591"/>
      <c r="BB50" s="3597"/>
      <c r="BC50" s="3591"/>
      <c r="BD50" s="3605"/>
      <c r="BE50" s="3591"/>
      <c r="BF50" s="3605"/>
      <c r="BG50" s="3605"/>
      <c r="BH50" s="3571"/>
      <c r="BI50" s="3571"/>
      <c r="BJ50" s="3612"/>
      <c r="BK50" s="3605"/>
      <c r="BL50" s="3605"/>
      <c r="BM50" s="3575"/>
      <c r="BN50" s="3575"/>
      <c r="BO50" s="3575"/>
      <c r="BP50" s="3575"/>
      <c r="BQ50" s="3605"/>
    </row>
    <row r="51" spans="1:69" ht="75" customHeight="1" x14ac:dyDescent="0.2">
      <c r="A51" s="1014"/>
      <c r="B51" s="1015"/>
      <c r="C51" s="1016"/>
      <c r="D51" s="3559"/>
      <c r="E51" s="3560"/>
      <c r="F51" s="3560"/>
      <c r="G51" s="3504"/>
      <c r="H51" s="3504"/>
      <c r="I51" s="3504"/>
      <c r="J51" s="3610">
        <v>59</v>
      </c>
      <c r="K51" s="2873" t="s">
        <v>613</v>
      </c>
      <c r="L51" s="3564" t="s">
        <v>614</v>
      </c>
      <c r="M51" s="3510">
        <v>12</v>
      </c>
      <c r="N51" s="3576">
        <v>4</v>
      </c>
      <c r="O51" s="3597"/>
      <c r="P51" s="3511"/>
      <c r="Q51" s="3567"/>
      <c r="R51" s="3602">
        <f>SUM(W51:W56)/S44</f>
        <v>0.14171441412533906</v>
      </c>
      <c r="S51" s="3601"/>
      <c r="T51" s="3565"/>
      <c r="U51" s="3567"/>
      <c r="V51" s="901" t="s">
        <v>615</v>
      </c>
      <c r="W51" s="947">
        <v>225000000</v>
      </c>
      <c r="X51" s="947">
        <v>43231100</v>
      </c>
      <c r="Y51" s="947">
        <v>0</v>
      </c>
      <c r="Z51" s="1020" t="s">
        <v>513</v>
      </c>
      <c r="AA51" s="1012" t="s">
        <v>654</v>
      </c>
      <c r="AB51" s="3591"/>
      <c r="AC51" s="3591"/>
      <c r="AD51" s="3591"/>
      <c r="AE51" s="3591"/>
      <c r="AF51" s="3591"/>
      <c r="AG51" s="3591"/>
      <c r="AH51" s="3591"/>
      <c r="AI51" s="3591"/>
      <c r="AJ51" s="3591"/>
      <c r="AK51" s="3591"/>
      <c r="AL51" s="3591"/>
      <c r="AM51" s="3591"/>
      <c r="AN51" s="3591"/>
      <c r="AO51" s="3591"/>
      <c r="AP51" s="3591"/>
      <c r="AQ51" s="3591"/>
      <c r="AR51" s="3591"/>
      <c r="AS51" s="3591"/>
      <c r="AT51" s="3591"/>
      <c r="AU51" s="3591"/>
      <c r="AV51" s="3591"/>
      <c r="AW51" s="3591"/>
      <c r="AX51" s="3591"/>
      <c r="AY51" s="3591"/>
      <c r="AZ51" s="3597"/>
      <c r="BA51" s="3591"/>
      <c r="BB51" s="3597"/>
      <c r="BC51" s="3591"/>
      <c r="BD51" s="3605"/>
      <c r="BE51" s="3591"/>
      <c r="BF51" s="3605"/>
      <c r="BG51" s="3605"/>
      <c r="BH51" s="3571"/>
      <c r="BI51" s="3571"/>
      <c r="BJ51" s="3612"/>
      <c r="BK51" s="3605"/>
      <c r="BL51" s="3605"/>
      <c r="BM51" s="3575"/>
      <c r="BN51" s="3575"/>
      <c r="BO51" s="3575"/>
      <c r="BP51" s="3575"/>
      <c r="BQ51" s="3605"/>
    </row>
    <row r="52" spans="1:69" ht="75" customHeight="1" x14ac:dyDescent="0.2">
      <c r="A52" s="1014"/>
      <c r="B52" s="1015"/>
      <c r="C52" s="1016"/>
      <c r="D52" s="3559"/>
      <c r="E52" s="3560"/>
      <c r="F52" s="3560"/>
      <c r="G52" s="3504"/>
      <c r="H52" s="3504"/>
      <c r="I52" s="3504"/>
      <c r="J52" s="3586"/>
      <c r="K52" s="3584"/>
      <c r="L52" s="3565"/>
      <c r="M52" s="3511"/>
      <c r="N52" s="3576"/>
      <c r="O52" s="3597"/>
      <c r="P52" s="3511"/>
      <c r="Q52" s="3567"/>
      <c r="R52" s="3602"/>
      <c r="S52" s="3601"/>
      <c r="T52" s="3565"/>
      <c r="U52" s="3567"/>
      <c r="V52" s="3594" t="s">
        <v>616</v>
      </c>
      <c r="W52" s="947">
        <v>383410000</v>
      </c>
      <c r="X52" s="681">
        <f>383410000-280335300</f>
        <v>103074700</v>
      </c>
      <c r="Y52" s="681">
        <f>383410000-280335300</f>
        <v>103074700</v>
      </c>
      <c r="Z52" s="1020" t="s">
        <v>513</v>
      </c>
      <c r="AA52" s="1012" t="s">
        <v>654</v>
      </c>
      <c r="AB52" s="3591"/>
      <c r="AC52" s="3591"/>
      <c r="AD52" s="3591"/>
      <c r="AE52" s="3591"/>
      <c r="AF52" s="3591"/>
      <c r="AG52" s="3591"/>
      <c r="AH52" s="3591"/>
      <c r="AI52" s="3591"/>
      <c r="AJ52" s="3591"/>
      <c r="AK52" s="3591"/>
      <c r="AL52" s="3591"/>
      <c r="AM52" s="3591"/>
      <c r="AN52" s="3591"/>
      <c r="AO52" s="3591"/>
      <c r="AP52" s="3591"/>
      <c r="AQ52" s="3591"/>
      <c r="AR52" s="3591"/>
      <c r="AS52" s="3591"/>
      <c r="AT52" s="3591"/>
      <c r="AU52" s="3591"/>
      <c r="AV52" s="3591"/>
      <c r="AW52" s="3591"/>
      <c r="AX52" s="3591"/>
      <c r="AY52" s="3591"/>
      <c r="AZ52" s="3597"/>
      <c r="BA52" s="3591"/>
      <c r="BB52" s="3597"/>
      <c r="BC52" s="3591"/>
      <c r="BD52" s="3605"/>
      <c r="BE52" s="3591"/>
      <c r="BF52" s="3605"/>
      <c r="BG52" s="3605"/>
      <c r="BH52" s="3571"/>
      <c r="BI52" s="3571"/>
      <c r="BJ52" s="3612"/>
      <c r="BK52" s="3605"/>
      <c r="BL52" s="3605"/>
      <c r="BM52" s="3575"/>
      <c r="BN52" s="3575"/>
      <c r="BO52" s="3575"/>
      <c r="BP52" s="3575"/>
      <c r="BQ52" s="3605"/>
    </row>
    <row r="53" spans="1:69" ht="75" customHeight="1" x14ac:dyDescent="0.2">
      <c r="A53" s="1014"/>
      <c r="B53" s="1015"/>
      <c r="C53" s="1016"/>
      <c r="D53" s="3559"/>
      <c r="E53" s="3560"/>
      <c r="F53" s="3560"/>
      <c r="G53" s="3504"/>
      <c r="H53" s="3504"/>
      <c r="I53" s="3504"/>
      <c r="J53" s="3586"/>
      <c r="K53" s="3584"/>
      <c r="L53" s="3565"/>
      <c r="M53" s="3511"/>
      <c r="N53" s="3576"/>
      <c r="O53" s="3597"/>
      <c r="P53" s="3511"/>
      <c r="Q53" s="3567"/>
      <c r="R53" s="3602"/>
      <c r="S53" s="3601"/>
      <c r="T53" s="3565"/>
      <c r="U53" s="3567"/>
      <c r="V53" s="3595"/>
      <c r="W53" s="947">
        <v>246521300</v>
      </c>
      <c r="X53" s="947">
        <v>182032480</v>
      </c>
      <c r="Y53" s="947">
        <v>116177283</v>
      </c>
      <c r="Z53" s="1020" t="s">
        <v>521</v>
      </c>
      <c r="AA53" s="1012" t="s">
        <v>655</v>
      </c>
      <c r="AB53" s="3591"/>
      <c r="AC53" s="3591"/>
      <c r="AD53" s="3591"/>
      <c r="AE53" s="3591"/>
      <c r="AF53" s="3591"/>
      <c r="AG53" s="3591"/>
      <c r="AH53" s="3591"/>
      <c r="AI53" s="3591"/>
      <c r="AJ53" s="3591"/>
      <c r="AK53" s="3591"/>
      <c r="AL53" s="3591"/>
      <c r="AM53" s="3591"/>
      <c r="AN53" s="3591"/>
      <c r="AO53" s="3591"/>
      <c r="AP53" s="3591"/>
      <c r="AQ53" s="3591"/>
      <c r="AR53" s="3591"/>
      <c r="AS53" s="3591"/>
      <c r="AT53" s="3591"/>
      <c r="AU53" s="3591"/>
      <c r="AV53" s="3591"/>
      <c r="AW53" s="3591"/>
      <c r="AX53" s="3591"/>
      <c r="AY53" s="3591"/>
      <c r="AZ53" s="3597"/>
      <c r="BA53" s="3591"/>
      <c r="BB53" s="3597"/>
      <c r="BC53" s="3591"/>
      <c r="BD53" s="3605"/>
      <c r="BE53" s="3591"/>
      <c r="BF53" s="3605"/>
      <c r="BG53" s="3605"/>
      <c r="BH53" s="3571"/>
      <c r="BI53" s="3571"/>
      <c r="BJ53" s="3612"/>
      <c r="BK53" s="3605"/>
      <c r="BL53" s="3605"/>
      <c r="BM53" s="3575"/>
      <c r="BN53" s="3575"/>
      <c r="BO53" s="3575"/>
      <c r="BP53" s="3575"/>
      <c r="BQ53" s="3605"/>
    </row>
    <row r="54" spans="1:69" ht="75" customHeight="1" x14ac:dyDescent="0.2">
      <c r="A54" s="1014"/>
      <c r="B54" s="1015"/>
      <c r="C54" s="1016"/>
      <c r="D54" s="3559"/>
      <c r="E54" s="3560"/>
      <c r="F54" s="3560"/>
      <c r="G54" s="3504"/>
      <c r="H54" s="3504"/>
      <c r="I54" s="3504"/>
      <c r="J54" s="3586"/>
      <c r="K54" s="3584"/>
      <c r="L54" s="3565"/>
      <c r="M54" s="3511"/>
      <c r="N54" s="3576"/>
      <c r="O54" s="3597"/>
      <c r="P54" s="3511"/>
      <c r="Q54" s="3567"/>
      <c r="R54" s="3602"/>
      <c r="S54" s="3601"/>
      <c r="T54" s="3565"/>
      <c r="U54" s="3567"/>
      <c r="V54" s="3525" t="s">
        <v>617</v>
      </c>
      <c r="W54" s="947">
        <v>2018993974</v>
      </c>
      <c r="X54" s="947">
        <v>92828583</v>
      </c>
      <c r="Y54" s="947">
        <v>76426583</v>
      </c>
      <c r="Z54" s="1020" t="s">
        <v>513</v>
      </c>
      <c r="AA54" s="1012" t="s">
        <v>654</v>
      </c>
      <c r="AB54" s="3591"/>
      <c r="AC54" s="3591"/>
      <c r="AD54" s="3591"/>
      <c r="AE54" s="3591"/>
      <c r="AF54" s="3591"/>
      <c r="AG54" s="3591"/>
      <c r="AH54" s="3591"/>
      <c r="AI54" s="3591"/>
      <c r="AJ54" s="3591"/>
      <c r="AK54" s="3591"/>
      <c r="AL54" s="3591"/>
      <c r="AM54" s="3591"/>
      <c r="AN54" s="3591"/>
      <c r="AO54" s="3591"/>
      <c r="AP54" s="3591"/>
      <c r="AQ54" s="3591"/>
      <c r="AR54" s="3591"/>
      <c r="AS54" s="3591"/>
      <c r="AT54" s="3591"/>
      <c r="AU54" s="3591"/>
      <c r="AV54" s="3591"/>
      <c r="AW54" s="3591"/>
      <c r="AX54" s="3591"/>
      <c r="AY54" s="3591"/>
      <c r="AZ54" s="3597"/>
      <c r="BA54" s="3591"/>
      <c r="BB54" s="3597"/>
      <c r="BC54" s="3591"/>
      <c r="BD54" s="3605"/>
      <c r="BE54" s="3591"/>
      <c r="BF54" s="3605"/>
      <c r="BG54" s="3605"/>
      <c r="BH54" s="3571"/>
      <c r="BI54" s="3571"/>
      <c r="BJ54" s="3612"/>
      <c r="BK54" s="3605"/>
      <c r="BL54" s="3605"/>
      <c r="BM54" s="3575"/>
      <c r="BN54" s="3575"/>
      <c r="BO54" s="3575"/>
      <c r="BP54" s="3575"/>
      <c r="BQ54" s="3605"/>
    </row>
    <row r="55" spans="1:69" ht="75" customHeight="1" x14ac:dyDescent="0.2">
      <c r="A55" s="1014"/>
      <c r="B55" s="1015"/>
      <c r="C55" s="1016"/>
      <c r="D55" s="3559"/>
      <c r="E55" s="3560"/>
      <c r="F55" s="3560"/>
      <c r="G55" s="3504"/>
      <c r="H55" s="3504"/>
      <c r="I55" s="3504"/>
      <c r="J55" s="3586"/>
      <c r="K55" s="3584"/>
      <c r="L55" s="3565"/>
      <c r="M55" s="3511"/>
      <c r="N55" s="3576"/>
      <c r="O55" s="3597"/>
      <c r="P55" s="3511"/>
      <c r="Q55" s="3567"/>
      <c r="R55" s="3602"/>
      <c r="S55" s="3601"/>
      <c r="T55" s="3565"/>
      <c r="U55" s="3567"/>
      <c r="V55" s="3525"/>
      <c r="W55" s="947">
        <f>600000000-600000000</f>
        <v>0</v>
      </c>
      <c r="X55" s="947">
        <v>0</v>
      </c>
      <c r="Y55" s="947">
        <v>0</v>
      </c>
      <c r="Z55" s="1018">
        <v>46</v>
      </c>
      <c r="AA55" s="992" t="s">
        <v>652</v>
      </c>
      <c r="AB55" s="3591"/>
      <c r="AC55" s="3591"/>
      <c r="AD55" s="3591"/>
      <c r="AE55" s="3591"/>
      <c r="AF55" s="3591"/>
      <c r="AG55" s="3591"/>
      <c r="AH55" s="3591"/>
      <c r="AI55" s="3591"/>
      <c r="AJ55" s="3591"/>
      <c r="AK55" s="3591"/>
      <c r="AL55" s="3591"/>
      <c r="AM55" s="3591"/>
      <c r="AN55" s="3591"/>
      <c r="AO55" s="3591"/>
      <c r="AP55" s="3591"/>
      <c r="AQ55" s="3591"/>
      <c r="AR55" s="3591"/>
      <c r="AS55" s="3591"/>
      <c r="AT55" s="3591"/>
      <c r="AU55" s="3591"/>
      <c r="AV55" s="3591"/>
      <c r="AW55" s="3591"/>
      <c r="AX55" s="3591"/>
      <c r="AY55" s="3591"/>
      <c r="AZ55" s="3597"/>
      <c r="BA55" s="3591"/>
      <c r="BB55" s="3597"/>
      <c r="BC55" s="3591"/>
      <c r="BD55" s="3605"/>
      <c r="BE55" s="3591"/>
      <c r="BF55" s="3605"/>
      <c r="BG55" s="3605"/>
      <c r="BH55" s="3571"/>
      <c r="BI55" s="3571"/>
      <c r="BJ55" s="3612"/>
      <c r="BK55" s="3605"/>
      <c r="BL55" s="3605"/>
      <c r="BM55" s="3575"/>
      <c r="BN55" s="3575"/>
      <c r="BO55" s="3575"/>
      <c r="BP55" s="3575"/>
      <c r="BQ55" s="3605"/>
    </row>
    <row r="56" spans="1:69" ht="75" customHeight="1" x14ac:dyDescent="0.2">
      <c r="A56" s="1004"/>
      <c r="B56" s="1005"/>
      <c r="C56" s="1006"/>
      <c r="D56" s="3559"/>
      <c r="E56" s="3560"/>
      <c r="F56" s="3560"/>
      <c r="G56" s="3504"/>
      <c r="H56" s="3504"/>
      <c r="I56" s="3504"/>
      <c r="J56" s="3587"/>
      <c r="K56" s="2874"/>
      <c r="L56" s="3585"/>
      <c r="M56" s="3512"/>
      <c r="N56" s="3576"/>
      <c r="O56" s="3597"/>
      <c r="P56" s="3511"/>
      <c r="Q56" s="3567"/>
      <c r="R56" s="3602"/>
      <c r="S56" s="3601"/>
      <c r="T56" s="3565"/>
      <c r="U56" s="3567"/>
      <c r="V56" s="901" t="s">
        <v>618</v>
      </c>
      <c r="W56" s="952">
        <v>100000000</v>
      </c>
      <c r="X56" s="952"/>
      <c r="Y56" s="952"/>
      <c r="Z56" s="1020" t="s">
        <v>513</v>
      </c>
      <c r="AA56" s="1012" t="s">
        <v>654</v>
      </c>
      <c r="AB56" s="3591"/>
      <c r="AC56" s="3591"/>
      <c r="AD56" s="3591"/>
      <c r="AE56" s="3591"/>
      <c r="AF56" s="3591"/>
      <c r="AG56" s="3591"/>
      <c r="AH56" s="3591"/>
      <c r="AI56" s="3591"/>
      <c r="AJ56" s="3591"/>
      <c r="AK56" s="3591"/>
      <c r="AL56" s="3591"/>
      <c r="AM56" s="3591"/>
      <c r="AN56" s="3591"/>
      <c r="AO56" s="3591"/>
      <c r="AP56" s="3591"/>
      <c r="AQ56" s="3591"/>
      <c r="AR56" s="3591"/>
      <c r="AS56" s="3591"/>
      <c r="AT56" s="3591"/>
      <c r="AU56" s="3591"/>
      <c r="AV56" s="3591"/>
      <c r="AW56" s="3591"/>
      <c r="AX56" s="3591"/>
      <c r="AY56" s="3591"/>
      <c r="AZ56" s="3597"/>
      <c r="BA56" s="3591"/>
      <c r="BB56" s="3597"/>
      <c r="BC56" s="3591"/>
      <c r="BD56" s="3605"/>
      <c r="BE56" s="3591"/>
      <c r="BF56" s="3605"/>
      <c r="BG56" s="3605"/>
      <c r="BH56" s="3571"/>
      <c r="BI56" s="3571"/>
      <c r="BJ56" s="3612"/>
      <c r="BK56" s="3605"/>
      <c r="BL56" s="3605"/>
      <c r="BM56" s="3575"/>
      <c r="BN56" s="3575"/>
      <c r="BO56" s="3575"/>
      <c r="BP56" s="3575"/>
      <c r="BQ56" s="3605"/>
    </row>
    <row r="57" spans="1:69" ht="75" customHeight="1" x14ac:dyDescent="0.2">
      <c r="A57" s="1004"/>
      <c r="B57" s="1005"/>
      <c r="C57" s="1006"/>
      <c r="D57" s="3559"/>
      <c r="E57" s="3560"/>
      <c r="F57" s="3560"/>
      <c r="G57" s="3504"/>
      <c r="H57" s="3504"/>
      <c r="I57" s="3504"/>
      <c r="J57" s="3586">
        <v>60</v>
      </c>
      <c r="K57" s="2873" t="s">
        <v>619</v>
      </c>
      <c r="L57" s="3564" t="s">
        <v>620</v>
      </c>
      <c r="M57" s="3510">
        <v>12</v>
      </c>
      <c r="N57" s="3576">
        <v>8</v>
      </c>
      <c r="O57" s="3597"/>
      <c r="P57" s="3511"/>
      <c r="Q57" s="3565"/>
      <c r="R57" s="3600">
        <f>(W57+W58+W59)/S44</f>
        <v>0.26177905683446429</v>
      </c>
      <c r="S57" s="3514"/>
      <c r="T57" s="3565"/>
      <c r="U57" s="3567"/>
      <c r="V57" s="901" t="s">
        <v>621</v>
      </c>
      <c r="W57" s="889">
        <f>224581000-224581000</f>
        <v>0</v>
      </c>
      <c r="X57" s="952">
        <v>0</v>
      </c>
      <c r="Y57" s="952">
        <v>0</v>
      </c>
      <c r="Z57" s="1021">
        <v>20</v>
      </c>
      <c r="AA57" s="1012" t="s">
        <v>656</v>
      </c>
      <c r="AB57" s="3591"/>
      <c r="AC57" s="3591"/>
      <c r="AD57" s="3591"/>
      <c r="AE57" s="3591"/>
      <c r="AF57" s="3591"/>
      <c r="AG57" s="3591"/>
      <c r="AH57" s="3591"/>
      <c r="AI57" s="3591"/>
      <c r="AJ57" s="3591"/>
      <c r="AK57" s="3591"/>
      <c r="AL57" s="3591"/>
      <c r="AM57" s="3591"/>
      <c r="AN57" s="3591"/>
      <c r="AO57" s="3591"/>
      <c r="AP57" s="3591"/>
      <c r="AQ57" s="3591"/>
      <c r="AR57" s="3591"/>
      <c r="AS57" s="3591"/>
      <c r="AT57" s="3591"/>
      <c r="AU57" s="3591"/>
      <c r="AV57" s="3591"/>
      <c r="AW57" s="3591"/>
      <c r="AX57" s="3591"/>
      <c r="AY57" s="3591"/>
      <c r="AZ57" s="3597"/>
      <c r="BA57" s="3591"/>
      <c r="BB57" s="3597"/>
      <c r="BC57" s="3591"/>
      <c r="BD57" s="3605"/>
      <c r="BE57" s="3591"/>
      <c r="BF57" s="3605"/>
      <c r="BG57" s="3605"/>
      <c r="BH57" s="3571"/>
      <c r="BI57" s="3571"/>
      <c r="BJ57" s="3612"/>
      <c r="BK57" s="3605"/>
      <c r="BL57" s="3605"/>
      <c r="BM57" s="3575"/>
      <c r="BN57" s="3575"/>
      <c r="BO57" s="3575"/>
      <c r="BP57" s="3575"/>
      <c r="BQ57" s="3605"/>
    </row>
    <row r="58" spans="1:69" ht="75" customHeight="1" x14ac:dyDescent="0.2">
      <c r="A58" s="1004"/>
      <c r="B58" s="1005"/>
      <c r="C58" s="1006"/>
      <c r="D58" s="3559"/>
      <c r="E58" s="3560"/>
      <c r="F58" s="3560"/>
      <c r="G58" s="3504"/>
      <c r="H58" s="3504"/>
      <c r="I58" s="3504"/>
      <c r="J58" s="3586"/>
      <c r="K58" s="3584"/>
      <c r="L58" s="3565"/>
      <c r="M58" s="3511"/>
      <c r="N58" s="3576"/>
      <c r="O58" s="3597"/>
      <c r="P58" s="3511"/>
      <c r="Q58" s="3565"/>
      <c r="R58" s="3600"/>
      <c r="S58" s="3514"/>
      <c r="T58" s="3565"/>
      <c r="U58" s="3567"/>
      <c r="V58" s="884" t="s">
        <v>622</v>
      </c>
      <c r="W58" s="889">
        <f>3668941717+1600000000</f>
        <v>5268941717</v>
      </c>
      <c r="X58" s="952">
        <v>381435815</v>
      </c>
      <c r="Y58" s="952">
        <v>311664693</v>
      </c>
      <c r="Z58" s="1022">
        <v>46</v>
      </c>
      <c r="AA58" s="992" t="s">
        <v>652</v>
      </c>
      <c r="AB58" s="3591"/>
      <c r="AC58" s="3591"/>
      <c r="AD58" s="3591"/>
      <c r="AE58" s="3591"/>
      <c r="AF58" s="3591"/>
      <c r="AG58" s="3591"/>
      <c r="AH58" s="3591"/>
      <c r="AI58" s="3591"/>
      <c r="AJ58" s="3591"/>
      <c r="AK58" s="3591"/>
      <c r="AL58" s="3591"/>
      <c r="AM58" s="3591"/>
      <c r="AN58" s="3591"/>
      <c r="AO58" s="3591"/>
      <c r="AP58" s="3591"/>
      <c r="AQ58" s="3591"/>
      <c r="AR58" s="3591"/>
      <c r="AS58" s="3591"/>
      <c r="AT58" s="3591"/>
      <c r="AU58" s="3591"/>
      <c r="AV58" s="3591"/>
      <c r="AW58" s="3591"/>
      <c r="AX58" s="3591"/>
      <c r="AY58" s="3591"/>
      <c r="AZ58" s="3597"/>
      <c r="BA58" s="3591"/>
      <c r="BB58" s="3597"/>
      <c r="BC58" s="3591"/>
      <c r="BD58" s="3605"/>
      <c r="BE58" s="3591"/>
      <c r="BF58" s="3605"/>
      <c r="BG58" s="3605"/>
      <c r="BH58" s="3571"/>
      <c r="BI58" s="3571"/>
      <c r="BJ58" s="3612"/>
      <c r="BK58" s="3605"/>
      <c r="BL58" s="3605"/>
      <c r="BM58" s="3575"/>
      <c r="BN58" s="3575"/>
      <c r="BO58" s="3575"/>
      <c r="BP58" s="3575"/>
      <c r="BQ58" s="3605"/>
    </row>
    <row r="59" spans="1:69" ht="75" customHeight="1" x14ac:dyDescent="0.2">
      <c r="A59" s="1004"/>
      <c r="B59" s="1005"/>
      <c r="C59" s="1006"/>
      <c r="D59" s="3559"/>
      <c r="E59" s="3560"/>
      <c r="F59" s="3560"/>
      <c r="G59" s="3504"/>
      <c r="H59" s="3504"/>
      <c r="I59" s="3504"/>
      <c r="J59" s="3587"/>
      <c r="K59" s="2874"/>
      <c r="L59" s="3585"/>
      <c r="M59" s="3512"/>
      <c r="N59" s="3576"/>
      <c r="O59" s="3597"/>
      <c r="P59" s="3511"/>
      <c r="Q59" s="3565"/>
      <c r="R59" s="3603"/>
      <c r="S59" s="3514"/>
      <c r="T59" s="3565"/>
      <c r="U59" s="3567"/>
      <c r="V59" s="1023" t="s">
        <v>623</v>
      </c>
      <c r="W59" s="892">
        <f>0+224581000</f>
        <v>224581000</v>
      </c>
      <c r="X59" s="952">
        <v>28796666</v>
      </c>
      <c r="Y59" s="952">
        <v>1802000</v>
      </c>
      <c r="Z59" s="400">
        <v>20</v>
      </c>
      <c r="AA59" s="1012" t="s">
        <v>656</v>
      </c>
      <c r="AB59" s="3592"/>
      <c r="AC59" s="3592"/>
      <c r="AD59" s="3591"/>
      <c r="AE59" s="3592"/>
      <c r="AF59" s="3591"/>
      <c r="AG59" s="3592"/>
      <c r="AH59" s="3591"/>
      <c r="AI59" s="3592"/>
      <c r="AJ59" s="3591"/>
      <c r="AK59" s="3592"/>
      <c r="AL59" s="3591"/>
      <c r="AM59" s="3592"/>
      <c r="AN59" s="3591"/>
      <c r="AO59" s="3592"/>
      <c r="AP59" s="3591"/>
      <c r="AQ59" s="3592"/>
      <c r="AR59" s="3591"/>
      <c r="AS59" s="3592"/>
      <c r="AT59" s="3591"/>
      <c r="AU59" s="3592"/>
      <c r="AV59" s="3591"/>
      <c r="AW59" s="3592"/>
      <c r="AX59" s="3591"/>
      <c r="AY59" s="3592"/>
      <c r="AZ59" s="3597"/>
      <c r="BA59" s="3592"/>
      <c r="BB59" s="3597"/>
      <c r="BC59" s="3592"/>
      <c r="BD59" s="3605"/>
      <c r="BE59" s="3592"/>
      <c r="BF59" s="3605"/>
      <c r="BG59" s="3605"/>
      <c r="BH59" s="3571"/>
      <c r="BI59" s="3571"/>
      <c r="BJ59" s="3612"/>
      <c r="BK59" s="3605"/>
      <c r="BL59" s="3605"/>
      <c r="BM59" s="3575"/>
      <c r="BN59" s="3575"/>
      <c r="BO59" s="3575"/>
      <c r="BP59" s="3575"/>
      <c r="BQ59" s="3605"/>
    </row>
    <row r="60" spans="1:69" ht="75" customHeight="1" x14ac:dyDescent="0.2">
      <c r="A60" s="1004"/>
      <c r="B60" s="1005"/>
      <c r="C60" s="1006"/>
      <c r="D60" s="3559"/>
      <c r="E60" s="3560"/>
      <c r="F60" s="3560"/>
      <c r="G60" s="3504"/>
      <c r="H60" s="3504"/>
      <c r="I60" s="3504"/>
      <c r="J60" s="3588">
        <v>62</v>
      </c>
      <c r="K60" s="3564" t="s">
        <v>624</v>
      </c>
      <c r="L60" s="3564" t="s">
        <v>625</v>
      </c>
      <c r="M60" s="3510">
        <v>2</v>
      </c>
      <c r="N60" s="3576">
        <v>4</v>
      </c>
      <c r="O60" s="3597"/>
      <c r="P60" s="3511"/>
      <c r="Q60" s="3565"/>
      <c r="R60" s="3599">
        <f>SUM(W60:W61)/S44</f>
        <v>4.765231169871656E-2</v>
      </c>
      <c r="S60" s="3514"/>
      <c r="T60" s="3565"/>
      <c r="U60" s="3567"/>
      <c r="V60" s="885" t="s">
        <v>626</v>
      </c>
      <c r="W60" s="892">
        <f>820000000+180000000</f>
        <v>1000000000</v>
      </c>
      <c r="X60" s="893">
        <v>269955733</v>
      </c>
      <c r="Y60" s="893">
        <v>47200476</v>
      </c>
      <c r="Z60" s="1024">
        <v>46</v>
      </c>
      <c r="AA60" s="992" t="s">
        <v>652</v>
      </c>
      <c r="AB60" s="3591"/>
      <c r="AC60" s="3591"/>
      <c r="AD60" s="3591"/>
      <c r="AE60" s="3591"/>
      <c r="AF60" s="3591"/>
      <c r="AG60" s="3591"/>
      <c r="AH60" s="3591"/>
      <c r="AI60" s="3591"/>
      <c r="AJ60" s="3591"/>
      <c r="AK60" s="3591"/>
      <c r="AL60" s="3591"/>
      <c r="AM60" s="3591"/>
      <c r="AN60" s="3591"/>
      <c r="AO60" s="3591"/>
      <c r="AP60" s="3591"/>
      <c r="AQ60" s="3591"/>
      <c r="AR60" s="3591"/>
      <c r="AS60" s="3591"/>
      <c r="AT60" s="3591"/>
      <c r="AU60" s="3591"/>
      <c r="AV60" s="3591"/>
      <c r="AW60" s="3591"/>
      <c r="AX60" s="3591"/>
      <c r="AY60" s="3591"/>
      <c r="AZ60" s="3597"/>
      <c r="BA60" s="3591"/>
      <c r="BB60" s="3597"/>
      <c r="BC60" s="3591"/>
      <c r="BD60" s="3605"/>
      <c r="BE60" s="3591"/>
      <c r="BF60" s="3605"/>
      <c r="BG60" s="3605"/>
      <c r="BH60" s="3571"/>
      <c r="BI60" s="3571"/>
      <c r="BJ60" s="3612"/>
      <c r="BK60" s="3605"/>
      <c r="BL60" s="3605"/>
      <c r="BM60" s="3575"/>
      <c r="BN60" s="3575"/>
      <c r="BO60" s="3575"/>
      <c r="BP60" s="3575"/>
      <c r="BQ60" s="3605"/>
    </row>
    <row r="61" spans="1:69" ht="102.75" customHeight="1" x14ac:dyDescent="0.2">
      <c r="A61" s="1004"/>
      <c r="B61" s="1005"/>
      <c r="C61" s="1006"/>
      <c r="D61" s="3559"/>
      <c r="E61" s="3560"/>
      <c r="F61" s="3560"/>
      <c r="G61" s="3504"/>
      <c r="H61" s="3504"/>
      <c r="I61" s="3504"/>
      <c r="J61" s="3589"/>
      <c r="K61" s="3565"/>
      <c r="L61" s="3565"/>
      <c r="M61" s="3511"/>
      <c r="N61" s="3576"/>
      <c r="O61" s="3597"/>
      <c r="P61" s="3511"/>
      <c r="Q61" s="3565"/>
      <c r="R61" s="3600"/>
      <c r="S61" s="3514"/>
      <c r="T61" s="3565"/>
      <c r="U61" s="3567"/>
      <c r="V61" s="901" t="s">
        <v>627</v>
      </c>
      <c r="W61" s="889">
        <f>180000000-180000000</f>
        <v>0</v>
      </c>
      <c r="X61" s="952">
        <v>0</v>
      </c>
      <c r="Y61" s="952">
        <v>0</v>
      </c>
      <c r="Z61" s="1018">
        <v>46</v>
      </c>
      <c r="AA61" s="992" t="s">
        <v>652</v>
      </c>
      <c r="AB61" s="3591"/>
      <c r="AC61" s="3591"/>
      <c r="AD61" s="3591"/>
      <c r="AE61" s="3591"/>
      <c r="AF61" s="3591"/>
      <c r="AG61" s="3591"/>
      <c r="AH61" s="3591"/>
      <c r="AI61" s="3591"/>
      <c r="AJ61" s="3591"/>
      <c r="AK61" s="3591"/>
      <c r="AL61" s="3591"/>
      <c r="AM61" s="3591"/>
      <c r="AN61" s="3591"/>
      <c r="AO61" s="3591"/>
      <c r="AP61" s="3591"/>
      <c r="AQ61" s="3591"/>
      <c r="AR61" s="3591"/>
      <c r="AS61" s="3591"/>
      <c r="AT61" s="3591"/>
      <c r="AU61" s="3591"/>
      <c r="AV61" s="3591"/>
      <c r="AW61" s="3591"/>
      <c r="AX61" s="3591"/>
      <c r="AY61" s="3591"/>
      <c r="AZ61" s="3597"/>
      <c r="BA61" s="3591"/>
      <c r="BB61" s="3597"/>
      <c r="BC61" s="3591"/>
      <c r="BD61" s="3605"/>
      <c r="BE61" s="3591"/>
      <c r="BF61" s="3605"/>
      <c r="BG61" s="3605"/>
      <c r="BH61" s="3571"/>
      <c r="BI61" s="3571"/>
      <c r="BJ61" s="3612"/>
      <c r="BK61" s="3605"/>
      <c r="BL61" s="3605"/>
      <c r="BM61" s="3575"/>
      <c r="BN61" s="3575"/>
      <c r="BO61" s="3575"/>
      <c r="BP61" s="3575"/>
      <c r="BQ61" s="3605"/>
    </row>
    <row r="62" spans="1:69" ht="52.5" customHeight="1" x14ac:dyDescent="0.2">
      <c r="A62" s="1004"/>
      <c r="B62" s="1005"/>
      <c r="C62" s="1006"/>
      <c r="D62" s="3559"/>
      <c r="E62" s="3560"/>
      <c r="F62" s="3560"/>
      <c r="G62" s="3504"/>
      <c r="H62" s="3504"/>
      <c r="I62" s="3583"/>
      <c r="J62" s="737">
        <v>63</v>
      </c>
      <c r="K62" s="1025" t="s">
        <v>628</v>
      </c>
      <c r="L62" s="884" t="s">
        <v>629</v>
      </c>
      <c r="M62" s="898">
        <v>250</v>
      </c>
      <c r="N62" s="891">
        <v>0</v>
      </c>
      <c r="O62" s="3597"/>
      <c r="P62" s="3511"/>
      <c r="Q62" s="3565"/>
      <c r="R62" s="900">
        <f>SUM(W62:W62)/S44</f>
        <v>9.5304623397433119E-2</v>
      </c>
      <c r="S62" s="3514"/>
      <c r="T62" s="3565"/>
      <c r="U62" s="3567"/>
      <c r="V62" s="901" t="s">
        <v>630</v>
      </c>
      <c r="W62" s="889">
        <f>3000000000-1000000000</f>
        <v>2000000000</v>
      </c>
      <c r="X62" s="952">
        <v>0</v>
      </c>
      <c r="Y62" s="952"/>
      <c r="Z62" s="1018">
        <v>46</v>
      </c>
      <c r="AA62" s="992" t="s">
        <v>652</v>
      </c>
      <c r="AB62" s="3591"/>
      <c r="AC62" s="3591"/>
      <c r="AD62" s="3591"/>
      <c r="AE62" s="3591"/>
      <c r="AF62" s="3591"/>
      <c r="AG62" s="3591"/>
      <c r="AH62" s="3591"/>
      <c r="AI62" s="3591"/>
      <c r="AJ62" s="3591"/>
      <c r="AK62" s="3591"/>
      <c r="AL62" s="3591"/>
      <c r="AM62" s="3591"/>
      <c r="AN62" s="3591"/>
      <c r="AO62" s="3591"/>
      <c r="AP62" s="3591"/>
      <c r="AQ62" s="3591"/>
      <c r="AR62" s="3591"/>
      <c r="AS62" s="3591"/>
      <c r="AT62" s="3591"/>
      <c r="AU62" s="3591"/>
      <c r="AV62" s="3591"/>
      <c r="AW62" s="3591"/>
      <c r="AX62" s="3591"/>
      <c r="AY62" s="3591"/>
      <c r="AZ62" s="3597"/>
      <c r="BA62" s="3591"/>
      <c r="BB62" s="3597"/>
      <c r="BC62" s="3591"/>
      <c r="BD62" s="3605"/>
      <c r="BE62" s="3591"/>
      <c r="BF62" s="3605"/>
      <c r="BG62" s="3605"/>
      <c r="BH62" s="3571"/>
      <c r="BI62" s="3571"/>
      <c r="BJ62" s="3612"/>
      <c r="BK62" s="3605"/>
      <c r="BL62" s="3605"/>
      <c r="BM62" s="3575"/>
      <c r="BN62" s="3575"/>
      <c r="BO62" s="3575">
        <v>43100</v>
      </c>
      <c r="BP62" s="3575">
        <v>43100</v>
      </c>
      <c r="BQ62" s="3605"/>
    </row>
    <row r="63" spans="1:69" ht="100.5" customHeight="1" x14ac:dyDescent="0.2">
      <c r="A63" s="1004"/>
      <c r="B63" s="1005"/>
      <c r="C63" s="1006"/>
      <c r="D63" s="3559"/>
      <c r="E63" s="3560"/>
      <c r="F63" s="3560"/>
      <c r="G63" s="3504"/>
      <c r="H63" s="3504"/>
      <c r="I63" s="3583"/>
      <c r="J63" s="737">
        <v>64</v>
      </c>
      <c r="K63" s="1025" t="s">
        <v>631</v>
      </c>
      <c r="L63" s="897" t="s">
        <v>632</v>
      </c>
      <c r="M63" s="896">
        <v>1</v>
      </c>
      <c r="N63" s="891">
        <v>0</v>
      </c>
      <c r="O63" s="3598"/>
      <c r="P63" s="3511"/>
      <c r="Q63" s="3565"/>
      <c r="R63" s="900">
        <f>W63/S44</f>
        <v>1.4206271564096741E-3</v>
      </c>
      <c r="S63" s="3514"/>
      <c r="T63" s="3565"/>
      <c r="U63" s="3567"/>
      <c r="V63" s="950" t="s">
        <v>633</v>
      </c>
      <c r="W63" s="889">
        <v>29812345</v>
      </c>
      <c r="X63" s="889">
        <v>0</v>
      </c>
      <c r="Y63" s="889"/>
      <c r="Z63" s="991">
        <v>20</v>
      </c>
      <c r="AA63" s="1012" t="s">
        <v>656</v>
      </c>
      <c r="AB63" s="3593"/>
      <c r="AC63" s="3593"/>
      <c r="AD63" s="3593"/>
      <c r="AE63" s="3593"/>
      <c r="AF63" s="3593"/>
      <c r="AG63" s="3593"/>
      <c r="AH63" s="3593"/>
      <c r="AI63" s="3593"/>
      <c r="AJ63" s="3593"/>
      <c r="AK63" s="3593"/>
      <c r="AL63" s="3593"/>
      <c r="AM63" s="3593"/>
      <c r="AN63" s="3593"/>
      <c r="AO63" s="3593"/>
      <c r="AP63" s="3593"/>
      <c r="AQ63" s="3593"/>
      <c r="AR63" s="3593"/>
      <c r="AS63" s="3593"/>
      <c r="AT63" s="3593"/>
      <c r="AU63" s="3593"/>
      <c r="AV63" s="3593"/>
      <c r="AW63" s="3593"/>
      <c r="AX63" s="3593"/>
      <c r="AY63" s="3593"/>
      <c r="AZ63" s="3598"/>
      <c r="BA63" s="3593"/>
      <c r="BB63" s="3598"/>
      <c r="BC63" s="3593"/>
      <c r="BD63" s="3614"/>
      <c r="BE63" s="3593"/>
      <c r="BF63" s="3614"/>
      <c r="BG63" s="3614"/>
      <c r="BH63" s="3615"/>
      <c r="BI63" s="3615"/>
      <c r="BJ63" s="3613"/>
      <c r="BK63" s="3614"/>
      <c r="BL63" s="3614"/>
      <c r="BM63" s="3575"/>
      <c r="BN63" s="3575"/>
      <c r="BO63" s="3575" t="s">
        <v>634</v>
      </c>
      <c r="BP63" s="3575" t="s">
        <v>634</v>
      </c>
      <c r="BQ63" s="3605"/>
    </row>
    <row r="64" spans="1:69" s="610" customFormat="1" ht="174" customHeight="1" x14ac:dyDescent="0.2">
      <c r="A64" s="1004"/>
      <c r="B64" s="1005"/>
      <c r="C64" s="1006"/>
      <c r="D64" s="3559"/>
      <c r="E64" s="3560"/>
      <c r="F64" s="3560"/>
      <c r="G64" s="3510"/>
      <c r="H64" s="3510"/>
      <c r="I64" s="3510"/>
      <c r="J64" s="890">
        <v>59</v>
      </c>
      <c r="K64" s="884" t="s">
        <v>613</v>
      </c>
      <c r="L64" s="897" t="s">
        <v>614</v>
      </c>
      <c r="M64" s="895">
        <v>1</v>
      </c>
      <c r="N64" s="1026">
        <v>1</v>
      </c>
      <c r="O64" s="898" t="s">
        <v>635</v>
      </c>
      <c r="P64" s="883" t="s">
        <v>636</v>
      </c>
      <c r="Q64" s="901" t="s">
        <v>637</v>
      </c>
      <c r="R64" s="1027">
        <f>W64/S64</f>
        <v>1</v>
      </c>
      <c r="S64" s="952">
        <f>SUM(W64)</f>
        <v>815853756</v>
      </c>
      <c r="T64" s="901" t="s">
        <v>638</v>
      </c>
      <c r="U64" s="1028" t="s">
        <v>639</v>
      </c>
      <c r="V64" s="901" t="s">
        <v>640</v>
      </c>
      <c r="W64" s="952">
        <v>815853756</v>
      </c>
      <c r="X64" s="952">
        <v>803071603</v>
      </c>
      <c r="Y64" s="952">
        <v>0</v>
      </c>
      <c r="Z64" s="883">
        <v>56</v>
      </c>
      <c r="AA64" s="1012" t="s">
        <v>641</v>
      </c>
      <c r="AB64" s="1029">
        <v>12668</v>
      </c>
      <c r="AC64" s="1029">
        <f>AB64*$BJ64</f>
        <v>0</v>
      </c>
      <c r="AD64" s="1019">
        <v>12704</v>
      </c>
      <c r="AE64" s="1029">
        <f>AD64*$BJ64</f>
        <v>0</v>
      </c>
      <c r="AF64" s="1019">
        <v>7596</v>
      </c>
      <c r="AG64" s="1029">
        <f>AF64*$BJ64</f>
        <v>0</v>
      </c>
      <c r="AH64" s="1019">
        <v>1582</v>
      </c>
      <c r="AI64" s="1029">
        <f>AH64*$BJ64</f>
        <v>0</v>
      </c>
      <c r="AJ64" s="1019">
        <v>13190</v>
      </c>
      <c r="AK64" s="1029">
        <f>AJ64*$BJ64</f>
        <v>0</v>
      </c>
      <c r="AL64" s="1019">
        <v>1890</v>
      </c>
      <c r="AM64" s="1029">
        <f>AL64*$BJ64</f>
        <v>0</v>
      </c>
      <c r="AN64" s="1019">
        <v>142</v>
      </c>
      <c r="AO64" s="1029">
        <f>AN64*$BJ64</f>
        <v>0</v>
      </c>
      <c r="AP64" s="1019">
        <v>64</v>
      </c>
      <c r="AQ64" s="1029">
        <f>AP64*$BJ64</f>
        <v>0</v>
      </c>
      <c r="AR64" s="1019">
        <v>0</v>
      </c>
      <c r="AS64" s="1029">
        <f>AR64*$BJ64</f>
        <v>0</v>
      </c>
      <c r="AT64" s="1019">
        <v>0</v>
      </c>
      <c r="AU64" s="1029">
        <f>AT64*$BJ64</f>
        <v>0</v>
      </c>
      <c r="AV64" s="1019">
        <v>0</v>
      </c>
      <c r="AW64" s="1029">
        <f>AV64*$BJ64</f>
        <v>0</v>
      </c>
      <c r="AX64" s="1019">
        <v>0</v>
      </c>
      <c r="AY64" s="1029">
        <f>AX64*$BJ64</f>
        <v>0</v>
      </c>
      <c r="AZ64" s="883">
        <v>908</v>
      </c>
      <c r="BA64" s="1029">
        <f>AZ64*$BJ64</f>
        <v>0</v>
      </c>
      <c r="BB64" s="883">
        <v>0</v>
      </c>
      <c r="BC64" s="1029">
        <f>BB64*$BJ64</f>
        <v>0</v>
      </c>
      <c r="BD64" s="1030">
        <v>0</v>
      </c>
      <c r="BE64" s="1029">
        <f>BD64*$BJ64</f>
        <v>0</v>
      </c>
      <c r="BF64" s="1019">
        <f>+AB64+AD64</f>
        <v>25372</v>
      </c>
      <c r="BG64" s="1019">
        <v>1</v>
      </c>
      <c r="BH64" s="1019">
        <f>X64</f>
        <v>803071603</v>
      </c>
      <c r="BI64" s="1019">
        <f>Y64</f>
        <v>0</v>
      </c>
      <c r="BJ64" s="1031">
        <f>BI64/BH64</f>
        <v>0</v>
      </c>
      <c r="BK64" s="1019" t="s">
        <v>641</v>
      </c>
      <c r="BL64" s="1019" t="s">
        <v>605</v>
      </c>
      <c r="BM64" s="1032">
        <v>43497</v>
      </c>
      <c r="BN64" s="1032">
        <v>43497</v>
      </c>
      <c r="BO64" s="1032">
        <v>43830</v>
      </c>
      <c r="BP64" s="1032">
        <v>43830</v>
      </c>
      <c r="BQ64" s="1030" t="s">
        <v>518</v>
      </c>
    </row>
    <row r="65" spans="1:69" ht="27.75" customHeight="1" x14ac:dyDescent="0.2">
      <c r="A65" s="1033" t="s">
        <v>642</v>
      </c>
      <c r="B65" s="1034"/>
      <c r="C65" s="1034"/>
      <c r="D65" s="1034"/>
      <c r="E65" s="1034"/>
      <c r="F65" s="1034"/>
      <c r="G65" s="1034"/>
      <c r="H65" s="1034"/>
      <c r="I65" s="1034"/>
      <c r="J65" s="1035"/>
      <c r="K65" s="1034"/>
      <c r="L65" s="1036"/>
      <c r="M65" s="894"/>
      <c r="N65" s="894"/>
      <c r="O65" s="894"/>
      <c r="P65" s="1037"/>
      <c r="Q65" s="1038"/>
      <c r="R65" s="1039"/>
      <c r="S65" s="1040">
        <f>SUM(S11:S64)</f>
        <v>33128661636</v>
      </c>
      <c r="T65" s="1041"/>
      <c r="U65" s="1042"/>
      <c r="V65" s="1043"/>
      <c r="W65" s="1040">
        <f>SUM(W11:W64)</f>
        <v>33128661636</v>
      </c>
      <c r="X65" s="1040">
        <f>SUM(X11:X64)</f>
        <v>10053261910.200001</v>
      </c>
      <c r="Y65" s="1040">
        <f t="shared" ref="Y65" si="0">SUM(Y11:Y64)</f>
        <v>2301851361.2600002</v>
      </c>
      <c r="Z65" s="1044"/>
      <c r="AA65" s="888"/>
      <c r="AB65" s="1045"/>
      <c r="AC65" s="1045"/>
      <c r="AD65" s="616"/>
      <c r="AE65" s="616"/>
      <c r="AF65" s="616"/>
      <c r="AG65" s="616"/>
      <c r="AH65" s="616"/>
      <c r="AI65" s="616"/>
      <c r="AJ65" s="616"/>
      <c r="AK65" s="616"/>
      <c r="AL65" s="616"/>
      <c r="AM65" s="616"/>
      <c r="AN65" s="616"/>
      <c r="AO65" s="616"/>
      <c r="AP65" s="616"/>
      <c r="AQ65" s="616"/>
      <c r="AR65" s="616"/>
      <c r="AS65" s="616"/>
      <c r="AT65" s="616"/>
      <c r="AU65" s="616"/>
      <c r="AV65" s="616"/>
      <c r="AW65" s="616"/>
      <c r="AX65" s="616"/>
      <c r="AY65" s="616"/>
      <c r="AZ65" s="616"/>
      <c r="BA65" s="616"/>
      <c r="BB65" s="616"/>
      <c r="BC65" s="616"/>
      <c r="BD65" s="616"/>
      <c r="BE65" s="616"/>
      <c r="BF65" s="1046"/>
      <c r="BG65" s="1046"/>
      <c r="BH65" s="1040">
        <f t="shared" ref="BH65:BI65" si="1">SUM(BH11:BH64)</f>
        <v>10053261910.200001</v>
      </c>
      <c r="BI65" s="1040">
        <f t="shared" si="1"/>
        <v>2301851361.2600002</v>
      </c>
      <c r="BJ65" s="1046"/>
      <c r="BK65" s="1046"/>
      <c r="BL65" s="1046"/>
      <c r="BM65" s="1046"/>
      <c r="BN65" s="1046"/>
      <c r="BO65" s="1046"/>
      <c r="BP65" s="1046"/>
      <c r="BQ65" s="1047"/>
    </row>
    <row r="66" spans="1:69" ht="27.75" customHeight="1" x14ac:dyDescent="0.2">
      <c r="P66" s="1049"/>
      <c r="T66" s="1051"/>
      <c r="U66" s="1051"/>
      <c r="V66" s="1051"/>
    </row>
    <row r="67" spans="1:69" ht="27.75" customHeight="1" x14ac:dyDescent="0.2">
      <c r="P67" s="1049"/>
      <c r="T67" s="1051"/>
      <c r="U67" s="1051"/>
      <c r="V67" s="1051"/>
      <c r="AA67" s="445"/>
      <c r="BH67" s="1053">
        <f>BH65-X65</f>
        <v>0</v>
      </c>
    </row>
    <row r="68" spans="1:69" ht="27.75" customHeight="1" x14ac:dyDescent="0.25">
      <c r="D68" s="1054" t="s">
        <v>643</v>
      </c>
      <c r="E68" s="1054"/>
      <c r="F68" s="1054"/>
      <c r="AA68" s="445"/>
    </row>
    <row r="69" spans="1:69" ht="27.75" customHeight="1" x14ac:dyDescent="0.2">
      <c r="D69" s="438" t="s">
        <v>644</v>
      </c>
      <c r="AA69" s="445"/>
    </row>
    <row r="70" spans="1:69" ht="27.75" customHeight="1" x14ac:dyDescent="0.2">
      <c r="D70" s="438" t="s">
        <v>645</v>
      </c>
      <c r="Z70" s="1052"/>
      <c r="AA70" s="445"/>
    </row>
    <row r="73" spans="1:69" ht="27.75" customHeight="1" x14ac:dyDescent="0.2">
      <c r="A73" s="1048" t="s">
        <v>646</v>
      </c>
      <c r="C73" s="438" t="s">
        <v>647</v>
      </c>
    </row>
    <row r="74" spans="1:69" ht="27.75" customHeight="1" x14ac:dyDescent="0.2">
      <c r="A74" s="1048" t="s">
        <v>648</v>
      </c>
      <c r="C74" s="438" t="s">
        <v>649</v>
      </c>
    </row>
    <row r="75" spans="1:69" ht="27.75" customHeight="1" x14ac:dyDescent="0.2">
      <c r="C75" s="438" t="s">
        <v>650</v>
      </c>
    </row>
  </sheetData>
  <sheetProtection password="A60F" sheet="1" objects="1" scenarios="1"/>
  <mergeCells count="438">
    <mergeCell ref="BP44:BP63"/>
    <mergeCell ref="BQ44:BQ63"/>
    <mergeCell ref="V46:V47"/>
    <mergeCell ref="J49:J50"/>
    <mergeCell ref="K49:K50"/>
    <mergeCell ref="L49:L50"/>
    <mergeCell ref="M49:M50"/>
    <mergeCell ref="N49:N50"/>
    <mergeCell ref="R49:R50"/>
    <mergeCell ref="J51:J56"/>
    <mergeCell ref="BJ44:BJ63"/>
    <mergeCell ref="BK44:BK63"/>
    <mergeCell ref="BL44:BL63"/>
    <mergeCell ref="BM44:BM63"/>
    <mergeCell ref="BN44:BN63"/>
    <mergeCell ref="BO44:BO63"/>
    <mergeCell ref="BD44:BD63"/>
    <mergeCell ref="BE44:BE63"/>
    <mergeCell ref="BF44:BF63"/>
    <mergeCell ref="BG44:BG63"/>
    <mergeCell ref="BH44:BH63"/>
    <mergeCell ref="BI44:BI63"/>
    <mergeCell ref="AX44:AX63"/>
    <mergeCell ref="AY44:AY63"/>
    <mergeCell ref="AZ44:AZ63"/>
    <mergeCell ref="BA44:BA63"/>
    <mergeCell ref="BB44:BB63"/>
    <mergeCell ref="BC44:BC63"/>
    <mergeCell ref="AR44:AR63"/>
    <mergeCell ref="AS44:AS63"/>
    <mergeCell ref="AT44:AT63"/>
    <mergeCell ref="AU44:AU63"/>
    <mergeCell ref="AV44:AV63"/>
    <mergeCell ref="AW44:AW63"/>
    <mergeCell ref="AL44:AL63"/>
    <mergeCell ref="AM44:AM63"/>
    <mergeCell ref="AN44:AN63"/>
    <mergeCell ref="AO44:AO63"/>
    <mergeCell ref="AP44:AP63"/>
    <mergeCell ref="AQ44:AQ63"/>
    <mergeCell ref="AF44:AF63"/>
    <mergeCell ref="AG44:AG63"/>
    <mergeCell ref="AH44:AH63"/>
    <mergeCell ref="AI44:AI63"/>
    <mergeCell ref="AJ44:AJ63"/>
    <mergeCell ref="AK44:AK63"/>
    <mergeCell ref="T44:T63"/>
    <mergeCell ref="U44:U63"/>
    <mergeCell ref="AB44:AB63"/>
    <mergeCell ref="AC44:AC63"/>
    <mergeCell ref="AD44:AD63"/>
    <mergeCell ref="AE44:AE63"/>
    <mergeCell ref="V52:V53"/>
    <mergeCell ref="V54:V55"/>
    <mergeCell ref="N44:N48"/>
    <mergeCell ref="O44:O63"/>
    <mergeCell ref="P44:P63"/>
    <mergeCell ref="Q44:Q63"/>
    <mergeCell ref="R44:R48"/>
    <mergeCell ref="S44:S63"/>
    <mergeCell ref="N51:N56"/>
    <mergeCell ref="R51:R56"/>
    <mergeCell ref="R60:R61"/>
    <mergeCell ref="N57:N59"/>
    <mergeCell ref="R57:R59"/>
    <mergeCell ref="N60:N61"/>
    <mergeCell ref="D43:F64"/>
    <mergeCell ref="G44:I64"/>
    <mergeCell ref="J44:J48"/>
    <mergeCell ref="K44:K48"/>
    <mergeCell ref="L44:L48"/>
    <mergeCell ref="M44:M48"/>
    <mergeCell ref="K51:K56"/>
    <mergeCell ref="L51:L56"/>
    <mergeCell ref="M51:M56"/>
    <mergeCell ref="J57:J59"/>
    <mergeCell ref="K57:K59"/>
    <mergeCell ref="L57:L59"/>
    <mergeCell ref="M57:M59"/>
    <mergeCell ref="J60:J61"/>
    <mergeCell ref="K60:K61"/>
    <mergeCell ref="L60:L61"/>
    <mergeCell ref="M60:M61"/>
    <mergeCell ref="BP31:BP42"/>
    <mergeCell ref="BQ31:BQ42"/>
    <mergeCell ref="V33:V35"/>
    <mergeCell ref="J37:J42"/>
    <mergeCell ref="K37:K42"/>
    <mergeCell ref="L37:L42"/>
    <mergeCell ref="M37:M42"/>
    <mergeCell ref="N37:N42"/>
    <mergeCell ref="R37:R42"/>
    <mergeCell ref="U37:U42"/>
    <mergeCell ref="BJ31:BJ42"/>
    <mergeCell ref="BK31:BK42"/>
    <mergeCell ref="BL31:BL42"/>
    <mergeCell ref="BM31:BM42"/>
    <mergeCell ref="BN31:BN42"/>
    <mergeCell ref="BO31:BO42"/>
    <mergeCell ref="BD31:BD42"/>
    <mergeCell ref="BE31:BE42"/>
    <mergeCell ref="BF31:BF42"/>
    <mergeCell ref="BG31:BG42"/>
    <mergeCell ref="BH31:BH42"/>
    <mergeCell ref="BI31:BI42"/>
    <mergeCell ref="AX31:AX42"/>
    <mergeCell ref="AY31:AY42"/>
    <mergeCell ref="AZ31:AZ42"/>
    <mergeCell ref="BA31:BA42"/>
    <mergeCell ref="BB31:BB42"/>
    <mergeCell ref="BC31:BC42"/>
    <mergeCell ref="AR31:AR42"/>
    <mergeCell ref="AS31:AS42"/>
    <mergeCell ref="AT31:AT42"/>
    <mergeCell ref="AU31:AU42"/>
    <mergeCell ref="AV31:AV42"/>
    <mergeCell ref="AW31:AW42"/>
    <mergeCell ref="AL31:AL42"/>
    <mergeCell ref="AM31:AM42"/>
    <mergeCell ref="AN31:AN42"/>
    <mergeCell ref="AO31:AO42"/>
    <mergeCell ref="AP31:AP42"/>
    <mergeCell ref="AQ31:AQ42"/>
    <mergeCell ref="AF31:AF42"/>
    <mergeCell ref="AG31:AG42"/>
    <mergeCell ref="AH31:AH42"/>
    <mergeCell ref="AI31:AI42"/>
    <mergeCell ref="AJ31:AJ42"/>
    <mergeCell ref="AK31:AK42"/>
    <mergeCell ref="AB31:AB42"/>
    <mergeCell ref="AC31:AC42"/>
    <mergeCell ref="AD31:AD42"/>
    <mergeCell ref="AE31:AE42"/>
    <mergeCell ref="V37:V38"/>
    <mergeCell ref="V39:V41"/>
    <mergeCell ref="M31:M36"/>
    <mergeCell ref="N31:N36"/>
    <mergeCell ref="P31:P42"/>
    <mergeCell ref="Q31:Q42"/>
    <mergeCell ref="R31:R36"/>
    <mergeCell ref="S31:S42"/>
    <mergeCell ref="BP26:BP27"/>
    <mergeCell ref="A29:C42"/>
    <mergeCell ref="E29:L29"/>
    <mergeCell ref="D30:F42"/>
    <mergeCell ref="G31:I42"/>
    <mergeCell ref="J31:J36"/>
    <mergeCell ref="K31:K36"/>
    <mergeCell ref="L31:L36"/>
    <mergeCell ref="BF26:BF27"/>
    <mergeCell ref="BG26:BG27"/>
    <mergeCell ref="BH26:BH27"/>
    <mergeCell ref="BI26:BI27"/>
    <mergeCell ref="BJ26:BJ27"/>
    <mergeCell ref="BK26:BK27"/>
    <mergeCell ref="AZ26:AZ27"/>
    <mergeCell ref="BA26:BA27"/>
    <mergeCell ref="BB26:BB27"/>
    <mergeCell ref="BC26:BC27"/>
    <mergeCell ref="BD26:BD27"/>
    <mergeCell ref="BE26:BE27"/>
    <mergeCell ref="AT26:AT27"/>
    <mergeCell ref="AU26:AU27"/>
    <mergeCell ref="T31:T42"/>
    <mergeCell ref="U31:U36"/>
    <mergeCell ref="BP23:BP24"/>
    <mergeCell ref="BI23:BI24"/>
    <mergeCell ref="BJ23:BJ24"/>
    <mergeCell ref="BK23:BK24"/>
    <mergeCell ref="BM23:BM24"/>
    <mergeCell ref="AR23:AR24"/>
    <mergeCell ref="AS23:AS24"/>
    <mergeCell ref="AT23:AT24"/>
    <mergeCell ref="BG23:BG24"/>
    <mergeCell ref="BH23:BH24"/>
    <mergeCell ref="BA23:BA24"/>
    <mergeCell ref="BB23:BB24"/>
    <mergeCell ref="BC23:BC24"/>
    <mergeCell ref="BD23:BD24"/>
    <mergeCell ref="BE23:BE24"/>
    <mergeCell ref="BF23:BF24"/>
    <mergeCell ref="AU23:AU24"/>
    <mergeCell ref="AV23:AV24"/>
    <mergeCell ref="AW23:AW24"/>
    <mergeCell ref="AX23:AX24"/>
    <mergeCell ref="AY23:AY24"/>
    <mergeCell ref="AZ23:AZ24"/>
    <mergeCell ref="AI26:AI27"/>
    <mergeCell ref="AJ26:AJ27"/>
    <mergeCell ref="AK26:AK27"/>
    <mergeCell ref="AL26:AL27"/>
    <mergeCell ref="AM26:AM27"/>
    <mergeCell ref="AB26:AB27"/>
    <mergeCell ref="BN23:BN24"/>
    <mergeCell ref="BO23:BO24"/>
    <mergeCell ref="AV26:AV27"/>
    <mergeCell ref="AW26:AW27"/>
    <mergeCell ref="AX26:AX27"/>
    <mergeCell ref="AY26:AY27"/>
    <mergeCell ref="AN26:AN27"/>
    <mergeCell ref="AO26:AO27"/>
    <mergeCell ref="AP26:AP27"/>
    <mergeCell ref="AQ26:AQ27"/>
    <mergeCell ref="AR26:AR27"/>
    <mergeCell ref="AS26:AS27"/>
    <mergeCell ref="BN26:BN27"/>
    <mergeCell ref="BO26:BO27"/>
    <mergeCell ref="AC26:AC27"/>
    <mergeCell ref="AD26:AD27"/>
    <mergeCell ref="AE26:AE27"/>
    <mergeCell ref="L23:L24"/>
    <mergeCell ref="M23:M24"/>
    <mergeCell ref="O26:O27"/>
    <mergeCell ref="P26:P27"/>
    <mergeCell ref="Q26:Q27"/>
    <mergeCell ref="R26:R27"/>
    <mergeCell ref="S26:S27"/>
    <mergeCell ref="T26:T27"/>
    <mergeCell ref="AC23:AC24"/>
    <mergeCell ref="W23:W24"/>
    <mergeCell ref="X23:X24"/>
    <mergeCell ref="Y23:Y24"/>
    <mergeCell ref="Z23:Z24"/>
    <mergeCell ref="AA23:AA24"/>
    <mergeCell ref="AB23:AB24"/>
    <mergeCell ref="N23:N24"/>
    <mergeCell ref="O23:O24"/>
    <mergeCell ref="L26:L27"/>
    <mergeCell ref="M26:M27"/>
    <mergeCell ref="N26:N27"/>
    <mergeCell ref="S23:S24"/>
    <mergeCell ref="T23:T24"/>
    <mergeCell ref="BO21:BO22"/>
    <mergeCell ref="BP21:BP22"/>
    <mergeCell ref="BI21:BI22"/>
    <mergeCell ref="BJ21:BJ22"/>
    <mergeCell ref="BK21:BK22"/>
    <mergeCell ref="BM21:BM22"/>
    <mergeCell ref="AR21:AR22"/>
    <mergeCell ref="AS21:AS22"/>
    <mergeCell ref="AT21:AT22"/>
    <mergeCell ref="BN21:BN22"/>
    <mergeCell ref="BG21:BG22"/>
    <mergeCell ref="BH21:BH22"/>
    <mergeCell ref="BA21:BA22"/>
    <mergeCell ref="BB21:BB22"/>
    <mergeCell ref="BC21:BC22"/>
    <mergeCell ref="BD21:BD22"/>
    <mergeCell ref="BE21:BE22"/>
    <mergeCell ref="BF21:BF22"/>
    <mergeCell ref="AU21:AU22"/>
    <mergeCell ref="AV21:AV22"/>
    <mergeCell ref="AW21:AW22"/>
    <mergeCell ref="AX21:AX22"/>
    <mergeCell ref="AY21:AY22"/>
    <mergeCell ref="AZ21:AZ22"/>
    <mergeCell ref="AC21:AC22"/>
    <mergeCell ref="AD21:AD22"/>
    <mergeCell ref="AE23:AE24"/>
    <mergeCell ref="AF23:AF24"/>
    <mergeCell ref="AG23:AG24"/>
    <mergeCell ref="AG21:AG22"/>
    <mergeCell ref="AH21:AH22"/>
    <mergeCell ref="AF26:AF27"/>
    <mergeCell ref="AG26:AG27"/>
    <mergeCell ref="AH23:AH24"/>
    <mergeCell ref="AH26:AH27"/>
    <mergeCell ref="AP21:AP22"/>
    <mergeCell ref="AQ21:AQ22"/>
    <mergeCell ref="P23:P24"/>
    <mergeCell ref="Q23:Q24"/>
    <mergeCell ref="R23:R24"/>
    <mergeCell ref="AE21:AE22"/>
    <mergeCell ref="AF21:AF22"/>
    <mergeCell ref="AB21:AB22"/>
    <mergeCell ref="R21:R22"/>
    <mergeCell ref="S21:S22"/>
    <mergeCell ref="T21:T22"/>
    <mergeCell ref="V21:V22"/>
    <mergeCell ref="V23:V24"/>
    <mergeCell ref="AD23:AD24"/>
    <mergeCell ref="AO23:AO24"/>
    <mergeCell ref="AP23:AP24"/>
    <mergeCell ref="AQ23:AQ24"/>
    <mergeCell ref="AI23:AI24"/>
    <mergeCell ref="AJ23:AJ24"/>
    <mergeCell ref="AK23:AK24"/>
    <mergeCell ref="AL23:AL24"/>
    <mergeCell ref="AM23:AM24"/>
    <mergeCell ref="AN23:AN24"/>
    <mergeCell ref="AN21:AN22"/>
    <mergeCell ref="BN13:BN20"/>
    <mergeCell ref="BO13:BO20"/>
    <mergeCell ref="BP13:BP20"/>
    <mergeCell ref="AZ13:AZ20"/>
    <mergeCell ref="BA13:BA20"/>
    <mergeCell ref="AP13:AP20"/>
    <mergeCell ref="AQ13:AQ20"/>
    <mergeCell ref="AR13:AR20"/>
    <mergeCell ref="AS13:AS20"/>
    <mergeCell ref="AT13:AT20"/>
    <mergeCell ref="AU13:AU20"/>
    <mergeCell ref="AJ13:AJ20"/>
    <mergeCell ref="AK13:AK20"/>
    <mergeCell ref="AL13:AL20"/>
    <mergeCell ref="AM13:AM20"/>
    <mergeCell ref="AN13:AN20"/>
    <mergeCell ref="AO13:AO20"/>
    <mergeCell ref="AD13:AD20"/>
    <mergeCell ref="AI21:AI22"/>
    <mergeCell ref="AJ21:AJ22"/>
    <mergeCell ref="AK21:AK22"/>
    <mergeCell ref="AL21:AL22"/>
    <mergeCell ref="AM21:AM22"/>
    <mergeCell ref="AE13:AE20"/>
    <mergeCell ref="AF13:AF20"/>
    <mergeCell ref="AG13:AG20"/>
    <mergeCell ref="AH13:AH20"/>
    <mergeCell ref="AI13:AI20"/>
    <mergeCell ref="AO21:AO22"/>
    <mergeCell ref="BQ13:BQ27"/>
    <mergeCell ref="U18:U20"/>
    <mergeCell ref="W18:W19"/>
    <mergeCell ref="X18:X19"/>
    <mergeCell ref="Y18:Y19"/>
    <mergeCell ref="Z18:Z19"/>
    <mergeCell ref="AA18:AA19"/>
    <mergeCell ref="BH13:BH20"/>
    <mergeCell ref="BI13:BI20"/>
    <mergeCell ref="BJ13:BJ20"/>
    <mergeCell ref="BK13:BK20"/>
    <mergeCell ref="BL13:BL27"/>
    <mergeCell ref="BM13:BM20"/>
    <mergeCell ref="BM26:BM27"/>
    <mergeCell ref="BB13:BB20"/>
    <mergeCell ref="BC13:BC20"/>
    <mergeCell ref="BD13:BD20"/>
    <mergeCell ref="BE13:BE20"/>
    <mergeCell ref="BF13:BF20"/>
    <mergeCell ref="BG13:BG20"/>
    <mergeCell ref="AV13:AV20"/>
    <mergeCell ref="AW13:AW20"/>
    <mergeCell ref="AX13:AX20"/>
    <mergeCell ref="AY13:AY20"/>
    <mergeCell ref="X13:X16"/>
    <mergeCell ref="Y13:Y16"/>
    <mergeCell ref="Z13:Z16"/>
    <mergeCell ref="AA13:AA16"/>
    <mergeCell ref="AB13:AB20"/>
    <mergeCell ref="AC13:AC20"/>
    <mergeCell ref="R13:R20"/>
    <mergeCell ref="S13:S20"/>
    <mergeCell ref="T13:T20"/>
    <mergeCell ref="U13:U17"/>
    <mergeCell ref="V13:V20"/>
    <mergeCell ref="W13:W16"/>
    <mergeCell ref="L13:L20"/>
    <mergeCell ref="M13:M20"/>
    <mergeCell ref="N13:N22"/>
    <mergeCell ref="O13:O20"/>
    <mergeCell ref="P13:P20"/>
    <mergeCell ref="Q13:Q20"/>
    <mergeCell ref="L21:L22"/>
    <mergeCell ref="M21:M22"/>
    <mergeCell ref="O21:O22"/>
    <mergeCell ref="P21:P22"/>
    <mergeCell ref="Q21:Q22"/>
    <mergeCell ref="A11:C27"/>
    <mergeCell ref="H11:I11"/>
    <mergeCell ref="D12:F27"/>
    <mergeCell ref="G13:I20"/>
    <mergeCell ref="J13:J20"/>
    <mergeCell ref="K13:K20"/>
    <mergeCell ref="G21:I22"/>
    <mergeCell ref="J21:J22"/>
    <mergeCell ref="K21:K22"/>
    <mergeCell ref="G23:I24"/>
    <mergeCell ref="J23:J24"/>
    <mergeCell ref="K23:K24"/>
    <mergeCell ref="G25:I25"/>
    <mergeCell ref="G26:I27"/>
    <mergeCell ref="J26:J27"/>
    <mergeCell ref="K26:K27"/>
    <mergeCell ref="BG7:BL7"/>
    <mergeCell ref="BM7:BN8"/>
    <mergeCell ref="BO7:BP8"/>
    <mergeCell ref="BQ7:BQ9"/>
    <mergeCell ref="AB8:AC8"/>
    <mergeCell ref="AD8:AE8"/>
    <mergeCell ref="AF8:AG8"/>
    <mergeCell ref="AH8:AI8"/>
    <mergeCell ref="AJ8:AK8"/>
    <mergeCell ref="BG8:BG9"/>
    <mergeCell ref="BH8:BH9"/>
    <mergeCell ref="BI8:BI9"/>
    <mergeCell ref="BJ8:BJ9"/>
    <mergeCell ref="BK8:BK9"/>
    <mergeCell ref="BL8:BL9"/>
    <mergeCell ref="AT8:AU8"/>
    <mergeCell ref="AV8:AW8"/>
    <mergeCell ref="AX8:AY8"/>
    <mergeCell ref="AZ8:BA8"/>
    <mergeCell ref="BB8:BC8"/>
    <mergeCell ref="BD8:BE8"/>
    <mergeCell ref="BF7:BF8"/>
    <mergeCell ref="AA7:AA9"/>
    <mergeCell ref="AB7:AD7"/>
    <mergeCell ref="AF7:AM7"/>
    <mergeCell ref="AN7:AY7"/>
    <mergeCell ref="AL8:AM8"/>
    <mergeCell ref="AN8:AO8"/>
    <mergeCell ref="AP8:AQ8"/>
    <mergeCell ref="AR8:AS8"/>
    <mergeCell ref="AZ7:BE7"/>
    <mergeCell ref="A1:BM4"/>
    <mergeCell ref="A5:M6"/>
    <mergeCell ref="O5:BQ5"/>
    <mergeCell ref="AB6:BD6"/>
    <mergeCell ref="A7:A9"/>
    <mergeCell ref="B7:C9"/>
    <mergeCell ref="D7:D9"/>
    <mergeCell ref="E7:F9"/>
    <mergeCell ref="G7:G9"/>
    <mergeCell ref="H7:I9"/>
    <mergeCell ref="Q7:Q9"/>
    <mergeCell ref="R7:R9"/>
    <mergeCell ref="S7:S9"/>
    <mergeCell ref="T7:T9"/>
    <mergeCell ref="U7:U9"/>
    <mergeCell ref="V7:V9"/>
    <mergeCell ref="J7:J9"/>
    <mergeCell ref="K7:K9"/>
    <mergeCell ref="L7:L9"/>
    <mergeCell ref="M7:N8"/>
    <mergeCell ref="O7:O9"/>
    <mergeCell ref="P7:P9"/>
    <mergeCell ref="W7:Y8"/>
    <mergeCell ref="Z7:Z9"/>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214"/>
  <sheetViews>
    <sheetView showGridLines="0" zoomScale="70" zoomScaleNormal="70" workbookViewId="0">
      <selection sqref="A1:BN4"/>
    </sheetView>
  </sheetViews>
  <sheetFormatPr baseColWidth="10" defaultColWidth="11.42578125" defaultRowHeight="27" customHeight="1" x14ac:dyDescent="0.2"/>
  <cols>
    <col min="1" max="1" width="13.140625" style="756" customWidth="1"/>
    <col min="2" max="2" width="4" style="610" customWidth="1"/>
    <col min="3" max="3" width="15.42578125" style="610" customWidth="1"/>
    <col min="4" max="4" width="14.7109375" style="610" customWidth="1"/>
    <col min="5" max="5" width="10" style="610" customWidth="1"/>
    <col min="6" max="6" width="13.5703125" style="610" customWidth="1"/>
    <col min="7" max="7" width="14.28515625" style="610" customWidth="1"/>
    <col min="8" max="8" width="8.5703125" style="610" customWidth="1"/>
    <col min="9" max="9" width="16.85546875" style="610" customWidth="1"/>
    <col min="10" max="10" width="18.140625" style="610" customWidth="1"/>
    <col min="11" max="11" width="44" style="2805" customWidth="1"/>
    <col min="12" max="12" width="27.7109375" style="758" customWidth="1"/>
    <col min="13" max="14" width="17.28515625" style="612" customWidth="1"/>
    <col min="15" max="15" width="37.28515625" style="2502" customWidth="1"/>
    <col min="16" max="16" width="20.7109375" style="2502" customWidth="1"/>
    <col min="17" max="17" width="28.7109375" style="757" customWidth="1"/>
    <col min="18" max="18" width="15" style="759" customWidth="1"/>
    <col min="19" max="19" width="29.85546875" style="1386" customWidth="1"/>
    <col min="20" max="20" width="35.42578125" style="757" customWidth="1"/>
    <col min="21" max="21" width="31" style="757" customWidth="1"/>
    <col min="22" max="22" width="43.5703125" style="2805" customWidth="1"/>
    <col min="23" max="23" width="27.140625" style="2806" customWidth="1"/>
    <col min="24" max="24" width="25.85546875" style="762" customWidth="1"/>
    <col min="25" max="25" width="25.42578125" style="763" customWidth="1"/>
    <col min="26" max="26" width="21.85546875" style="763" customWidth="1"/>
    <col min="27" max="27" width="26.140625" style="763" customWidth="1"/>
    <col min="28" max="28" width="9.28515625" style="610" customWidth="1"/>
    <col min="29" max="29" width="11.140625" style="610" customWidth="1"/>
    <col min="30" max="30" width="9.28515625" style="610" bestFit="1" customWidth="1"/>
    <col min="31" max="31" width="8.7109375" style="610" customWidth="1"/>
    <col min="32" max="32" width="9.28515625" style="610" bestFit="1" customWidth="1"/>
    <col min="33" max="33" width="9.28515625" style="610" customWidth="1"/>
    <col min="34" max="34" width="8.85546875" style="610" bestFit="1" customWidth="1"/>
    <col min="35" max="35" width="10.140625" style="610" customWidth="1"/>
    <col min="36" max="36" width="9.7109375" style="610" customWidth="1"/>
    <col min="37" max="37" width="12.140625" style="610" customWidth="1"/>
    <col min="38" max="39" width="10.140625" style="610" customWidth="1"/>
    <col min="40" max="40" width="6.85546875" style="610" bestFit="1" customWidth="1"/>
    <col min="41" max="41" width="6.85546875" style="610" customWidth="1"/>
    <col min="42" max="42" width="8.140625" style="610" bestFit="1" customWidth="1"/>
    <col min="43" max="43" width="8.140625" style="610" customWidth="1"/>
    <col min="44" max="49" width="7.140625" style="610" customWidth="1"/>
    <col min="50" max="50" width="5.5703125" style="610" customWidth="1"/>
    <col min="51" max="51" width="6.42578125" style="610" customWidth="1"/>
    <col min="52" max="53" width="8.7109375" style="610" customWidth="1"/>
    <col min="54" max="55" width="9.5703125" style="610" customWidth="1"/>
    <col min="56" max="57" width="9" style="610" customWidth="1"/>
    <col min="58" max="58" width="11" style="610" customWidth="1"/>
    <col min="59" max="59" width="10.42578125" style="610" customWidth="1"/>
    <col min="60" max="60" width="22.85546875" style="610" customWidth="1"/>
    <col min="61" max="61" width="24.7109375" style="610" customWidth="1"/>
    <col min="62" max="62" width="27.42578125" style="610" customWidth="1"/>
    <col min="63" max="63" width="18.42578125" style="610" customWidth="1"/>
    <col min="64" max="64" width="20.140625" style="610" customWidth="1"/>
    <col min="65" max="65" width="22.140625" style="610" customWidth="1"/>
    <col min="66" max="67" width="13" style="1389" customWidth="1"/>
    <col min="68" max="68" width="14" style="1390" customWidth="1"/>
    <col min="69" max="69" width="13.5703125" style="1390" customWidth="1"/>
    <col min="70" max="70" width="23" style="2807" customWidth="1"/>
    <col min="71" max="16384" width="11.42578125" style="610"/>
  </cols>
  <sheetData>
    <row r="1" spans="1:90" ht="16.5" customHeight="1" x14ac:dyDescent="0.2">
      <c r="A1" s="3434" t="s">
        <v>2392</v>
      </c>
      <c r="B1" s="3435"/>
      <c r="C1" s="3435"/>
      <c r="D1" s="3435"/>
      <c r="E1" s="3435"/>
      <c r="F1" s="3435"/>
      <c r="G1" s="3435"/>
      <c r="H1" s="3435"/>
      <c r="I1" s="3435"/>
      <c r="J1" s="3435"/>
      <c r="K1" s="3435"/>
      <c r="L1" s="3435"/>
      <c r="M1" s="3435"/>
      <c r="N1" s="3435"/>
      <c r="O1" s="3435"/>
      <c r="P1" s="3435"/>
      <c r="Q1" s="3435"/>
      <c r="R1" s="3435"/>
      <c r="S1" s="3435"/>
      <c r="T1" s="3435"/>
      <c r="U1" s="3435"/>
      <c r="V1" s="3435"/>
      <c r="W1" s="3435"/>
      <c r="X1" s="3435"/>
      <c r="Y1" s="3435"/>
      <c r="Z1" s="3435"/>
      <c r="AA1" s="3435"/>
      <c r="AB1" s="3435"/>
      <c r="AC1" s="3435"/>
      <c r="AD1" s="3435"/>
      <c r="AE1" s="3435"/>
      <c r="AF1" s="3435"/>
      <c r="AG1" s="3435"/>
      <c r="AH1" s="3435"/>
      <c r="AI1" s="3435"/>
      <c r="AJ1" s="3435"/>
      <c r="AK1" s="3435"/>
      <c r="AL1" s="3435"/>
      <c r="AM1" s="3435"/>
      <c r="AN1" s="3435"/>
      <c r="AO1" s="3435"/>
      <c r="AP1" s="3435"/>
      <c r="AQ1" s="3435"/>
      <c r="AR1" s="3435"/>
      <c r="AS1" s="3435"/>
      <c r="AT1" s="3435"/>
      <c r="AU1" s="3435"/>
      <c r="AV1" s="3435"/>
      <c r="AW1" s="3435"/>
      <c r="AX1" s="3435"/>
      <c r="AY1" s="3435"/>
      <c r="AZ1" s="3435"/>
      <c r="BA1" s="3435"/>
      <c r="BB1" s="3435"/>
      <c r="BC1" s="3435"/>
      <c r="BD1" s="3435"/>
      <c r="BE1" s="3435"/>
      <c r="BF1" s="3435"/>
      <c r="BG1" s="3435"/>
      <c r="BH1" s="3435"/>
      <c r="BI1" s="3435"/>
      <c r="BJ1" s="3435"/>
      <c r="BK1" s="3435"/>
      <c r="BL1" s="3435"/>
      <c r="BM1" s="3435"/>
      <c r="BN1" s="3435"/>
      <c r="BO1" s="2497"/>
      <c r="BQ1" s="2589" t="s">
        <v>199</v>
      </c>
      <c r="BR1" s="2590" t="s">
        <v>1</v>
      </c>
      <c r="BS1" s="612"/>
      <c r="BT1" s="612"/>
      <c r="BU1" s="612"/>
      <c r="BV1" s="612"/>
      <c r="BW1" s="612"/>
      <c r="BX1" s="612"/>
      <c r="BY1" s="612"/>
      <c r="BZ1" s="612"/>
      <c r="CA1" s="612"/>
      <c r="CB1" s="612"/>
      <c r="CC1" s="612"/>
      <c r="CD1" s="612"/>
      <c r="CE1" s="612"/>
      <c r="CF1" s="612"/>
      <c r="CG1" s="612"/>
      <c r="CH1" s="612"/>
      <c r="CI1" s="612"/>
      <c r="CJ1" s="612"/>
      <c r="CK1" s="612"/>
      <c r="CL1" s="612"/>
    </row>
    <row r="2" spans="1:90" ht="16.5" customHeight="1" x14ac:dyDescent="0.2">
      <c r="A2" s="3436"/>
      <c r="B2" s="3872"/>
      <c r="C2" s="3872"/>
      <c r="D2" s="3872"/>
      <c r="E2" s="3872"/>
      <c r="F2" s="3872"/>
      <c r="G2" s="3872"/>
      <c r="H2" s="3872"/>
      <c r="I2" s="3872"/>
      <c r="J2" s="3872"/>
      <c r="K2" s="3872"/>
      <c r="L2" s="3872"/>
      <c r="M2" s="3872"/>
      <c r="N2" s="3872"/>
      <c r="O2" s="3872"/>
      <c r="P2" s="3872"/>
      <c r="Q2" s="3872"/>
      <c r="R2" s="3872"/>
      <c r="S2" s="3872"/>
      <c r="T2" s="3872"/>
      <c r="U2" s="3872"/>
      <c r="V2" s="3872"/>
      <c r="W2" s="3872"/>
      <c r="X2" s="3872"/>
      <c r="Y2" s="3872"/>
      <c r="Z2" s="3872"/>
      <c r="AA2" s="3872"/>
      <c r="AB2" s="3872"/>
      <c r="AC2" s="3872"/>
      <c r="AD2" s="3872"/>
      <c r="AE2" s="3872"/>
      <c r="AF2" s="3872"/>
      <c r="AG2" s="3872"/>
      <c r="AH2" s="3872"/>
      <c r="AI2" s="3872"/>
      <c r="AJ2" s="3872"/>
      <c r="AK2" s="3872"/>
      <c r="AL2" s="3872"/>
      <c r="AM2" s="3872"/>
      <c r="AN2" s="3872"/>
      <c r="AO2" s="3872"/>
      <c r="AP2" s="3872"/>
      <c r="AQ2" s="3872"/>
      <c r="AR2" s="3872"/>
      <c r="AS2" s="3872"/>
      <c r="AT2" s="3872"/>
      <c r="AU2" s="3872"/>
      <c r="AV2" s="3872"/>
      <c r="AW2" s="3872"/>
      <c r="AX2" s="3872"/>
      <c r="AY2" s="3872"/>
      <c r="AZ2" s="3872"/>
      <c r="BA2" s="3872"/>
      <c r="BB2" s="3872"/>
      <c r="BC2" s="3872"/>
      <c r="BD2" s="3872"/>
      <c r="BE2" s="3872"/>
      <c r="BF2" s="3872"/>
      <c r="BG2" s="3872"/>
      <c r="BH2" s="3872"/>
      <c r="BI2" s="3872"/>
      <c r="BJ2" s="3872"/>
      <c r="BK2" s="3872"/>
      <c r="BL2" s="3872"/>
      <c r="BM2" s="3872"/>
      <c r="BN2" s="3872"/>
      <c r="BO2" s="902"/>
      <c r="BQ2" s="904" t="s">
        <v>2</v>
      </c>
      <c r="BR2" s="905" t="s">
        <v>499</v>
      </c>
      <c r="BS2" s="612"/>
      <c r="BT2" s="612"/>
      <c r="BU2" s="612"/>
      <c r="BV2" s="612"/>
      <c r="BW2" s="612"/>
      <c r="BX2" s="612"/>
      <c r="BY2" s="612"/>
      <c r="BZ2" s="612"/>
      <c r="CA2" s="612"/>
      <c r="CB2" s="612"/>
      <c r="CC2" s="612"/>
      <c r="CD2" s="612"/>
      <c r="CE2" s="612"/>
      <c r="CF2" s="612"/>
      <c r="CG2" s="612"/>
      <c r="CH2" s="612"/>
      <c r="CI2" s="612"/>
      <c r="CJ2" s="612"/>
      <c r="CK2" s="612"/>
      <c r="CL2" s="612"/>
    </row>
    <row r="3" spans="1:90" ht="16.5" customHeight="1" x14ac:dyDescent="0.2">
      <c r="A3" s="3436"/>
      <c r="B3" s="3872"/>
      <c r="C3" s="3872"/>
      <c r="D3" s="3872"/>
      <c r="E3" s="3872"/>
      <c r="F3" s="3872"/>
      <c r="G3" s="3872"/>
      <c r="H3" s="3872"/>
      <c r="I3" s="3872"/>
      <c r="J3" s="3872"/>
      <c r="K3" s="3872"/>
      <c r="L3" s="3872"/>
      <c r="M3" s="3872"/>
      <c r="N3" s="3872"/>
      <c r="O3" s="3872"/>
      <c r="P3" s="3872"/>
      <c r="Q3" s="3872"/>
      <c r="R3" s="3872"/>
      <c r="S3" s="3872"/>
      <c r="T3" s="3872"/>
      <c r="U3" s="3872"/>
      <c r="V3" s="3872"/>
      <c r="W3" s="3872"/>
      <c r="X3" s="3872"/>
      <c r="Y3" s="3872"/>
      <c r="Z3" s="3872"/>
      <c r="AA3" s="3872"/>
      <c r="AB3" s="3872"/>
      <c r="AC3" s="3872"/>
      <c r="AD3" s="3872"/>
      <c r="AE3" s="3872"/>
      <c r="AF3" s="3872"/>
      <c r="AG3" s="3872"/>
      <c r="AH3" s="3872"/>
      <c r="AI3" s="3872"/>
      <c r="AJ3" s="3872"/>
      <c r="AK3" s="3872"/>
      <c r="AL3" s="3872"/>
      <c r="AM3" s="3872"/>
      <c r="AN3" s="3872"/>
      <c r="AO3" s="3872"/>
      <c r="AP3" s="3872"/>
      <c r="AQ3" s="3872"/>
      <c r="AR3" s="3872"/>
      <c r="AS3" s="3872"/>
      <c r="AT3" s="3872"/>
      <c r="AU3" s="3872"/>
      <c r="AV3" s="3872"/>
      <c r="AW3" s="3872"/>
      <c r="AX3" s="3872"/>
      <c r="AY3" s="3872"/>
      <c r="AZ3" s="3872"/>
      <c r="BA3" s="3872"/>
      <c r="BB3" s="3872"/>
      <c r="BC3" s="3872"/>
      <c r="BD3" s="3872"/>
      <c r="BE3" s="3872"/>
      <c r="BF3" s="3872"/>
      <c r="BG3" s="3872"/>
      <c r="BH3" s="3872"/>
      <c r="BI3" s="3872"/>
      <c r="BJ3" s="3872"/>
      <c r="BK3" s="3872"/>
      <c r="BL3" s="3872"/>
      <c r="BM3" s="3872"/>
      <c r="BN3" s="3872"/>
      <c r="BO3" s="902"/>
      <c r="BQ3" s="903" t="s">
        <v>3</v>
      </c>
      <c r="BR3" s="905" t="s">
        <v>4</v>
      </c>
      <c r="BS3" s="612"/>
      <c r="BT3" s="612"/>
      <c r="BU3" s="612"/>
      <c r="BV3" s="612"/>
      <c r="BW3" s="612"/>
      <c r="BX3" s="612"/>
      <c r="BY3" s="612"/>
      <c r="BZ3" s="612"/>
      <c r="CA3" s="612"/>
      <c r="CB3" s="612"/>
      <c r="CC3" s="612"/>
      <c r="CD3" s="612"/>
      <c r="CE3" s="612"/>
      <c r="CF3" s="612"/>
      <c r="CG3" s="612"/>
      <c r="CH3" s="612"/>
      <c r="CI3" s="612"/>
      <c r="CJ3" s="612"/>
      <c r="CK3" s="612"/>
      <c r="CL3" s="612"/>
    </row>
    <row r="4" spans="1:90" ht="16.5" customHeight="1" x14ac:dyDescent="0.2">
      <c r="A4" s="3438"/>
      <c r="B4" s="3439"/>
      <c r="C4" s="3439"/>
      <c r="D4" s="3439"/>
      <c r="E4" s="3439"/>
      <c r="F4" s="3439"/>
      <c r="G4" s="3439"/>
      <c r="H4" s="3439"/>
      <c r="I4" s="3439"/>
      <c r="J4" s="3439"/>
      <c r="K4" s="3439"/>
      <c r="L4" s="3439"/>
      <c r="M4" s="3439"/>
      <c r="N4" s="3439"/>
      <c r="O4" s="3439"/>
      <c r="P4" s="3439"/>
      <c r="Q4" s="3439"/>
      <c r="R4" s="3439"/>
      <c r="S4" s="3439"/>
      <c r="T4" s="3439"/>
      <c r="U4" s="3439"/>
      <c r="V4" s="3439"/>
      <c r="W4" s="3439"/>
      <c r="X4" s="3439"/>
      <c r="Y4" s="3439"/>
      <c r="Z4" s="3439"/>
      <c r="AA4" s="3439"/>
      <c r="AB4" s="3439"/>
      <c r="AC4" s="3439"/>
      <c r="AD4" s="3439"/>
      <c r="AE4" s="3439"/>
      <c r="AF4" s="3439"/>
      <c r="AG4" s="3439"/>
      <c r="AH4" s="3439"/>
      <c r="AI4" s="3439"/>
      <c r="AJ4" s="3439"/>
      <c r="AK4" s="3439"/>
      <c r="AL4" s="3439"/>
      <c r="AM4" s="3439"/>
      <c r="AN4" s="3439"/>
      <c r="AO4" s="3439"/>
      <c r="AP4" s="3439"/>
      <c r="AQ4" s="3439"/>
      <c r="AR4" s="3439"/>
      <c r="AS4" s="3439"/>
      <c r="AT4" s="3439"/>
      <c r="AU4" s="3439"/>
      <c r="AV4" s="3439"/>
      <c r="AW4" s="3439"/>
      <c r="AX4" s="3439"/>
      <c r="AY4" s="3439"/>
      <c r="AZ4" s="3439"/>
      <c r="BA4" s="3439"/>
      <c r="BB4" s="3439"/>
      <c r="BC4" s="3439"/>
      <c r="BD4" s="3439"/>
      <c r="BE4" s="3439"/>
      <c r="BF4" s="3439"/>
      <c r="BG4" s="3439"/>
      <c r="BH4" s="3439"/>
      <c r="BI4" s="3439"/>
      <c r="BJ4" s="3439"/>
      <c r="BK4" s="3439"/>
      <c r="BL4" s="3439"/>
      <c r="BM4" s="3439"/>
      <c r="BN4" s="3439"/>
      <c r="BO4" s="2498"/>
      <c r="BQ4" s="903" t="s">
        <v>5</v>
      </c>
      <c r="BR4" s="2591" t="s">
        <v>500</v>
      </c>
      <c r="BS4" s="612"/>
      <c r="BT4" s="612"/>
      <c r="BU4" s="612"/>
      <c r="BV4" s="612"/>
      <c r="BW4" s="612"/>
      <c r="BX4" s="612"/>
      <c r="BY4" s="612"/>
      <c r="BZ4" s="612"/>
      <c r="CA4" s="612"/>
      <c r="CB4" s="612"/>
      <c r="CC4" s="612"/>
      <c r="CD4" s="612"/>
      <c r="CE4" s="612"/>
      <c r="CF4" s="612"/>
      <c r="CG4" s="612"/>
      <c r="CH4" s="612"/>
      <c r="CI4" s="612"/>
      <c r="CJ4" s="612"/>
      <c r="CK4" s="612"/>
      <c r="CL4" s="612"/>
    </row>
    <row r="5" spans="1:90" ht="18" customHeight="1" x14ac:dyDescent="0.2">
      <c r="A5" s="3873" t="s">
        <v>7</v>
      </c>
      <c r="B5" s="3874"/>
      <c r="C5" s="3874"/>
      <c r="D5" s="3874"/>
      <c r="E5" s="3874"/>
      <c r="F5" s="3874"/>
      <c r="G5" s="3874"/>
      <c r="H5" s="3874"/>
      <c r="I5" s="3874"/>
      <c r="J5" s="3874"/>
      <c r="K5" s="3874"/>
      <c r="L5" s="3874"/>
      <c r="M5" s="3874"/>
      <c r="N5" s="2503"/>
      <c r="O5" s="3877" t="s">
        <v>8</v>
      </c>
      <c r="P5" s="3877"/>
      <c r="Q5" s="3877"/>
      <c r="R5" s="3877"/>
      <c r="S5" s="3877"/>
      <c r="T5" s="3877"/>
      <c r="U5" s="3877"/>
      <c r="V5" s="3877"/>
      <c r="W5" s="3877"/>
      <c r="X5" s="3877"/>
      <c r="Y5" s="3877"/>
      <c r="Z5" s="3877"/>
      <c r="AA5" s="3877"/>
      <c r="AB5" s="3877"/>
      <c r="AC5" s="3877"/>
      <c r="AD5" s="3877"/>
      <c r="AE5" s="3877"/>
      <c r="AF5" s="3877"/>
      <c r="AG5" s="3877"/>
      <c r="AH5" s="3877"/>
      <c r="AI5" s="3877"/>
      <c r="AJ5" s="3877"/>
      <c r="AK5" s="3877"/>
      <c r="AL5" s="3877"/>
      <c r="AM5" s="3877"/>
      <c r="AN5" s="3877"/>
      <c r="AO5" s="3877"/>
      <c r="AP5" s="3877"/>
      <c r="AQ5" s="3877"/>
      <c r="AR5" s="3877"/>
      <c r="AS5" s="3877"/>
      <c r="AT5" s="3877"/>
      <c r="AU5" s="3877"/>
      <c r="AV5" s="3877"/>
      <c r="AW5" s="3877"/>
      <c r="AX5" s="3877"/>
      <c r="AY5" s="3877"/>
      <c r="AZ5" s="3877"/>
      <c r="BA5" s="3877"/>
      <c r="BB5" s="3877"/>
      <c r="BC5" s="3877"/>
      <c r="BD5" s="3877"/>
      <c r="BE5" s="3877"/>
      <c r="BF5" s="3877"/>
      <c r="BG5" s="3877"/>
      <c r="BH5" s="3877"/>
      <c r="BI5" s="3877"/>
      <c r="BJ5" s="3877"/>
      <c r="BK5" s="3877"/>
      <c r="BL5" s="3877"/>
      <c r="BM5" s="3877"/>
      <c r="BN5" s="3877"/>
      <c r="BO5" s="3877"/>
      <c r="BP5" s="3877"/>
      <c r="BQ5" s="3878"/>
      <c r="BR5" s="3879"/>
      <c r="BS5" s="612"/>
      <c r="BT5" s="612"/>
      <c r="BU5" s="612"/>
      <c r="BV5" s="612"/>
      <c r="BW5" s="612"/>
      <c r="BX5" s="612"/>
      <c r="BY5" s="612"/>
      <c r="BZ5" s="612"/>
      <c r="CA5" s="612"/>
      <c r="CB5" s="612"/>
      <c r="CC5" s="612"/>
      <c r="CD5" s="612"/>
      <c r="CE5" s="612"/>
      <c r="CF5" s="612"/>
      <c r="CG5" s="612"/>
      <c r="CH5" s="612"/>
      <c r="CI5" s="612"/>
      <c r="CJ5" s="612"/>
      <c r="CK5" s="612"/>
      <c r="CL5" s="612"/>
    </row>
    <row r="6" spans="1:90" ht="18.75" customHeight="1" x14ac:dyDescent="0.2">
      <c r="A6" s="3875"/>
      <c r="B6" s="3876"/>
      <c r="C6" s="3876"/>
      <c r="D6" s="3876"/>
      <c r="E6" s="3876"/>
      <c r="F6" s="3876"/>
      <c r="G6" s="3876"/>
      <c r="H6" s="3876"/>
      <c r="I6" s="3876"/>
      <c r="J6" s="3876"/>
      <c r="K6" s="3876"/>
      <c r="L6" s="3876"/>
      <c r="M6" s="3876"/>
      <c r="N6" s="2505"/>
      <c r="O6" s="2592"/>
      <c r="P6" s="614"/>
      <c r="Q6" s="615"/>
      <c r="R6" s="616"/>
      <c r="S6" s="616"/>
      <c r="T6" s="615"/>
      <c r="U6" s="615"/>
      <c r="V6" s="2593"/>
      <c r="W6" s="2594"/>
      <c r="X6" s="616"/>
      <c r="Y6" s="2505"/>
      <c r="Z6" s="2505"/>
      <c r="AA6" s="2505"/>
      <c r="AB6" s="3878" t="s">
        <v>107</v>
      </c>
      <c r="AC6" s="3880"/>
      <c r="AD6" s="3880"/>
      <c r="AE6" s="3880"/>
      <c r="AF6" s="3880"/>
      <c r="AG6" s="3880"/>
      <c r="AH6" s="3880"/>
      <c r="AI6" s="3880"/>
      <c r="AJ6" s="3880"/>
      <c r="AK6" s="3880"/>
      <c r="AL6" s="3880"/>
      <c r="AM6" s="3880"/>
      <c r="AN6" s="3880"/>
      <c r="AO6" s="3880"/>
      <c r="AP6" s="3880"/>
      <c r="AQ6" s="3880"/>
      <c r="AR6" s="3880"/>
      <c r="AS6" s="3880"/>
      <c r="AT6" s="3880"/>
      <c r="AU6" s="3880"/>
      <c r="AV6" s="3880"/>
      <c r="AW6" s="3880"/>
      <c r="AX6" s="3880"/>
      <c r="AY6" s="3880"/>
      <c r="AZ6" s="3880"/>
      <c r="BA6" s="3880"/>
      <c r="BB6" s="3880"/>
      <c r="BC6" s="3880"/>
      <c r="BD6" s="3881"/>
      <c r="BE6" s="2505"/>
      <c r="BF6" s="2505"/>
      <c r="BG6" s="2505"/>
      <c r="BH6" s="2505"/>
      <c r="BI6" s="2505"/>
      <c r="BJ6" s="2505"/>
      <c r="BK6" s="2505"/>
      <c r="BL6" s="2505"/>
      <c r="BM6" s="2505"/>
      <c r="BN6" s="616"/>
      <c r="BO6" s="616"/>
      <c r="BP6" s="616"/>
      <c r="BQ6" s="616"/>
      <c r="BR6" s="2595"/>
      <c r="BS6" s="612"/>
      <c r="BT6" s="612"/>
      <c r="BU6" s="612"/>
      <c r="BV6" s="612"/>
      <c r="BW6" s="612"/>
      <c r="BX6" s="612"/>
      <c r="BY6" s="612"/>
      <c r="BZ6" s="612"/>
      <c r="CA6" s="612"/>
      <c r="CB6" s="612"/>
      <c r="CC6" s="612"/>
      <c r="CD6" s="612"/>
      <c r="CE6" s="612"/>
      <c r="CF6" s="612"/>
      <c r="CG6" s="612"/>
      <c r="CH6" s="612"/>
      <c r="CI6" s="612"/>
      <c r="CJ6" s="612"/>
      <c r="CK6" s="612"/>
      <c r="CL6" s="612"/>
    </row>
    <row r="7" spans="1:90" ht="18.75" customHeight="1" x14ac:dyDescent="0.2">
      <c r="A7" s="2504"/>
      <c r="B7" s="2505"/>
      <c r="C7" s="2505"/>
      <c r="D7" s="2505"/>
      <c r="E7" s="2505"/>
      <c r="F7" s="2505"/>
      <c r="G7" s="2505"/>
      <c r="H7" s="2505"/>
      <c r="I7" s="2505"/>
      <c r="J7" s="2505"/>
      <c r="K7" s="2593"/>
      <c r="L7" s="615"/>
      <c r="M7" s="2505"/>
      <c r="N7" s="2505"/>
      <c r="O7" s="2592"/>
      <c r="P7" s="614"/>
      <c r="Q7" s="615"/>
      <c r="R7" s="616"/>
      <c r="S7" s="616"/>
      <c r="T7" s="615"/>
      <c r="U7" s="615"/>
      <c r="V7" s="2593"/>
      <c r="W7" s="2594"/>
      <c r="X7" s="616"/>
      <c r="Y7" s="2505"/>
      <c r="Z7" s="2505"/>
      <c r="AA7" s="2505"/>
      <c r="AB7" s="3882" t="s">
        <v>23</v>
      </c>
      <c r="AC7" s="3883"/>
      <c r="AD7" s="3883"/>
      <c r="AE7" s="3884"/>
      <c r="AF7" s="3885" t="s">
        <v>24</v>
      </c>
      <c r="AG7" s="3886"/>
      <c r="AH7" s="3886"/>
      <c r="AI7" s="3886"/>
      <c r="AJ7" s="3886"/>
      <c r="AK7" s="3886"/>
      <c r="AL7" s="3886"/>
      <c r="AM7" s="3887"/>
      <c r="AN7" s="3888" t="s">
        <v>25</v>
      </c>
      <c r="AO7" s="3889"/>
      <c r="AP7" s="3889"/>
      <c r="AQ7" s="3889"/>
      <c r="AR7" s="3889"/>
      <c r="AS7" s="3889"/>
      <c r="AT7" s="3889"/>
      <c r="AU7" s="3889"/>
      <c r="AV7" s="3889"/>
      <c r="AW7" s="3889"/>
      <c r="AX7" s="3889"/>
      <c r="AY7" s="3890"/>
      <c r="AZ7" s="3885" t="s">
        <v>26</v>
      </c>
      <c r="BA7" s="3886"/>
      <c r="BB7" s="3886"/>
      <c r="BC7" s="3886"/>
      <c r="BD7" s="3886"/>
      <c r="BE7" s="3887"/>
      <c r="BF7" s="3891" t="s">
        <v>27</v>
      </c>
      <c r="BG7" s="3892"/>
      <c r="BH7" s="3895"/>
      <c r="BI7" s="3895"/>
      <c r="BJ7" s="3895"/>
      <c r="BK7" s="3895"/>
      <c r="BL7" s="3895"/>
      <c r="BM7" s="3895"/>
      <c r="BN7" s="3895"/>
      <c r="BO7" s="3895"/>
      <c r="BP7" s="3895"/>
      <c r="BQ7" s="3895"/>
      <c r="BR7" s="3896"/>
      <c r="BS7" s="612"/>
      <c r="BT7" s="612"/>
      <c r="BU7" s="612"/>
      <c r="BV7" s="612"/>
      <c r="BW7" s="612"/>
      <c r="BX7" s="612"/>
      <c r="BY7" s="612"/>
      <c r="BZ7" s="612"/>
      <c r="CA7" s="612"/>
      <c r="CB7" s="612"/>
      <c r="CC7" s="612"/>
      <c r="CD7" s="612"/>
      <c r="CE7" s="612"/>
      <c r="CF7" s="612"/>
      <c r="CG7" s="612"/>
      <c r="CH7" s="612"/>
      <c r="CI7" s="612"/>
      <c r="CJ7" s="612"/>
      <c r="CK7" s="612"/>
      <c r="CL7" s="612"/>
    </row>
    <row r="8" spans="1:90" s="598" customFormat="1" ht="91.5" customHeight="1" x14ac:dyDescent="0.25">
      <c r="A8" s="3900" t="s">
        <v>0</v>
      </c>
      <c r="B8" s="3493" t="s">
        <v>9</v>
      </c>
      <c r="C8" s="3493"/>
      <c r="D8" s="3493" t="s">
        <v>0</v>
      </c>
      <c r="E8" s="3493" t="s">
        <v>10</v>
      </c>
      <c r="F8" s="3493"/>
      <c r="G8" s="3493" t="s">
        <v>0</v>
      </c>
      <c r="H8" s="3493" t="s">
        <v>11</v>
      </c>
      <c r="I8" s="3493"/>
      <c r="J8" s="3493" t="s">
        <v>0</v>
      </c>
      <c r="K8" s="3493" t="s">
        <v>12</v>
      </c>
      <c r="L8" s="3897" t="s">
        <v>13</v>
      </c>
      <c r="M8" s="3898" t="s">
        <v>1015</v>
      </c>
      <c r="N8" s="3899"/>
      <c r="O8" s="3493" t="s">
        <v>15</v>
      </c>
      <c r="P8" s="3493" t="s">
        <v>108</v>
      </c>
      <c r="Q8" s="3493" t="s">
        <v>8</v>
      </c>
      <c r="R8" s="3868" t="s">
        <v>17</v>
      </c>
      <c r="S8" s="3865" t="s">
        <v>18</v>
      </c>
      <c r="T8" s="3493" t="s">
        <v>19</v>
      </c>
      <c r="U8" s="3493" t="s">
        <v>20</v>
      </c>
      <c r="V8" s="3493" t="s">
        <v>21</v>
      </c>
      <c r="W8" s="3865" t="s">
        <v>2361</v>
      </c>
      <c r="X8" s="3865"/>
      <c r="Y8" s="3865"/>
      <c r="Z8" s="3866" t="s">
        <v>2393</v>
      </c>
      <c r="AA8" s="3901" t="s">
        <v>2394</v>
      </c>
      <c r="AB8" s="3863" t="s">
        <v>37</v>
      </c>
      <c r="AC8" s="3864"/>
      <c r="AD8" s="3863" t="s">
        <v>38</v>
      </c>
      <c r="AE8" s="3864"/>
      <c r="AF8" s="3863" t="s">
        <v>39</v>
      </c>
      <c r="AG8" s="3864"/>
      <c r="AH8" s="3863" t="s">
        <v>40</v>
      </c>
      <c r="AI8" s="3864"/>
      <c r="AJ8" s="3863" t="s">
        <v>2351</v>
      </c>
      <c r="AK8" s="3864"/>
      <c r="AL8" s="3863" t="s">
        <v>42</v>
      </c>
      <c r="AM8" s="3864"/>
      <c r="AN8" s="3863" t="s">
        <v>43</v>
      </c>
      <c r="AO8" s="3864"/>
      <c r="AP8" s="3863" t="s">
        <v>44</v>
      </c>
      <c r="AQ8" s="3864"/>
      <c r="AR8" s="3863" t="s">
        <v>45</v>
      </c>
      <c r="AS8" s="3864"/>
      <c r="AT8" s="3863" t="s">
        <v>46</v>
      </c>
      <c r="AU8" s="3864"/>
      <c r="AV8" s="3863" t="s">
        <v>47</v>
      </c>
      <c r="AW8" s="3864"/>
      <c r="AX8" s="3863" t="s">
        <v>48</v>
      </c>
      <c r="AY8" s="3864"/>
      <c r="AZ8" s="3863" t="s">
        <v>49</v>
      </c>
      <c r="BA8" s="3864"/>
      <c r="BB8" s="3863" t="s">
        <v>50</v>
      </c>
      <c r="BC8" s="3864"/>
      <c r="BD8" s="3863" t="s">
        <v>51</v>
      </c>
      <c r="BE8" s="3864"/>
      <c r="BF8" s="3893"/>
      <c r="BG8" s="3894"/>
      <c r="BH8" s="3869" t="s">
        <v>28</v>
      </c>
      <c r="BI8" s="3870"/>
      <c r="BJ8" s="3870"/>
      <c r="BK8" s="3870"/>
      <c r="BL8" s="3870"/>
      <c r="BM8" s="3871"/>
      <c r="BN8" s="3849" t="s">
        <v>29</v>
      </c>
      <c r="BO8" s="3850"/>
      <c r="BP8" s="3851" t="s">
        <v>2395</v>
      </c>
      <c r="BQ8" s="3851"/>
      <c r="BR8" s="3852" t="s">
        <v>31</v>
      </c>
      <c r="BS8" s="2596"/>
      <c r="BT8" s="2596"/>
      <c r="BU8" s="2596"/>
      <c r="BV8" s="2596"/>
      <c r="BW8" s="2596"/>
      <c r="BX8" s="2596"/>
      <c r="BY8" s="2596"/>
      <c r="BZ8" s="2596"/>
      <c r="CA8" s="2596"/>
      <c r="CB8" s="2596"/>
      <c r="CC8" s="2596"/>
      <c r="CD8" s="2596"/>
      <c r="CE8" s="2596"/>
      <c r="CF8" s="2596"/>
      <c r="CG8" s="2596"/>
      <c r="CH8" s="2596"/>
      <c r="CI8" s="2596"/>
      <c r="CJ8" s="2596"/>
      <c r="CK8" s="2596"/>
      <c r="CL8" s="2596"/>
    </row>
    <row r="9" spans="1:90" s="598" customFormat="1" ht="47.25" customHeight="1" x14ac:dyDescent="0.25">
      <c r="A9" s="3900"/>
      <c r="B9" s="3493"/>
      <c r="C9" s="3493"/>
      <c r="D9" s="3493"/>
      <c r="E9" s="3493"/>
      <c r="F9" s="3493"/>
      <c r="G9" s="3493"/>
      <c r="H9" s="3493"/>
      <c r="I9" s="3493"/>
      <c r="J9" s="3493"/>
      <c r="K9" s="3493"/>
      <c r="L9" s="3897"/>
      <c r="M9" s="2499" t="s">
        <v>32</v>
      </c>
      <c r="N9" s="2499" t="s">
        <v>33</v>
      </c>
      <c r="O9" s="3493"/>
      <c r="P9" s="3493"/>
      <c r="Q9" s="3493"/>
      <c r="R9" s="3868"/>
      <c r="S9" s="3865"/>
      <c r="T9" s="3493"/>
      <c r="U9" s="3493"/>
      <c r="V9" s="3493"/>
      <c r="W9" s="2597" t="s">
        <v>34</v>
      </c>
      <c r="X9" s="2499" t="s">
        <v>35</v>
      </c>
      <c r="Y9" s="2499" t="s">
        <v>36</v>
      </c>
      <c r="Z9" s="3867"/>
      <c r="AA9" s="3902"/>
      <c r="AB9" s="2515" t="s">
        <v>32</v>
      </c>
      <c r="AC9" s="2515" t="s">
        <v>33</v>
      </c>
      <c r="AD9" s="2515" t="s">
        <v>32</v>
      </c>
      <c r="AE9" s="2515" t="s">
        <v>33</v>
      </c>
      <c r="AF9" s="2515" t="s">
        <v>32</v>
      </c>
      <c r="AG9" s="2515" t="s">
        <v>33</v>
      </c>
      <c r="AH9" s="2515" t="s">
        <v>32</v>
      </c>
      <c r="AI9" s="2515" t="s">
        <v>33</v>
      </c>
      <c r="AJ9" s="2515" t="s">
        <v>32</v>
      </c>
      <c r="AK9" s="2515" t="s">
        <v>33</v>
      </c>
      <c r="AL9" s="2515" t="s">
        <v>32</v>
      </c>
      <c r="AM9" s="2515" t="s">
        <v>33</v>
      </c>
      <c r="AN9" s="2515" t="s">
        <v>32</v>
      </c>
      <c r="AO9" s="2515" t="s">
        <v>33</v>
      </c>
      <c r="AP9" s="2515" t="s">
        <v>32</v>
      </c>
      <c r="AQ9" s="2515" t="s">
        <v>33</v>
      </c>
      <c r="AR9" s="2515" t="s">
        <v>32</v>
      </c>
      <c r="AS9" s="2515" t="s">
        <v>33</v>
      </c>
      <c r="AT9" s="2515" t="s">
        <v>32</v>
      </c>
      <c r="AU9" s="2515" t="s">
        <v>33</v>
      </c>
      <c r="AV9" s="2515" t="s">
        <v>32</v>
      </c>
      <c r="AW9" s="2515" t="s">
        <v>33</v>
      </c>
      <c r="AX9" s="2515" t="s">
        <v>32</v>
      </c>
      <c r="AY9" s="2515" t="s">
        <v>33</v>
      </c>
      <c r="AZ9" s="2515" t="s">
        <v>32</v>
      </c>
      <c r="BA9" s="2515" t="s">
        <v>33</v>
      </c>
      <c r="BB9" s="2515" t="s">
        <v>32</v>
      </c>
      <c r="BC9" s="2515" t="s">
        <v>33</v>
      </c>
      <c r="BD9" s="2515" t="s">
        <v>32</v>
      </c>
      <c r="BE9" s="2515" t="s">
        <v>33</v>
      </c>
      <c r="BF9" s="2515" t="s">
        <v>32</v>
      </c>
      <c r="BG9" s="2515" t="s">
        <v>33</v>
      </c>
      <c r="BH9" s="2598" t="s">
        <v>112</v>
      </c>
      <c r="BI9" s="2598" t="s">
        <v>53</v>
      </c>
      <c r="BJ9" s="2598" t="s">
        <v>54</v>
      </c>
      <c r="BK9" s="2598" t="s">
        <v>55</v>
      </c>
      <c r="BL9" s="2598" t="s">
        <v>56</v>
      </c>
      <c r="BM9" s="2598" t="s">
        <v>57</v>
      </c>
      <c r="BN9" s="1093" t="s">
        <v>32</v>
      </c>
      <c r="BO9" s="1093" t="s">
        <v>33</v>
      </c>
      <c r="BP9" s="1093" t="s">
        <v>32</v>
      </c>
      <c r="BQ9" s="1093" t="s">
        <v>33</v>
      </c>
      <c r="BR9" s="3852"/>
      <c r="BS9" s="2596"/>
      <c r="BT9" s="2596"/>
      <c r="BU9" s="2596"/>
      <c r="BV9" s="2596"/>
      <c r="BW9" s="2596"/>
      <c r="BX9" s="2596"/>
      <c r="BY9" s="2596"/>
      <c r="BZ9" s="2596"/>
      <c r="CA9" s="2596"/>
      <c r="CB9" s="2596"/>
      <c r="CC9" s="2596"/>
      <c r="CD9" s="2596"/>
      <c r="CE9" s="2596"/>
      <c r="CF9" s="2596"/>
      <c r="CG9" s="2596"/>
      <c r="CH9" s="2596"/>
      <c r="CI9" s="2596"/>
      <c r="CJ9" s="2596"/>
      <c r="CK9" s="2596"/>
      <c r="CL9" s="2596"/>
    </row>
    <row r="10" spans="1:90" s="2606" customFormat="1" ht="18.75" customHeight="1" x14ac:dyDescent="0.2">
      <c r="A10" s="2599">
        <v>4</v>
      </c>
      <c r="B10" s="921" t="s">
        <v>2396</v>
      </c>
      <c r="C10" s="921"/>
      <c r="D10" s="1242"/>
      <c r="E10" s="1242"/>
      <c r="F10" s="1242"/>
      <c r="G10" s="1242"/>
      <c r="H10" s="1242"/>
      <c r="I10" s="1242"/>
      <c r="J10" s="1188"/>
      <c r="K10" s="2600"/>
      <c r="L10" s="2601"/>
      <c r="M10" s="1242"/>
      <c r="N10" s="1242"/>
      <c r="O10" s="1189"/>
      <c r="P10" s="1188"/>
      <c r="Q10" s="2601"/>
      <c r="R10" s="2602"/>
      <c r="S10" s="2603"/>
      <c r="T10" s="2601"/>
      <c r="U10" s="2600"/>
      <c r="V10" s="2600"/>
      <c r="W10" s="2600"/>
      <c r="X10" s="2600"/>
      <c r="Y10" s="2600"/>
      <c r="Z10" s="2600"/>
      <c r="AA10" s="2600"/>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2604"/>
      <c r="BA10" s="2604"/>
      <c r="BB10" s="2604"/>
      <c r="BC10" s="2604"/>
      <c r="BD10" s="2601"/>
      <c r="BE10" s="2601"/>
      <c r="BF10" s="2601"/>
      <c r="BG10" s="2601"/>
      <c r="BH10" s="2601"/>
      <c r="BI10" s="2601"/>
      <c r="BJ10" s="2601"/>
      <c r="BK10" s="2601"/>
      <c r="BL10" s="2601"/>
      <c r="BM10" s="2601"/>
      <c r="BN10" s="2601"/>
      <c r="BO10" s="2601"/>
      <c r="BP10" s="2601"/>
      <c r="BQ10" s="2601"/>
      <c r="BR10" s="2605"/>
    </row>
    <row r="11" spans="1:90" s="440" customFormat="1" ht="21.75" customHeight="1" x14ac:dyDescent="0.2">
      <c r="A11" s="3853"/>
      <c r="B11" s="3856"/>
      <c r="C11" s="3857"/>
      <c r="D11" s="1099">
        <v>23</v>
      </c>
      <c r="E11" s="2607" t="s">
        <v>2397</v>
      </c>
      <c r="F11" s="2607"/>
      <c r="G11" s="2608"/>
      <c r="H11" s="2608"/>
      <c r="I11" s="2608"/>
      <c r="J11" s="2609"/>
      <c r="K11" s="2610"/>
      <c r="L11" s="2611"/>
      <c r="M11" s="2608"/>
      <c r="N11" s="2608"/>
      <c r="O11" s="2612"/>
      <c r="P11" s="2609"/>
      <c r="Q11" s="2611"/>
      <c r="R11" s="2613"/>
      <c r="S11" s="2614"/>
      <c r="T11" s="2611"/>
      <c r="U11" s="2610"/>
      <c r="V11" s="2610"/>
      <c r="W11" s="2615"/>
      <c r="X11" s="2615"/>
      <c r="Y11" s="2616"/>
      <c r="Z11" s="2616"/>
      <c r="AA11" s="2616"/>
      <c r="AB11" s="2608"/>
      <c r="AC11" s="2608"/>
      <c r="AD11" s="2608"/>
      <c r="AE11" s="2608"/>
      <c r="AF11" s="2608"/>
      <c r="AG11" s="2608"/>
      <c r="AH11" s="2608"/>
      <c r="AI11" s="2608"/>
      <c r="AJ11" s="2608"/>
      <c r="AK11" s="2608"/>
      <c r="AL11" s="2608"/>
      <c r="AM11" s="2608"/>
      <c r="AN11" s="2608"/>
      <c r="AO11" s="2608"/>
      <c r="AP11" s="2608"/>
      <c r="AQ11" s="2608"/>
      <c r="AR11" s="2608"/>
      <c r="AS11" s="2608"/>
      <c r="AT11" s="2608"/>
      <c r="AU11" s="2608"/>
      <c r="AV11" s="2608"/>
      <c r="AW11" s="2608"/>
      <c r="AX11" s="2608"/>
      <c r="AY11" s="2608"/>
      <c r="AZ11" s="2617"/>
      <c r="BA11" s="2617"/>
      <c r="BB11" s="2617"/>
      <c r="BC11" s="2617"/>
      <c r="BD11" s="2611"/>
      <c r="BE11" s="2611"/>
      <c r="BF11" s="2611"/>
      <c r="BG11" s="2611"/>
      <c r="BH11" s="2611"/>
      <c r="BI11" s="2611"/>
      <c r="BJ11" s="2611"/>
      <c r="BK11" s="2611"/>
      <c r="BL11" s="2611"/>
      <c r="BM11" s="2611"/>
      <c r="BN11" s="2611"/>
      <c r="BO11" s="2611"/>
      <c r="BP11" s="2611"/>
      <c r="BQ11" s="2611"/>
      <c r="BR11" s="2618"/>
    </row>
    <row r="12" spans="1:90" s="440" customFormat="1" ht="15.75" customHeight="1" x14ac:dyDescent="0.2">
      <c r="A12" s="3854"/>
      <c r="B12" s="3858"/>
      <c r="C12" s="3859"/>
      <c r="D12" s="3862"/>
      <c r="E12" s="3502"/>
      <c r="F12" s="3502"/>
      <c r="G12" s="2619">
        <v>75</v>
      </c>
      <c r="H12" s="1109" t="s">
        <v>2398</v>
      </c>
      <c r="I12" s="1109"/>
      <c r="J12" s="2620"/>
      <c r="K12" s="2363"/>
      <c r="L12" s="2367"/>
      <c r="M12" s="1209"/>
      <c r="N12" s="1209"/>
      <c r="O12" s="1215"/>
      <c r="P12" s="1216"/>
      <c r="Q12" s="1111"/>
      <c r="R12" s="2621"/>
      <c r="S12" s="2622"/>
      <c r="T12" s="2367"/>
      <c r="U12" s="2363"/>
      <c r="V12" s="2363"/>
      <c r="W12" s="2623"/>
      <c r="X12" s="2623"/>
      <c r="Y12" s="2366"/>
      <c r="Z12" s="2366"/>
      <c r="AA12" s="2366"/>
      <c r="AB12" s="1209"/>
      <c r="AC12" s="1209"/>
      <c r="AD12" s="1209"/>
      <c r="AE12" s="1209"/>
      <c r="AF12" s="1209"/>
      <c r="AG12" s="1209"/>
      <c r="AH12" s="1209"/>
      <c r="AI12" s="1209"/>
      <c r="AJ12" s="1209"/>
      <c r="AK12" s="1209"/>
      <c r="AL12" s="1209"/>
      <c r="AM12" s="1209"/>
      <c r="AN12" s="1209"/>
      <c r="AO12" s="1209"/>
      <c r="AP12" s="1209"/>
      <c r="AQ12" s="1209"/>
      <c r="AR12" s="1209"/>
      <c r="AS12" s="1209"/>
      <c r="AT12" s="1209"/>
      <c r="AU12" s="1209"/>
      <c r="AV12" s="1209"/>
      <c r="AW12" s="1209"/>
      <c r="AX12" s="1209"/>
      <c r="AY12" s="1209"/>
      <c r="AZ12" s="2624"/>
      <c r="BA12" s="2624"/>
      <c r="BB12" s="2624"/>
      <c r="BC12" s="2624"/>
      <c r="BD12" s="2367"/>
      <c r="BE12" s="2367"/>
      <c r="BF12" s="2367"/>
      <c r="BG12" s="2367"/>
      <c r="BH12" s="2367"/>
      <c r="BI12" s="2367"/>
      <c r="BJ12" s="2367"/>
      <c r="BK12" s="2367"/>
      <c r="BL12" s="2367"/>
      <c r="BM12" s="2367"/>
      <c r="BN12" s="2367"/>
      <c r="BO12" s="2367"/>
      <c r="BP12" s="2367"/>
      <c r="BQ12" s="2367"/>
      <c r="BR12" s="2625"/>
    </row>
    <row r="13" spans="1:90" s="438" customFormat="1" ht="33.75" customHeight="1" x14ac:dyDescent="0.2">
      <c r="A13" s="3854"/>
      <c r="B13" s="3858"/>
      <c r="C13" s="3859"/>
      <c r="D13" s="3862"/>
      <c r="E13" s="3502"/>
      <c r="F13" s="3502"/>
      <c r="G13" s="440"/>
      <c r="H13" s="2626"/>
      <c r="I13" s="396"/>
      <c r="J13" s="3838">
        <v>214</v>
      </c>
      <c r="K13" s="3674" t="s">
        <v>2399</v>
      </c>
      <c r="L13" s="3708" t="s">
        <v>2400</v>
      </c>
      <c r="M13" s="3705">
        <v>1</v>
      </c>
      <c r="N13" s="3705">
        <v>0</v>
      </c>
      <c r="O13" s="3847"/>
      <c r="P13" s="3790" t="s">
        <v>2401</v>
      </c>
      <c r="Q13" s="3698" t="s">
        <v>2402</v>
      </c>
      <c r="R13" s="3806">
        <f>SUM(W13:W14)/S13</f>
        <v>5.2487744082888388E-3</v>
      </c>
      <c r="S13" s="3809">
        <f>SUM(W13:W49)</f>
        <v>6668223337</v>
      </c>
      <c r="T13" s="3665" t="s">
        <v>2403</v>
      </c>
      <c r="U13" s="3665" t="s">
        <v>2404</v>
      </c>
      <c r="V13" s="3795" t="s">
        <v>2405</v>
      </c>
      <c r="W13" s="2627">
        <v>15000000</v>
      </c>
      <c r="X13" s="2627">
        <v>0</v>
      </c>
      <c r="Y13" s="2627">
        <v>0</v>
      </c>
      <c r="Z13" s="2628">
        <v>20</v>
      </c>
      <c r="AA13" s="2629" t="s">
        <v>2406</v>
      </c>
      <c r="AB13" s="3764">
        <v>292684</v>
      </c>
      <c r="AC13" s="3764">
        <v>49853</v>
      </c>
      <c r="AD13" s="3764">
        <v>282326</v>
      </c>
      <c r="AE13" s="3764">
        <v>47898</v>
      </c>
      <c r="AF13" s="3841">
        <v>174947</v>
      </c>
      <c r="AG13" s="3841">
        <v>12420</v>
      </c>
      <c r="AH13" s="3841">
        <v>128988</v>
      </c>
      <c r="AI13" s="3841">
        <v>38500</v>
      </c>
      <c r="AJ13" s="3841">
        <v>197432</v>
      </c>
      <c r="AK13" s="3841">
        <v>27450</v>
      </c>
      <c r="AL13" s="3844">
        <v>73643</v>
      </c>
      <c r="AM13" s="3844">
        <v>19381</v>
      </c>
      <c r="AN13" s="3664"/>
      <c r="AO13" s="3764"/>
      <c r="AP13" s="3664"/>
      <c r="AQ13" s="3764"/>
      <c r="AR13" s="3631"/>
      <c r="AS13" s="2630"/>
      <c r="AT13" s="3663"/>
      <c r="AU13" s="3631"/>
      <c r="AV13" s="3663"/>
      <c r="AW13" s="3631"/>
      <c r="AX13" s="3663"/>
      <c r="AY13" s="3631"/>
      <c r="AZ13" s="3663"/>
      <c r="BA13" s="3631"/>
      <c r="BB13" s="3663"/>
      <c r="BC13" s="3631"/>
      <c r="BD13" s="3663"/>
      <c r="BE13" s="2630"/>
      <c r="BF13" s="3764">
        <v>575010</v>
      </c>
      <c r="BG13" s="3631">
        <v>97751</v>
      </c>
      <c r="BH13" s="3631">
        <v>17</v>
      </c>
      <c r="BI13" s="3625">
        <f>SUM(X13:X49)</f>
        <v>1296746411</v>
      </c>
      <c r="BJ13" s="3625">
        <f>SUM(Y13:Y49)</f>
        <v>314443075</v>
      </c>
      <c r="BK13" s="3628">
        <f>BJ13/BI13</f>
        <v>0.24248617334326286</v>
      </c>
      <c r="BL13" s="2630"/>
      <c r="BM13" s="2630"/>
      <c r="BN13" s="3619">
        <v>43480</v>
      </c>
      <c r="BO13" s="3619">
        <v>43605</v>
      </c>
      <c r="BP13" s="3619">
        <v>43819</v>
      </c>
      <c r="BQ13" s="3619">
        <v>43820</v>
      </c>
      <c r="BR13" s="3729" t="s">
        <v>2407</v>
      </c>
      <c r="BS13" s="3690"/>
      <c r="BT13" s="3836"/>
    </row>
    <row r="14" spans="1:90" s="438" customFormat="1" ht="34.5" customHeight="1" x14ac:dyDescent="0.2">
      <c r="A14" s="3854"/>
      <c r="B14" s="3858"/>
      <c r="C14" s="3859"/>
      <c r="D14" s="3862"/>
      <c r="E14" s="3502"/>
      <c r="F14" s="3502"/>
      <c r="G14" s="440"/>
      <c r="H14" s="2631"/>
      <c r="I14" s="2632"/>
      <c r="J14" s="3840"/>
      <c r="K14" s="3647"/>
      <c r="L14" s="3709"/>
      <c r="M14" s="3653"/>
      <c r="N14" s="3653"/>
      <c r="O14" s="3848"/>
      <c r="P14" s="3790"/>
      <c r="Q14" s="3648"/>
      <c r="R14" s="3808"/>
      <c r="S14" s="3810"/>
      <c r="T14" s="3665"/>
      <c r="U14" s="3665"/>
      <c r="V14" s="3796"/>
      <c r="W14" s="2627">
        <v>20000000</v>
      </c>
      <c r="X14" s="2627">
        <v>0</v>
      </c>
      <c r="Y14" s="2627">
        <v>0</v>
      </c>
      <c r="Z14" s="2628">
        <v>92</v>
      </c>
      <c r="AA14" s="2629" t="s">
        <v>2408</v>
      </c>
      <c r="AB14" s="3765"/>
      <c r="AC14" s="3765"/>
      <c r="AD14" s="3765"/>
      <c r="AE14" s="3765"/>
      <c r="AF14" s="3842"/>
      <c r="AG14" s="3842"/>
      <c r="AH14" s="3842"/>
      <c r="AI14" s="3842"/>
      <c r="AJ14" s="3842"/>
      <c r="AK14" s="3842"/>
      <c r="AL14" s="3845"/>
      <c r="AM14" s="3845"/>
      <c r="AN14" s="3664"/>
      <c r="AO14" s="3765"/>
      <c r="AP14" s="3664"/>
      <c r="AQ14" s="3765"/>
      <c r="AR14" s="3632"/>
      <c r="AS14" s="2633"/>
      <c r="AT14" s="3663"/>
      <c r="AU14" s="3632"/>
      <c r="AV14" s="3663"/>
      <c r="AW14" s="3632"/>
      <c r="AX14" s="3663"/>
      <c r="AY14" s="3632"/>
      <c r="AZ14" s="3663"/>
      <c r="BA14" s="3632"/>
      <c r="BB14" s="3663"/>
      <c r="BC14" s="3632"/>
      <c r="BD14" s="3663"/>
      <c r="BE14" s="2633"/>
      <c r="BF14" s="3765"/>
      <c r="BG14" s="3632"/>
      <c r="BH14" s="3632"/>
      <c r="BI14" s="3626"/>
      <c r="BJ14" s="3626"/>
      <c r="BK14" s="3629"/>
      <c r="BL14" s="2633"/>
      <c r="BM14" s="2633"/>
      <c r="BN14" s="3620"/>
      <c r="BO14" s="3620"/>
      <c r="BP14" s="3620"/>
      <c r="BQ14" s="3620"/>
      <c r="BR14" s="3729"/>
      <c r="BS14" s="3690"/>
      <c r="BT14" s="3836"/>
    </row>
    <row r="15" spans="1:90" s="438" customFormat="1" ht="60" customHeight="1" x14ac:dyDescent="0.2">
      <c r="A15" s="3854"/>
      <c r="B15" s="3858"/>
      <c r="C15" s="3859"/>
      <c r="D15" s="3862"/>
      <c r="E15" s="3502"/>
      <c r="F15" s="3502"/>
      <c r="G15" s="440"/>
      <c r="H15" s="2631"/>
      <c r="I15" s="2632"/>
      <c r="J15" s="2629">
        <v>215</v>
      </c>
      <c r="K15" s="2634" t="s">
        <v>2409</v>
      </c>
      <c r="L15" s="2635" t="s">
        <v>2410</v>
      </c>
      <c r="M15" s="2636">
        <v>2</v>
      </c>
      <c r="N15" s="2636">
        <v>2</v>
      </c>
      <c r="O15" s="3848"/>
      <c r="P15" s="3790"/>
      <c r="Q15" s="3648"/>
      <c r="R15" s="2637">
        <f>SUM(W15)/S13</f>
        <v>2.2494747464095024E-3</v>
      </c>
      <c r="S15" s="3810"/>
      <c r="T15" s="3665"/>
      <c r="U15" s="3665"/>
      <c r="V15" s="2638" t="s">
        <v>2411</v>
      </c>
      <c r="W15" s="374">
        <v>15000000</v>
      </c>
      <c r="X15" s="374">
        <v>14332000</v>
      </c>
      <c r="Y15" s="374">
        <v>14332000</v>
      </c>
      <c r="Z15" s="2628">
        <v>20</v>
      </c>
      <c r="AA15" s="2629" t="s">
        <v>2412</v>
      </c>
      <c r="AB15" s="3765"/>
      <c r="AC15" s="3765"/>
      <c r="AD15" s="3765"/>
      <c r="AE15" s="3765"/>
      <c r="AF15" s="3842"/>
      <c r="AG15" s="3842"/>
      <c r="AH15" s="3842"/>
      <c r="AI15" s="3842"/>
      <c r="AJ15" s="3842"/>
      <c r="AK15" s="3842"/>
      <c r="AL15" s="3845"/>
      <c r="AM15" s="3845"/>
      <c r="AN15" s="3664"/>
      <c r="AO15" s="3765"/>
      <c r="AP15" s="3664"/>
      <c r="AQ15" s="3765"/>
      <c r="AR15" s="3765"/>
      <c r="AS15" s="2639"/>
      <c r="AT15" s="3664"/>
      <c r="AU15" s="3632"/>
      <c r="AV15" s="3664"/>
      <c r="AW15" s="3632"/>
      <c r="AX15" s="3664"/>
      <c r="AY15" s="3632"/>
      <c r="AZ15" s="3664"/>
      <c r="BA15" s="3632"/>
      <c r="BB15" s="3664"/>
      <c r="BC15" s="3632"/>
      <c r="BD15" s="3664"/>
      <c r="BE15" s="2639"/>
      <c r="BF15" s="3765"/>
      <c r="BG15" s="3632"/>
      <c r="BH15" s="3632"/>
      <c r="BI15" s="3626"/>
      <c r="BJ15" s="3626"/>
      <c r="BK15" s="3629"/>
      <c r="BL15" s="2633"/>
      <c r="BM15" s="2633"/>
      <c r="BN15" s="3620"/>
      <c r="BO15" s="3620"/>
      <c r="BP15" s="3620"/>
      <c r="BQ15" s="3620"/>
      <c r="BR15" s="3688"/>
      <c r="BS15" s="3690"/>
      <c r="BT15" s="3836"/>
    </row>
    <row r="16" spans="1:90" s="438" customFormat="1" ht="41.25" customHeight="1" x14ac:dyDescent="0.2">
      <c r="A16" s="3854"/>
      <c r="B16" s="3858"/>
      <c r="C16" s="3859"/>
      <c r="D16" s="3862"/>
      <c r="E16" s="3502"/>
      <c r="F16" s="3502"/>
      <c r="G16" s="440"/>
      <c r="H16" s="2631"/>
      <c r="I16" s="2632"/>
      <c r="J16" s="3831">
        <v>216</v>
      </c>
      <c r="K16" s="3665" t="s">
        <v>2413</v>
      </c>
      <c r="L16" s="3720" t="s">
        <v>2414</v>
      </c>
      <c r="M16" s="3837">
        <v>3.9940000000000002</v>
      </c>
      <c r="N16" s="3672">
        <v>0</v>
      </c>
      <c r="O16" s="3848"/>
      <c r="P16" s="3790"/>
      <c r="Q16" s="3648"/>
      <c r="R16" s="3775">
        <f>SUM(W16:W19)/S13</f>
        <v>0.17096008072712218</v>
      </c>
      <c r="S16" s="3810"/>
      <c r="T16" s="3665"/>
      <c r="U16" s="3665"/>
      <c r="V16" s="2638" t="s">
        <v>2415</v>
      </c>
      <c r="W16" s="2512">
        <v>0</v>
      </c>
      <c r="X16" s="2511">
        <v>0</v>
      </c>
      <c r="Y16" s="2512">
        <v>0</v>
      </c>
      <c r="Z16" s="2509">
        <v>20</v>
      </c>
      <c r="AA16" s="2513" t="s">
        <v>2406</v>
      </c>
      <c r="AB16" s="3765"/>
      <c r="AC16" s="3765"/>
      <c r="AD16" s="3765"/>
      <c r="AE16" s="3765"/>
      <c r="AF16" s="3842"/>
      <c r="AG16" s="3842"/>
      <c r="AH16" s="3842"/>
      <c r="AI16" s="3842"/>
      <c r="AJ16" s="3842"/>
      <c r="AK16" s="3842"/>
      <c r="AL16" s="3845"/>
      <c r="AM16" s="3845"/>
      <c r="AN16" s="3664"/>
      <c r="AO16" s="3765"/>
      <c r="AP16" s="3664"/>
      <c r="AQ16" s="3765"/>
      <c r="AR16" s="3765"/>
      <c r="AS16" s="2639"/>
      <c r="AT16" s="3664"/>
      <c r="AU16" s="3632"/>
      <c r="AV16" s="3664"/>
      <c r="AW16" s="3632"/>
      <c r="AX16" s="3664"/>
      <c r="AY16" s="3632"/>
      <c r="AZ16" s="3664"/>
      <c r="BA16" s="3632"/>
      <c r="BB16" s="3664"/>
      <c r="BC16" s="3632"/>
      <c r="BD16" s="3664"/>
      <c r="BE16" s="2639"/>
      <c r="BF16" s="3765"/>
      <c r="BG16" s="3632"/>
      <c r="BH16" s="3632"/>
      <c r="BI16" s="3626"/>
      <c r="BJ16" s="3626"/>
      <c r="BK16" s="3629"/>
      <c r="BL16" s="2633"/>
      <c r="BM16" s="2633"/>
      <c r="BN16" s="3620"/>
      <c r="BO16" s="3620"/>
      <c r="BP16" s="3620"/>
      <c r="BQ16" s="3620"/>
      <c r="BR16" s="3688"/>
      <c r="BS16" s="3690"/>
      <c r="BT16" s="3836"/>
    </row>
    <row r="17" spans="1:72" s="438" customFormat="1" ht="44.25" customHeight="1" x14ac:dyDescent="0.2">
      <c r="A17" s="3854"/>
      <c r="B17" s="3858"/>
      <c r="C17" s="3859"/>
      <c r="D17" s="3862"/>
      <c r="E17" s="3502"/>
      <c r="F17" s="3502"/>
      <c r="G17" s="440"/>
      <c r="H17" s="2631"/>
      <c r="I17" s="2632"/>
      <c r="J17" s="3831"/>
      <c r="K17" s="3665"/>
      <c r="L17" s="3720"/>
      <c r="M17" s="3837"/>
      <c r="N17" s="3672"/>
      <c r="O17" s="3848"/>
      <c r="P17" s="3790"/>
      <c r="Q17" s="3648"/>
      <c r="R17" s="3775"/>
      <c r="S17" s="3810"/>
      <c r="T17" s="3665"/>
      <c r="U17" s="3665"/>
      <c r="V17" s="2638" t="s">
        <v>2416</v>
      </c>
      <c r="W17" s="2512">
        <v>915000000</v>
      </c>
      <c r="X17" s="2511">
        <v>0</v>
      </c>
      <c r="Y17" s="2512">
        <v>0</v>
      </c>
      <c r="Z17" s="2509">
        <v>92</v>
      </c>
      <c r="AA17" s="2500" t="s">
        <v>2408</v>
      </c>
      <c r="AB17" s="3765"/>
      <c r="AC17" s="3765"/>
      <c r="AD17" s="3765"/>
      <c r="AE17" s="3765"/>
      <c r="AF17" s="3842"/>
      <c r="AG17" s="3842"/>
      <c r="AH17" s="3842"/>
      <c r="AI17" s="3842"/>
      <c r="AJ17" s="3842"/>
      <c r="AK17" s="3842"/>
      <c r="AL17" s="3845"/>
      <c r="AM17" s="3845"/>
      <c r="AN17" s="3664"/>
      <c r="AO17" s="3765"/>
      <c r="AP17" s="3664"/>
      <c r="AQ17" s="3765"/>
      <c r="AR17" s="3765"/>
      <c r="AS17" s="2639"/>
      <c r="AT17" s="3664"/>
      <c r="AU17" s="3632"/>
      <c r="AV17" s="3664"/>
      <c r="AW17" s="3632"/>
      <c r="AX17" s="3664"/>
      <c r="AY17" s="3632"/>
      <c r="AZ17" s="3664"/>
      <c r="BA17" s="3632"/>
      <c r="BB17" s="3664"/>
      <c r="BC17" s="3632"/>
      <c r="BD17" s="3664"/>
      <c r="BE17" s="2639"/>
      <c r="BF17" s="3765"/>
      <c r="BG17" s="3632"/>
      <c r="BH17" s="3632"/>
      <c r="BI17" s="3626"/>
      <c r="BJ17" s="3626"/>
      <c r="BK17" s="3629"/>
      <c r="BL17" s="2633"/>
      <c r="BM17" s="2633"/>
      <c r="BN17" s="3620"/>
      <c r="BO17" s="3620"/>
      <c r="BP17" s="3620"/>
      <c r="BQ17" s="3620"/>
      <c r="BR17" s="3688"/>
      <c r="BS17" s="2640"/>
      <c r="BT17" s="2641"/>
    </row>
    <row r="18" spans="1:72" s="438" customFormat="1" ht="51" customHeight="1" x14ac:dyDescent="0.2">
      <c r="A18" s="3854"/>
      <c r="B18" s="3858"/>
      <c r="C18" s="3859"/>
      <c r="D18" s="3862"/>
      <c r="E18" s="3502"/>
      <c r="F18" s="3502"/>
      <c r="G18" s="440"/>
      <c r="H18" s="2631"/>
      <c r="I18" s="2632"/>
      <c r="J18" s="3831"/>
      <c r="K18" s="3665"/>
      <c r="L18" s="3720"/>
      <c r="M18" s="3837"/>
      <c r="N18" s="3672"/>
      <c r="O18" s="3848"/>
      <c r="P18" s="3790"/>
      <c r="Q18" s="3648"/>
      <c r="R18" s="3775"/>
      <c r="S18" s="3810"/>
      <c r="T18" s="3665"/>
      <c r="U18" s="3665"/>
      <c r="V18" s="2635" t="s">
        <v>2417</v>
      </c>
      <c r="W18" s="2627">
        <v>25000000</v>
      </c>
      <c r="X18" s="1170">
        <v>0</v>
      </c>
      <c r="Y18" s="2642">
        <v>0</v>
      </c>
      <c r="Z18" s="2509">
        <v>20</v>
      </c>
      <c r="AA18" s="2513" t="s">
        <v>2406</v>
      </c>
      <c r="AB18" s="3765"/>
      <c r="AC18" s="3765"/>
      <c r="AD18" s="3765"/>
      <c r="AE18" s="3765"/>
      <c r="AF18" s="3842"/>
      <c r="AG18" s="3842"/>
      <c r="AH18" s="3842"/>
      <c r="AI18" s="3842"/>
      <c r="AJ18" s="3842"/>
      <c r="AK18" s="3842"/>
      <c r="AL18" s="3845"/>
      <c r="AM18" s="3845"/>
      <c r="AN18" s="3664"/>
      <c r="AO18" s="3765"/>
      <c r="AP18" s="3664"/>
      <c r="AQ18" s="3765"/>
      <c r="AR18" s="3765"/>
      <c r="AS18" s="2639"/>
      <c r="AT18" s="3664"/>
      <c r="AU18" s="3632"/>
      <c r="AV18" s="3664"/>
      <c r="AW18" s="3632"/>
      <c r="AX18" s="3664"/>
      <c r="AY18" s="3632"/>
      <c r="AZ18" s="3664"/>
      <c r="BA18" s="3632"/>
      <c r="BB18" s="3664"/>
      <c r="BC18" s="3632"/>
      <c r="BD18" s="3664"/>
      <c r="BE18" s="2639"/>
      <c r="BF18" s="3765"/>
      <c r="BG18" s="3632"/>
      <c r="BH18" s="3632"/>
      <c r="BI18" s="3626"/>
      <c r="BJ18" s="3626"/>
      <c r="BK18" s="3629"/>
      <c r="BL18" s="2633"/>
      <c r="BM18" s="2633"/>
      <c r="BN18" s="3620"/>
      <c r="BO18" s="3620"/>
      <c r="BP18" s="3620"/>
      <c r="BQ18" s="3620"/>
      <c r="BR18" s="3688"/>
      <c r="BS18" s="2640"/>
      <c r="BT18" s="2641"/>
    </row>
    <row r="19" spans="1:72" s="438" customFormat="1" ht="42" customHeight="1" x14ac:dyDescent="0.2">
      <c r="A19" s="3854"/>
      <c r="B19" s="3858"/>
      <c r="C19" s="3859"/>
      <c r="D19" s="3862"/>
      <c r="E19" s="3502"/>
      <c r="F19" s="3502"/>
      <c r="G19" s="440"/>
      <c r="H19" s="2631"/>
      <c r="I19" s="2632"/>
      <c r="J19" s="3831"/>
      <c r="K19" s="3665"/>
      <c r="L19" s="3720"/>
      <c r="M19" s="3837"/>
      <c r="N19" s="3672"/>
      <c r="O19" s="3848"/>
      <c r="P19" s="3790"/>
      <c r="Q19" s="3648"/>
      <c r="R19" s="3775"/>
      <c r="S19" s="3810"/>
      <c r="T19" s="3665"/>
      <c r="U19" s="3665"/>
      <c r="V19" s="2643" t="s">
        <v>2418</v>
      </c>
      <c r="W19" s="2627">
        <v>200000000</v>
      </c>
      <c r="X19" s="1170"/>
      <c r="Y19" s="2642"/>
      <c r="Z19" s="2509">
        <v>92</v>
      </c>
      <c r="AA19" s="2500" t="s">
        <v>2408</v>
      </c>
      <c r="AB19" s="3765"/>
      <c r="AC19" s="3765"/>
      <c r="AD19" s="3765"/>
      <c r="AE19" s="3765"/>
      <c r="AF19" s="3842"/>
      <c r="AG19" s="3842"/>
      <c r="AH19" s="3842"/>
      <c r="AI19" s="3842"/>
      <c r="AJ19" s="3842"/>
      <c r="AK19" s="3842"/>
      <c r="AL19" s="3845"/>
      <c r="AM19" s="3845"/>
      <c r="AN19" s="3664"/>
      <c r="AO19" s="3765"/>
      <c r="AP19" s="3664"/>
      <c r="AQ19" s="3765"/>
      <c r="AR19" s="3765"/>
      <c r="AS19" s="2639"/>
      <c r="AT19" s="3664"/>
      <c r="AU19" s="3632"/>
      <c r="AV19" s="3664"/>
      <c r="AW19" s="3632"/>
      <c r="AX19" s="3664"/>
      <c r="AY19" s="3632"/>
      <c r="AZ19" s="3664"/>
      <c r="BA19" s="3632"/>
      <c r="BB19" s="3664"/>
      <c r="BC19" s="3632"/>
      <c r="BD19" s="3664"/>
      <c r="BE19" s="2639"/>
      <c r="BF19" s="3765"/>
      <c r="BG19" s="3632"/>
      <c r="BH19" s="3632"/>
      <c r="BI19" s="3626"/>
      <c r="BJ19" s="3626"/>
      <c r="BK19" s="3629"/>
      <c r="BL19" s="2633"/>
      <c r="BM19" s="2633"/>
      <c r="BN19" s="3620"/>
      <c r="BO19" s="3620"/>
      <c r="BP19" s="3620"/>
      <c r="BQ19" s="3620"/>
      <c r="BR19" s="3688"/>
      <c r="BS19" s="440"/>
      <c r="BT19" s="440"/>
    </row>
    <row r="20" spans="1:72" s="438" customFormat="1" ht="35.25" customHeight="1" x14ac:dyDescent="0.2">
      <c r="A20" s="3854"/>
      <c r="B20" s="3858"/>
      <c r="C20" s="3859"/>
      <c r="D20" s="3862"/>
      <c r="E20" s="3502"/>
      <c r="F20" s="3502"/>
      <c r="G20" s="440"/>
      <c r="H20" s="2631"/>
      <c r="I20" s="2632"/>
      <c r="J20" s="3838">
        <v>217</v>
      </c>
      <c r="K20" s="3674" t="s">
        <v>2419</v>
      </c>
      <c r="L20" s="3708" t="s">
        <v>2420</v>
      </c>
      <c r="M20" s="3705">
        <v>5</v>
      </c>
      <c r="N20" s="3833">
        <v>0.2</v>
      </c>
      <c r="O20" s="2644"/>
      <c r="P20" s="3790"/>
      <c r="Q20" s="3648"/>
      <c r="R20" s="3792">
        <f>SUM(W20:W46)/S13</f>
        <v>0.80285603322467125</v>
      </c>
      <c r="S20" s="3810"/>
      <c r="T20" s="3665"/>
      <c r="U20" s="3697"/>
      <c r="V20" s="3223" t="s">
        <v>2421</v>
      </c>
      <c r="W20" s="2627">
        <v>2263240971</v>
      </c>
      <c r="X20" s="2627">
        <f>3360000+576785230</f>
        <v>580145230</v>
      </c>
      <c r="Y20" s="2627">
        <v>3360000</v>
      </c>
      <c r="Z20" s="2628">
        <v>42</v>
      </c>
      <c r="AA20" s="2629" t="s">
        <v>2422</v>
      </c>
      <c r="AB20" s="3765"/>
      <c r="AC20" s="3765"/>
      <c r="AD20" s="3765"/>
      <c r="AE20" s="3765"/>
      <c r="AF20" s="3842"/>
      <c r="AG20" s="3842"/>
      <c r="AH20" s="3842"/>
      <c r="AI20" s="3842"/>
      <c r="AJ20" s="3842"/>
      <c r="AK20" s="3842"/>
      <c r="AL20" s="3845"/>
      <c r="AM20" s="3845"/>
      <c r="AN20" s="3664"/>
      <c r="AO20" s="3765"/>
      <c r="AP20" s="3664"/>
      <c r="AQ20" s="3765"/>
      <c r="AR20" s="3765"/>
      <c r="AS20" s="2639"/>
      <c r="AT20" s="3664"/>
      <c r="AU20" s="3632"/>
      <c r="AV20" s="3664"/>
      <c r="AW20" s="3632"/>
      <c r="AX20" s="3664"/>
      <c r="AY20" s="3632"/>
      <c r="AZ20" s="3664"/>
      <c r="BA20" s="3632"/>
      <c r="BB20" s="3664"/>
      <c r="BC20" s="3632"/>
      <c r="BD20" s="3664"/>
      <c r="BE20" s="2639"/>
      <c r="BF20" s="3765"/>
      <c r="BG20" s="3632"/>
      <c r="BH20" s="3632"/>
      <c r="BI20" s="3626"/>
      <c r="BJ20" s="3626"/>
      <c r="BK20" s="3629"/>
      <c r="BL20" s="2633"/>
      <c r="BM20" s="2633"/>
      <c r="BN20" s="3620"/>
      <c r="BO20" s="3620"/>
      <c r="BP20" s="3620"/>
      <c r="BQ20" s="3620"/>
      <c r="BR20" s="3688"/>
      <c r="BS20" s="440"/>
      <c r="BT20" s="440"/>
    </row>
    <row r="21" spans="1:72" s="438" customFormat="1" ht="28.5" x14ac:dyDescent="0.2">
      <c r="A21" s="3854"/>
      <c r="B21" s="3858"/>
      <c r="C21" s="3859"/>
      <c r="D21" s="3862"/>
      <c r="E21" s="3502"/>
      <c r="F21" s="3502"/>
      <c r="G21" s="440"/>
      <c r="H21" s="2631"/>
      <c r="I21" s="2632"/>
      <c r="J21" s="3839"/>
      <c r="K21" s="3646"/>
      <c r="L21" s="3728"/>
      <c r="M21" s="3652"/>
      <c r="N21" s="3834"/>
      <c r="O21" s="2644"/>
      <c r="P21" s="3790"/>
      <c r="Q21" s="3648"/>
      <c r="R21" s="3793"/>
      <c r="S21" s="3810"/>
      <c r="T21" s="3665"/>
      <c r="U21" s="3697"/>
      <c r="V21" s="3224"/>
      <c r="W21" s="329">
        <v>2135000000</v>
      </c>
      <c r="X21" s="329">
        <f>207595500+96109815</f>
        <v>303705315</v>
      </c>
      <c r="Y21" s="329">
        <v>103797750</v>
      </c>
      <c r="Z21" s="2628">
        <v>92</v>
      </c>
      <c r="AA21" s="2629" t="s">
        <v>2408</v>
      </c>
      <c r="AB21" s="3765"/>
      <c r="AC21" s="3765"/>
      <c r="AD21" s="3765"/>
      <c r="AE21" s="3765"/>
      <c r="AF21" s="3842"/>
      <c r="AG21" s="3842"/>
      <c r="AH21" s="3842"/>
      <c r="AI21" s="3842"/>
      <c r="AJ21" s="3842"/>
      <c r="AK21" s="3842"/>
      <c r="AL21" s="3845"/>
      <c r="AM21" s="3845"/>
      <c r="AN21" s="3664"/>
      <c r="AO21" s="3765"/>
      <c r="AP21" s="3664"/>
      <c r="AQ21" s="3765"/>
      <c r="AR21" s="3765"/>
      <c r="AS21" s="2639"/>
      <c r="AT21" s="3664"/>
      <c r="AU21" s="3632"/>
      <c r="AV21" s="3664"/>
      <c r="AW21" s="3632"/>
      <c r="AX21" s="3664"/>
      <c r="AY21" s="3632"/>
      <c r="AZ21" s="3664"/>
      <c r="BA21" s="3632"/>
      <c r="BB21" s="3664"/>
      <c r="BC21" s="3632"/>
      <c r="BD21" s="3664"/>
      <c r="BE21" s="2639"/>
      <c r="BF21" s="3765"/>
      <c r="BG21" s="3632"/>
      <c r="BH21" s="3632"/>
      <c r="BI21" s="3626"/>
      <c r="BJ21" s="3626"/>
      <c r="BK21" s="3629"/>
      <c r="BL21" s="2633"/>
      <c r="BM21" s="2633"/>
      <c r="BN21" s="3620"/>
      <c r="BO21" s="3620"/>
      <c r="BP21" s="3620"/>
      <c r="BQ21" s="3620"/>
      <c r="BR21" s="3688"/>
      <c r="BS21" s="440"/>
      <c r="BT21" s="440"/>
    </row>
    <row r="22" spans="1:72" s="438" customFormat="1" ht="35.25" customHeight="1" x14ac:dyDescent="0.2">
      <c r="A22" s="3854"/>
      <c r="B22" s="3858"/>
      <c r="C22" s="3859"/>
      <c r="D22" s="3862"/>
      <c r="E22" s="3502"/>
      <c r="F22" s="3502"/>
      <c r="G22" s="440"/>
      <c r="H22" s="2631"/>
      <c r="I22" s="2632"/>
      <c r="J22" s="3839"/>
      <c r="K22" s="3646"/>
      <c r="L22" s="3728"/>
      <c r="M22" s="3652"/>
      <c r="N22" s="3834"/>
      <c r="O22" s="2644"/>
      <c r="P22" s="3790"/>
      <c r="Q22" s="3648"/>
      <c r="R22" s="3793"/>
      <c r="S22" s="3810"/>
      <c r="T22" s="3665"/>
      <c r="U22" s="3697"/>
      <c r="V22" s="3223" t="s">
        <v>2423</v>
      </c>
      <c r="W22" s="2627">
        <v>103000000</v>
      </c>
      <c r="X22" s="2627">
        <v>3382366</v>
      </c>
      <c r="Y22" s="2627">
        <v>3382366</v>
      </c>
      <c r="Z22" s="2628">
        <v>42</v>
      </c>
      <c r="AA22" s="2629" t="s">
        <v>2422</v>
      </c>
      <c r="AB22" s="3765"/>
      <c r="AC22" s="3765"/>
      <c r="AD22" s="3765"/>
      <c r="AE22" s="3765"/>
      <c r="AF22" s="3842"/>
      <c r="AG22" s="3842"/>
      <c r="AH22" s="3842"/>
      <c r="AI22" s="3842"/>
      <c r="AJ22" s="3842"/>
      <c r="AK22" s="3842"/>
      <c r="AL22" s="3845"/>
      <c r="AM22" s="3845"/>
      <c r="AN22" s="3664"/>
      <c r="AO22" s="3765"/>
      <c r="AP22" s="3664"/>
      <c r="AQ22" s="3765"/>
      <c r="AR22" s="3765"/>
      <c r="AS22" s="2639"/>
      <c r="AT22" s="3664"/>
      <c r="AU22" s="3632"/>
      <c r="AV22" s="3664"/>
      <c r="AW22" s="3632"/>
      <c r="AX22" s="3664"/>
      <c r="AY22" s="3632"/>
      <c r="AZ22" s="3664"/>
      <c r="BA22" s="3632"/>
      <c r="BB22" s="3664"/>
      <c r="BC22" s="3632"/>
      <c r="BD22" s="3664"/>
      <c r="BE22" s="2639"/>
      <c r="BF22" s="3765"/>
      <c r="BG22" s="3632"/>
      <c r="BH22" s="3632"/>
      <c r="BI22" s="3626"/>
      <c r="BJ22" s="3626"/>
      <c r="BK22" s="3629"/>
      <c r="BL22" s="2633"/>
      <c r="BM22" s="2633"/>
      <c r="BN22" s="3620"/>
      <c r="BO22" s="3620"/>
      <c r="BP22" s="3620"/>
      <c r="BQ22" s="3620"/>
      <c r="BR22" s="3688"/>
      <c r="BS22" s="440"/>
      <c r="BT22" s="440"/>
    </row>
    <row r="23" spans="1:72" s="438" customFormat="1" ht="38.25" customHeight="1" x14ac:dyDescent="0.2">
      <c r="A23" s="3854"/>
      <c r="B23" s="3858"/>
      <c r="C23" s="3859"/>
      <c r="D23" s="3862"/>
      <c r="E23" s="3502"/>
      <c r="F23" s="3502"/>
      <c r="G23" s="440"/>
      <c r="H23" s="2631"/>
      <c r="I23" s="2632"/>
      <c r="J23" s="3839"/>
      <c r="K23" s="3646"/>
      <c r="L23" s="3728"/>
      <c r="M23" s="3652"/>
      <c r="N23" s="3834"/>
      <c r="O23" s="2644"/>
      <c r="P23" s="3790"/>
      <c r="Q23" s="3648"/>
      <c r="R23" s="3793"/>
      <c r="S23" s="3810"/>
      <c r="T23" s="3665"/>
      <c r="U23" s="3697"/>
      <c r="V23" s="3224"/>
      <c r="W23" s="2512">
        <v>200000000</v>
      </c>
      <c r="X23" s="2627"/>
      <c r="Y23" s="2627"/>
      <c r="Z23" s="2628">
        <v>92</v>
      </c>
      <c r="AA23" s="2629" t="s">
        <v>2408</v>
      </c>
      <c r="AB23" s="3765"/>
      <c r="AC23" s="3765"/>
      <c r="AD23" s="3765"/>
      <c r="AE23" s="3765"/>
      <c r="AF23" s="3842"/>
      <c r="AG23" s="3842"/>
      <c r="AH23" s="3842"/>
      <c r="AI23" s="3842"/>
      <c r="AJ23" s="3842"/>
      <c r="AK23" s="3842"/>
      <c r="AL23" s="3845"/>
      <c r="AM23" s="3845"/>
      <c r="AN23" s="3664"/>
      <c r="AO23" s="3765"/>
      <c r="AP23" s="3664"/>
      <c r="AQ23" s="3765"/>
      <c r="AR23" s="3765"/>
      <c r="AS23" s="2639"/>
      <c r="AT23" s="3664"/>
      <c r="AU23" s="3632"/>
      <c r="AV23" s="3664"/>
      <c r="AW23" s="3632"/>
      <c r="AX23" s="3664"/>
      <c r="AY23" s="3632"/>
      <c r="AZ23" s="3664"/>
      <c r="BA23" s="3632"/>
      <c r="BB23" s="3664"/>
      <c r="BC23" s="3632"/>
      <c r="BD23" s="3664"/>
      <c r="BE23" s="2639"/>
      <c r="BF23" s="3765"/>
      <c r="BG23" s="3632"/>
      <c r="BH23" s="3632"/>
      <c r="BI23" s="3626"/>
      <c r="BJ23" s="3626"/>
      <c r="BK23" s="3629"/>
      <c r="BL23" s="2633"/>
      <c r="BM23" s="2633"/>
      <c r="BN23" s="3620"/>
      <c r="BO23" s="3620"/>
      <c r="BP23" s="3620"/>
      <c r="BQ23" s="3620"/>
      <c r="BR23" s="3688"/>
      <c r="BS23" s="440"/>
      <c r="BT23" s="440"/>
    </row>
    <row r="24" spans="1:72" s="438" customFormat="1" ht="34.5" customHeight="1" x14ac:dyDescent="0.2">
      <c r="A24" s="3854"/>
      <c r="B24" s="3858"/>
      <c r="C24" s="3859"/>
      <c r="D24" s="3862"/>
      <c r="E24" s="3502"/>
      <c r="F24" s="3502"/>
      <c r="G24" s="440"/>
      <c r="H24" s="2631"/>
      <c r="I24" s="2632"/>
      <c r="J24" s="3839"/>
      <c r="K24" s="3646"/>
      <c r="L24" s="3728"/>
      <c r="M24" s="3652"/>
      <c r="N24" s="3834"/>
      <c r="O24" s="2644"/>
      <c r="P24" s="3790"/>
      <c r="Q24" s="3648"/>
      <c r="R24" s="3793"/>
      <c r="S24" s="3810"/>
      <c r="T24" s="3665"/>
      <c r="U24" s="3697"/>
      <c r="V24" s="3223" t="s">
        <v>2424</v>
      </c>
      <c r="W24" s="2627">
        <v>100000000</v>
      </c>
      <c r="X24" s="2627">
        <v>100000000</v>
      </c>
      <c r="Y24" s="2627">
        <v>47124609</v>
      </c>
      <c r="Z24" s="2628">
        <v>42</v>
      </c>
      <c r="AA24" s="2629" t="s">
        <v>2422</v>
      </c>
      <c r="AB24" s="3765"/>
      <c r="AC24" s="3765"/>
      <c r="AD24" s="3765"/>
      <c r="AE24" s="3765"/>
      <c r="AF24" s="3842"/>
      <c r="AG24" s="3842"/>
      <c r="AH24" s="3842"/>
      <c r="AI24" s="3842"/>
      <c r="AJ24" s="3842"/>
      <c r="AK24" s="3842"/>
      <c r="AL24" s="3845"/>
      <c r="AM24" s="3845"/>
      <c r="AN24" s="3664"/>
      <c r="AO24" s="3765"/>
      <c r="AP24" s="3664"/>
      <c r="AQ24" s="3765"/>
      <c r="AR24" s="3765"/>
      <c r="AS24" s="2639"/>
      <c r="AT24" s="3664"/>
      <c r="AU24" s="3632"/>
      <c r="AV24" s="3664"/>
      <c r="AW24" s="3632"/>
      <c r="AX24" s="3664"/>
      <c r="AY24" s="3632"/>
      <c r="AZ24" s="3664"/>
      <c r="BA24" s="3632"/>
      <c r="BB24" s="3664"/>
      <c r="BC24" s="3632"/>
      <c r="BD24" s="3664"/>
      <c r="BE24" s="2639"/>
      <c r="BF24" s="3765"/>
      <c r="BG24" s="3632"/>
      <c r="BH24" s="3632"/>
      <c r="BI24" s="3626"/>
      <c r="BJ24" s="3626"/>
      <c r="BK24" s="3629"/>
      <c r="BL24" s="2633"/>
      <c r="BM24" s="2633"/>
      <c r="BN24" s="3620"/>
      <c r="BO24" s="3620"/>
      <c r="BP24" s="3620"/>
      <c r="BQ24" s="3620"/>
      <c r="BR24" s="3688"/>
      <c r="BS24" s="440"/>
      <c r="BT24" s="440"/>
    </row>
    <row r="25" spans="1:72" s="438" customFormat="1" ht="39" customHeight="1" x14ac:dyDescent="0.2">
      <c r="A25" s="3854"/>
      <c r="B25" s="3858"/>
      <c r="C25" s="3859"/>
      <c r="D25" s="3862"/>
      <c r="E25" s="3502"/>
      <c r="F25" s="3502"/>
      <c r="G25" s="440"/>
      <c r="H25" s="2631"/>
      <c r="I25" s="2632"/>
      <c r="J25" s="3839"/>
      <c r="K25" s="3646"/>
      <c r="L25" s="3728"/>
      <c r="M25" s="3652"/>
      <c r="N25" s="3834"/>
      <c r="O25" s="2644"/>
      <c r="P25" s="3790"/>
      <c r="Q25" s="3648"/>
      <c r="R25" s="3793"/>
      <c r="S25" s="3810"/>
      <c r="T25" s="3665"/>
      <c r="U25" s="3697"/>
      <c r="V25" s="3224"/>
      <c r="W25" s="2627">
        <v>0</v>
      </c>
      <c r="X25" s="2627">
        <v>0</v>
      </c>
      <c r="Y25" s="2627">
        <v>0</v>
      </c>
      <c r="Z25" s="2628">
        <v>92</v>
      </c>
      <c r="AA25" s="2629" t="s">
        <v>2408</v>
      </c>
      <c r="AB25" s="3765"/>
      <c r="AC25" s="3765"/>
      <c r="AD25" s="3765"/>
      <c r="AE25" s="3765"/>
      <c r="AF25" s="3842"/>
      <c r="AG25" s="3842"/>
      <c r="AH25" s="3842"/>
      <c r="AI25" s="3842"/>
      <c r="AJ25" s="3842"/>
      <c r="AK25" s="3842"/>
      <c r="AL25" s="3845"/>
      <c r="AM25" s="3845"/>
      <c r="AN25" s="3664"/>
      <c r="AO25" s="3765"/>
      <c r="AP25" s="3664"/>
      <c r="AQ25" s="3765"/>
      <c r="AR25" s="3765"/>
      <c r="AS25" s="2639"/>
      <c r="AT25" s="3664"/>
      <c r="AU25" s="3632"/>
      <c r="AV25" s="3664"/>
      <c r="AW25" s="3632"/>
      <c r="AX25" s="3664"/>
      <c r="AY25" s="3632"/>
      <c r="AZ25" s="3664"/>
      <c r="BA25" s="3632"/>
      <c r="BB25" s="3664"/>
      <c r="BC25" s="3632"/>
      <c r="BD25" s="3664"/>
      <c r="BE25" s="2639"/>
      <c r="BF25" s="3765"/>
      <c r="BG25" s="3632"/>
      <c r="BH25" s="3632"/>
      <c r="BI25" s="3626"/>
      <c r="BJ25" s="3626"/>
      <c r="BK25" s="3629"/>
      <c r="BL25" s="2633"/>
      <c r="BM25" s="2633"/>
      <c r="BN25" s="3620"/>
      <c r="BO25" s="3620"/>
      <c r="BP25" s="3620"/>
      <c r="BQ25" s="3620"/>
      <c r="BR25" s="3688"/>
      <c r="BS25" s="440"/>
      <c r="BT25" s="440"/>
    </row>
    <row r="26" spans="1:72" s="438" customFormat="1" ht="54" customHeight="1" x14ac:dyDescent="0.2">
      <c r="A26" s="3854"/>
      <c r="B26" s="3858"/>
      <c r="C26" s="3859"/>
      <c r="D26" s="3862"/>
      <c r="E26" s="3502"/>
      <c r="F26" s="3502"/>
      <c r="G26" s="440"/>
      <c r="H26" s="2631"/>
      <c r="I26" s="2632"/>
      <c r="J26" s="3839"/>
      <c r="K26" s="3646"/>
      <c r="L26" s="3728"/>
      <c r="M26" s="3652"/>
      <c r="N26" s="3834"/>
      <c r="O26" s="2644"/>
      <c r="P26" s="3790"/>
      <c r="Q26" s="3648"/>
      <c r="R26" s="3793"/>
      <c r="S26" s="3810"/>
      <c r="T26" s="3665"/>
      <c r="U26" s="3697"/>
      <c r="V26" s="2645" t="s">
        <v>2425</v>
      </c>
      <c r="W26" s="2512">
        <v>0</v>
      </c>
      <c r="X26" s="2512">
        <v>0</v>
      </c>
      <c r="Y26" s="2512">
        <v>0</v>
      </c>
      <c r="Z26" s="2628">
        <v>42</v>
      </c>
      <c r="AA26" s="2629" t="s">
        <v>2422</v>
      </c>
      <c r="AB26" s="3765"/>
      <c r="AC26" s="3765"/>
      <c r="AD26" s="3765"/>
      <c r="AE26" s="3765"/>
      <c r="AF26" s="3842"/>
      <c r="AG26" s="3842"/>
      <c r="AH26" s="3842"/>
      <c r="AI26" s="3842"/>
      <c r="AJ26" s="3842"/>
      <c r="AK26" s="3842"/>
      <c r="AL26" s="3845"/>
      <c r="AM26" s="3845"/>
      <c r="AN26" s="3664"/>
      <c r="AO26" s="3765"/>
      <c r="AP26" s="3664"/>
      <c r="AQ26" s="3765"/>
      <c r="AR26" s="3765"/>
      <c r="AS26" s="2639"/>
      <c r="AT26" s="3664"/>
      <c r="AU26" s="3632"/>
      <c r="AV26" s="3664"/>
      <c r="AW26" s="3632"/>
      <c r="AX26" s="3664"/>
      <c r="AY26" s="3632"/>
      <c r="AZ26" s="3664"/>
      <c r="BA26" s="3632"/>
      <c r="BB26" s="3664"/>
      <c r="BC26" s="3632"/>
      <c r="BD26" s="3664"/>
      <c r="BE26" s="2639"/>
      <c r="BF26" s="3765"/>
      <c r="BG26" s="3632"/>
      <c r="BH26" s="3632"/>
      <c r="BI26" s="3626"/>
      <c r="BJ26" s="3626"/>
      <c r="BK26" s="3629"/>
      <c r="BL26" s="2646">
        <v>20</v>
      </c>
      <c r="BM26" s="2501"/>
      <c r="BN26" s="3620"/>
      <c r="BO26" s="3620"/>
      <c r="BP26" s="3620"/>
      <c r="BQ26" s="3620"/>
      <c r="BR26" s="3688"/>
      <c r="BS26" s="440"/>
      <c r="BT26" s="440"/>
    </row>
    <row r="27" spans="1:72" s="438" customFormat="1" ht="43.5" customHeight="1" x14ac:dyDescent="0.2">
      <c r="A27" s="3854"/>
      <c r="B27" s="3858"/>
      <c r="C27" s="3859"/>
      <c r="D27" s="3862"/>
      <c r="E27" s="3502"/>
      <c r="F27" s="3502"/>
      <c r="G27" s="440"/>
      <c r="H27" s="2631"/>
      <c r="I27" s="2632"/>
      <c r="J27" s="3839"/>
      <c r="K27" s="3646"/>
      <c r="L27" s="3728"/>
      <c r="M27" s="3652"/>
      <c r="N27" s="3834"/>
      <c r="O27" s="2644" t="s">
        <v>2426</v>
      </c>
      <c r="P27" s="3790"/>
      <c r="Q27" s="3648"/>
      <c r="R27" s="3793"/>
      <c r="S27" s="3810"/>
      <c r="T27" s="3665"/>
      <c r="U27" s="3697"/>
      <c r="V27" s="3223" t="s">
        <v>2427</v>
      </c>
      <c r="W27" s="2627">
        <v>50000000</v>
      </c>
      <c r="X27" s="2627">
        <v>0</v>
      </c>
      <c r="Y27" s="2627">
        <v>0</v>
      </c>
      <c r="Z27" s="2628">
        <v>42</v>
      </c>
      <c r="AA27" s="2629" t="s">
        <v>2422</v>
      </c>
      <c r="AB27" s="3765"/>
      <c r="AC27" s="3765"/>
      <c r="AD27" s="3765"/>
      <c r="AE27" s="3765"/>
      <c r="AF27" s="3842"/>
      <c r="AG27" s="3842"/>
      <c r="AH27" s="3842"/>
      <c r="AI27" s="3842"/>
      <c r="AJ27" s="3842"/>
      <c r="AK27" s="3842"/>
      <c r="AL27" s="3845"/>
      <c r="AM27" s="3845"/>
      <c r="AN27" s="3664"/>
      <c r="AO27" s="3765"/>
      <c r="AP27" s="3664"/>
      <c r="AQ27" s="3765"/>
      <c r="AR27" s="3765"/>
      <c r="AS27" s="2639"/>
      <c r="AT27" s="3664"/>
      <c r="AU27" s="3632"/>
      <c r="AV27" s="3664"/>
      <c r="AW27" s="3632"/>
      <c r="AX27" s="3664"/>
      <c r="AY27" s="3632"/>
      <c r="AZ27" s="3664"/>
      <c r="BA27" s="3632"/>
      <c r="BB27" s="3664"/>
      <c r="BC27" s="3632"/>
      <c r="BD27" s="3664"/>
      <c r="BE27" s="2639"/>
      <c r="BF27" s="3765"/>
      <c r="BG27" s="3632"/>
      <c r="BH27" s="3632"/>
      <c r="BI27" s="3626"/>
      <c r="BJ27" s="3626"/>
      <c r="BK27" s="3629"/>
      <c r="BL27" s="3839">
        <v>42</v>
      </c>
      <c r="BM27" s="2633"/>
      <c r="BN27" s="3620"/>
      <c r="BO27" s="3620"/>
      <c r="BP27" s="3620"/>
      <c r="BQ27" s="3620"/>
      <c r="BR27" s="3688"/>
      <c r="BS27" s="440"/>
      <c r="BT27" s="440"/>
    </row>
    <row r="28" spans="1:72" s="438" customFormat="1" ht="40.5" customHeight="1" x14ac:dyDescent="0.2">
      <c r="A28" s="3854"/>
      <c r="B28" s="3858"/>
      <c r="C28" s="3859"/>
      <c r="D28" s="3862"/>
      <c r="E28" s="3502"/>
      <c r="F28" s="3502"/>
      <c r="G28" s="440"/>
      <c r="H28" s="2631"/>
      <c r="I28" s="2632"/>
      <c r="J28" s="3839"/>
      <c r="K28" s="3646"/>
      <c r="L28" s="3728"/>
      <c r="M28" s="3652"/>
      <c r="N28" s="3834"/>
      <c r="O28" s="2644"/>
      <c r="P28" s="3790"/>
      <c r="Q28" s="3648"/>
      <c r="R28" s="3793"/>
      <c r="S28" s="3810"/>
      <c r="T28" s="3665"/>
      <c r="U28" s="3697"/>
      <c r="V28" s="3224"/>
      <c r="W28" s="2627">
        <v>0</v>
      </c>
      <c r="X28" s="2627">
        <v>0</v>
      </c>
      <c r="Y28" s="2627">
        <v>0</v>
      </c>
      <c r="Z28" s="2628">
        <v>92</v>
      </c>
      <c r="AA28" s="2629" t="s">
        <v>2408</v>
      </c>
      <c r="AB28" s="3765"/>
      <c r="AC28" s="3765"/>
      <c r="AD28" s="3765"/>
      <c r="AE28" s="3765"/>
      <c r="AF28" s="3842"/>
      <c r="AG28" s="3842"/>
      <c r="AH28" s="3842"/>
      <c r="AI28" s="3842"/>
      <c r="AJ28" s="3842"/>
      <c r="AK28" s="3842"/>
      <c r="AL28" s="3845"/>
      <c r="AM28" s="3845"/>
      <c r="AN28" s="3664"/>
      <c r="AO28" s="3765"/>
      <c r="AP28" s="3664"/>
      <c r="AQ28" s="3765"/>
      <c r="AR28" s="3765"/>
      <c r="AS28" s="2639"/>
      <c r="AT28" s="3664"/>
      <c r="AU28" s="3632"/>
      <c r="AV28" s="3664"/>
      <c r="AW28" s="3632"/>
      <c r="AX28" s="3664"/>
      <c r="AY28" s="3632"/>
      <c r="AZ28" s="3664"/>
      <c r="BA28" s="3632"/>
      <c r="BB28" s="3664"/>
      <c r="BC28" s="3632"/>
      <c r="BD28" s="3664"/>
      <c r="BE28" s="2639"/>
      <c r="BF28" s="3765"/>
      <c r="BG28" s="3632"/>
      <c r="BH28" s="3632"/>
      <c r="BI28" s="3626"/>
      <c r="BJ28" s="3626"/>
      <c r="BK28" s="3629"/>
      <c r="BL28" s="3839"/>
      <c r="BM28" s="2501" t="s">
        <v>2428</v>
      </c>
      <c r="BN28" s="3620"/>
      <c r="BO28" s="3620"/>
      <c r="BP28" s="3620"/>
      <c r="BQ28" s="3620"/>
      <c r="BR28" s="3688"/>
      <c r="BS28" s="440"/>
      <c r="BT28" s="440"/>
    </row>
    <row r="29" spans="1:72" s="438" customFormat="1" ht="31.5" customHeight="1" x14ac:dyDescent="0.2">
      <c r="A29" s="3854"/>
      <c r="B29" s="3858"/>
      <c r="C29" s="3859"/>
      <c r="D29" s="3862"/>
      <c r="E29" s="3502"/>
      <c r="F29" s="3502"/>
      <c r="G29" s="440"/>
      <c r="H29" s="2631"/>
      <c r="I29" s="2632"/>
      <c r="J29" s="3839"/>
      <c r="K29" s="3646"/>
      <c r="L29" s="3728"/>
      <c r="M29" s="3652"/>
      <c r="N29" s="3834"/>
      <c r="O29" s="2644"/>
      <c r="P29" s="3790"/>
      <c r="Q29" s="3648"/>
      <c r="R29" s="3793"/>
      <c r="S29" s="3810"/>
      <c r="T29" s="3665"/>
      <c r="U29" s="3697"/>
      <c r="V29" s="3223" t="s">
        <v>2429</v>
      </c>
      <c r="W29" s="2512">
        <v>35100000</v>
      </c>
      <c r="X29" s="2627">
        <v>15000000</v>
      </c>
      <c r="Y29" s="2627">
        <v>0</v>
      </c>
      <c r="Z29" s="2628">
        <v>42</v>
      </c>
      <c r="AA29" s="2629" t="s">
        <v>2422</v>
      </c>
      <c r="AB29" s="3765"/>
      <c r="AC29" s="3765"/>
      <c r="AD29" s="3765"/>
      <c r="AE29" s="3765"/>
      <c r="AF29" s="3842"/>
      <c r="AG29" s="3842"/>
      <c r="AH29" s="3842"/>
      <c r="AI29" s="3842"/>
      <c r="AJ29" s="3842"/>
      <c r="AK29" s="3842"/>
      <c r="AL29" s="3845"/>
      <c r="AM29" s="3845"/>
      <c r="AN29" s="3664"/>
      <c r="AO29" s="3765"/>
      <c r="AP29" s="3664"/>
      <c r="AQ29" s="3765"/>
      <c r="AR29" s="3765"/>
      <c r="AS29" s="2639"/>
      <c r="AT29" s="3664"/>
      <c r="AU29" s="3632"/>
      <c r="AV29" s="3664"/>
      <c r="AW29" s="3632"/>
      <c r="AX29" s="3664"/>
      <c r="AY29" s="3632"/>
      <c r="AZ29" s="3664"/>
      <c r="BA29" s="3632"/>
      <c r="BB29" s="3664"/>
      <c r="BC29" s="3632"/>
      <c r="BD29" s="3664"/>
      <c r="BE29" s="2639"/>
      <c r="BF29" s="3765"/>
      <c r="BG29" s="3632"/>
      <c r="BH29" s="3632"/>
      <c r="BI29" s="3626"/>
      <c r="BJ29" s="3626"/>
      <c r="BK29" s="3629"/>
      <c r="BL29" s="3839"/>
      <c r="BM29" s="2633"/>
      <c r="BN29" s="3620"/>
      <c r="BO29" s="3620"/>
      <c r="BP29" s="3620"/>
      <c r="BQ29" s="3620"/>
      <c r="BR29" s="3688"/>
      <c r="BS29" s="440"/>
      <c r="BT29" s="440"/>
    </row>
    <row r="30" spans="1:72" s="438" customFormat="1" ht="39.75" customHeight="1" x14ac:dyDescent="0.2">
      <c r="A30" s="3854"/>
      <c r="B30" s="3858"/>
      <c r="C30" s="3859"/>
      <c r="D30" s="3862"/>
      <c r="E30" s="3502"/>
      <c r="F30" s="3502"/>
      <c r="G30" s="440"/>
      <c r="H30" s="2631"/>
      <c r="I30" s="2632"/>
      <c r="J30" s="3839"/>
      <c r="K30" s="3646"/>
      <c r="L30" s="3728"/>
      <c r="M30" s="3652"/>
      <c r="N30" s="3834"/>
      <c r="O30" s="2644"/>
      <c r="P30" s="3790"/>
      <c r="Q30" s="3648"/>
      <c r="R30" s="3793"/>
      <c r="S30" s="3810"/>
      <c r="T30" s="3665"/>
      <c r="U30" s="3697"/>
      <c r="V30" s="3224"/>
      <c r="W30" s="2512">
        <v>85000000</v>
      </c>
      <c r="X30" s="2627">
        <v>85000000</v>
      </c>
      <c r="Y30" s="2627">
        <v>20695150</v>
      </c>
      <c r="Z30" s="2628">
        <v>92</v>
      </c>
      <c r="AA30" s="2629" t="s">
        <v>2408</v>
      </c>
      <c r="AB30" s="3765"/>
      <c r="AC30" s="3765"/>
      <c r="AD30" s="3765"/>
      <c r="AE30" s="3765"/>
      <c r="AF30" s="3842"/>
      <c r="AG30" s="3842"/>
      <c r="AH30" s="3842"/>
      <c r="AI30" s="3842"/>
      <c r="AJ30" s="3842"/>
      <c r="AK30" s="3842"/>
      <c r="AL30" s="3845"/>
      <c r="AM30" s="3845"/>
      <c r="AN30" s="3664"/>
      <c r="AO30" s="3765"/>
      <c r="AP30" s="3664"/>
      <c r="AQ30" s="3765"/>
      <c r="AR30" s="3765"/>
      <c r="AS30" s="2639"/>
      <c r="AT30" s="3664"/>
      <c r="AU30" s="3632"/>
      <c r="AV30" s="3664"/>
      <c r="AW30" s="3632"/>
      <c r="AX30" s="3664"/>
      <c r="AY30" s="3632"/>
      <c r="AZ30" s="3664"/>
      <c r="BA30" s="3632"/>
      <c r="BB30" s="3664"/>
      <c r="BC30" s="3632"/>
      <c r="BD30" s="3664"/>
      <c r="BE30" s="2639"/>
      <c r="BF30" s="3765"/>
      <c r="BG30" s="3632"/>
      <c r="BH30" s="3632"/>
      <c r="BI30" s="3626"/>
      <c r="BJ30" s="3626"/>
      <c r="BK30" s="3629"/>
      <c r="BL30" s="2646">
        <v>92</v>
      </c>
      <c r="BM30" s="2501" t="s">
        <v>2430</v>
      </c>
      <c r="BN30" s="3620"/>
      <c r="BO30" s="3620"/>
      <c r="BP30" s="3620"/>
      <c r="BQ30" s="3620"/>
      <c r="BR30" s="3688"/>
      <c r="BS30" s="440"/>
      <c r="BT30" s="440"/>
    </row>
    <row r="31" spans="1:72" s="438" customFormat="1" ht="31.5" customHeight="1" x14ac:dyDescent="0.2">
      <c r="A31" s="3854"/>
      <c r="B31" s="3858"/>
      <c r="C31" s="3859"/>
      <c r="D31" s="3862"/>
      <c r="E31" s="3502"/>
      <c r="F31" s="3502"/>
      <c r="G31" s="440"/>
      <c r="H31" s="2631"/>
      <c r="I31" s="2632"/>
      <c r="J31" s="3839"/>
      <c r="K31" s="3646"/>
      <c r="L31" s="3728"/>
      <c r="M31" s="3652"/>
      <c r="N31" s="3834"/>
      <c r="O31" s="2644" t="s">
        <v>2431</v>
      </c>
      <c r="P31" s="3790"/>
      <c r="Q31" s="3648"/>
      <c r="R31" s="3793"/>
      <c r="S31" s="3810"/>
      <c r="T31" s="3665"/>
      <c r="U31" s="3697"/>
      <c r="V31" s="3223" t="s">
        <v>2432</v>
      </c>
      <c r="W31" s="2512">
        <v>20000000</v>
      </c>
      <c r="X31" s="2627">
        <v>0</v>
      </c>
      <c r="Y31" s="2627">
        <v>0</v>
      </c>
      <c r="Z31" s="2628">
        <v>42</v>
      </c>
      <c r="AA31" s="2629" t="s">
        <v>2422</v>
      </c>
      <c r="AB31" s="3765"/>
      <c r="AC31" s="3765"/>
      <c r="AD31" s="3765"/>
      <c r="AE31" s="3765"/>
      <c r="AF31" s="3842"/>
      <c r="AG31" s="3842"/>
      <c r="AH31" s="3842"/>
      <c r="AI31" s="3842"/>
      <c r="AJ31" s="3842"/>
      <c r="AK31" s="3842"/>
      <c r="AL31" s="3845"/>
      <c r="AM31" s="3845"/>
      <c r="AN31" s="3664"/>
      <c r="AO31" s="3765"/>
      <c r="AP31" s="3664"/>
      <c r="AQ31" s="3765"/>
      <c r="AR31" s="3765"/>
      <c r="AS31" s="2639"/>
      <c r="AT31" s="3664"/>
      <c r="AU31" s="3632"/>
      <c r="AV31" s="3664"/>
      <c r="AW31" s="3632"/>
      <c r="AX31" s="3664"/>
      <c r="AY31" s="3632"/>
      <c r="AZ31" s="3664"/>
      <c r="BA31" s="3632"/>
      <c r="BB31" s="3664"/>
      <c r="BC31" s="3632"/>
      <c r="BD31" s="3664"/>
      <c r="BE31" s="2639"/>
      <c r="BF31" s="3765"/>
      <c r="BG31" s="3632"/>
      <c r="BH31" s="3632"/>
      <c r="BI31" s="3626"/>
      <c r="BJ31" s="3626"/>
      <c r="BK31" s="3629"/>
      <c r="BL31" s="2633"/>
      <c r="BM31" s="2633"/>
      <c r="BN31" s="3620"/>
      <c r="BO31" s="3620"/>
      <c r="BP31" s="3620"/>
      <c r="BQ31" s="3620"/>
      <c r="BR31" s="3688"/>
      <c r="BS31" s="440"/>
      <c r="BT31" s="440"/>
    </row>
    <row r="32" spans="1:72" s="438" customFormat="1" ht="29.25" customHeight="1" x14ac:dyDescent="0.2">
      <c r="A32" s="3854"/>
      <c r="B32" s="3858"/>
      <c r="C32" s="3859"/>
      <c r="D32" s="3862"/>
      <c r="E32" s="3502"/>
      <c r="F32" s="3502"/>
      <c r="G32" s="440"/>
      <c r="H32" s="2631"/>
      <c r="I32" s="2632"/>
      <c r="J32" s="3839"/>
      <c r="K32" s="3646"/>
      <c r="L32" s="3728"/>
      <c r="M32" s="3652"/>
      <c r="N32" s="3834"/>
      <c r="O32" s="2644"/>
      <c r="P32" s="3790"/>
      <c r="Q32" s="3648"/>
      <c r="R32" s="3793"/>
      <c r="S32" s="3810"/>
      <c r="T32" s="3665"/>
      <c r="U32" s="3697"/>
      <c r="V32" s="3224"/>
      <c r="W32" s="2512">
        <v>43382366</v>
      </c>
      <c r="X32" s="2627">
        <v>5000000</v>
      </c>
      <c r="Y32" s="2627">
        <v>5000000</v>
      </c>
      <c r="Z32" s="2628">
        <v>92</v>
      </c>
      <c r="AA32" s="2629" t="s">
        <v>2408</v>
      </c>
      <c r="AB32" s="3765"/>
      <c r="AC32" s="3765"/>
      <c r="AD32" s="3765"/>
      <c r="AE32" s="3765"/>
      <c r="AF32" s="3842"/>
      <c r="AG32" s="3842"/>
      <c r="AH32" s="3842"/>
      <c r="AI32" s="3842"/>
      <c r="AJ32" s="3842"/>
      <c r="AK32" s="3842"/>
      <c r="AL32" s="3845"/>
      <c r="AM32" s="3845"/>
      <c r="AN32" s="3664"/>
      <c r="AO32" s="3765"/>
      <c r="AP32" s="3664"/>
      <c r="AQ32" s="3765"/>
      <c r="AR32" s="3765"/>
      <c r="AS32" s="2639"/>
      <c r="AT32" s="3664"/>
      <c r="AU32" s="3632"/>
      <c r="AV32" s="3664"/>
      <c r="AW32" s="3632"/>
      <c r="AX32" s="3664"/>
      <c r="AY32" s="3632"/>
      <c r="AZ32" s="3664"/>
      <c r="BA32" s="3632"/>
      <c r="BB32" s="3664"/>
      <c r="BC32" s="3632"/>
      <c r="BD32" s="3664"/>
      <c r="BE32" s="2639"/>
      <c r="BF32" s="3765"/>
      <c r="BG32" s="3632"/>
      <c r="BH32" s="3632"/>
      <c r="BI32" s="3626"/>
      <c r="BJ32" s="3626"/>
      <c r="BK32" s="3629"/>
      <c r="BL32" s="2633"/>
      <c r="BM32" s="2633"/>
      <c r="BN32" s="3620"/>
      <c r="BO32" s="3620"/>
      <c r="BP32" s="3620"/>
      <c r="BQ32" s="3620"/>
      <c r="BR32" s="3688"/>
      <c r="BS32" s="440"/>
      <c r="BT32" s="440"/>
    </row>
    <row r="33" spans="1:72" s="438" customFormat="1" ht="43.5" customHeight="1" x14ac:dyDescent="0.2">
      <c r="A33" s="3854"/>
      <c r="B33" s="3858"/>
      <c r="C33" s="3859"/>
      <c r="D33" s="3862"/>
      <c r="E33" s="3502"/>
      <c r="F33" s="3502"/>
      <c r="G33" s="440"/>
      <c r="H33" s="2631"/>
      <c r="I33" s="2632"/>
      <c r="J33" s="3839"/>
      <c r="K33" s="3646"/>
      <c r="L33" s="3728"/>
      <c r="M33" s="3652"/>
      <c r="N33" s="3834"/>
      <c r="O33" s="2647"/>
      <c r="P33" s="3790"/>
      <c r="Q33" s="3648"/>
      <c r="R33" s="3793"/>
      <c r="S33" s="3810"/>
      <c r="T33" s="3665"/>
      <c r="U33" s="3697"/>
      <c r="V33" s="3223" t="s">
        <v>2433</v>
      </c>
      <c r="W33" s="2512">
        <v>0</v>
      </c>
      <c r="X33" s="2627">
        <v>0</v>
      </c>
      <c r="Y33" s="2627">
        <v>0</v>
      </c>
      <c r="Z33" s="2628">
        <v>42</v>
      </c>
      <c r="AA33" s="2629" t="s">
        <v>2422</v>
      </c>
      <c r="AB33" s="3765"/>
      <c r="AC33" s="3765"/>
      <c r="AD33" s="3765"/>
      <c r="AE33" s="3765"/>
      <c r="AF33" s="3842"/>
      <c r="AG33" s="3842"/>
      <c r="AH33" s="3842"/>
      <c r="AI33" s="3842"/>
      <c r="AJ33" s="3842"/>
      <c r="AK33" s="3842"/>
      <c r="AL33" s="3845"/>
      <c r="AM33" s="3845"/>
      <c r="AN33" s="3664"/>
      <c r="AO33" s="3765"/>
      <c r="AP33" s="3664"/>
      <c r="AQ33" s="3765"/>
      <c r="AR33" s="3765"/>
      <c r="AS33" s="2639"/>
      <c r="AT33" s="3664"/>
      <c r="AU33" s="3632"/>
      <c r="AV33" s="3664"/>
      <c r="AW33" s="3632"/>
      <c r="AX33" s="3664"/>
      <c r="AY33" s="3632"/>
      <c r="AZ33" s="3664"/>
      <c r="BA33" s="3632"/>
      <c r="BB33" s="3664"/>
      <c r="BC33" s="3632"/>
      <c r="BD33" s="3664"/>
      <c r="BE33" s="2639"/>
      <c r="BF33" s="3765"/>
      <c r="BG33" s="3632"/>
      <c r="BH33" s="3632"/>
      <c r="BI33" s="3626"/>
      <c r="BJ33" s="3626"/>
      <c r="BK33" s="3629"/>
      <c r="BL33" s="2633"/>
      <c r="BM33" s="2633"/>
      <c r="BN33" s="3620"/>
      <c r="BO33" s="3620"/>
      <c r="BP33" s="3620"/>
      <c r="BQ33" s="3620"/>
      <c r="BR33" s="3688"/>
      <c r="BS33" s="440"/>
      <c r="BT33" s="440"/>
    </row>
    <row r="34" spans="1:72" s="438" customFormat="1" ht="33" customHeight="1" x14ac:dyDescent="0.2">
      <c r="A34" s="3854"/>
      <c r="B34" s="3858"/>
      <c r="C34" s="3859"/>
      <c r="D34" s="3862"/>
      <c r="E34" s="3502"/>
      <c r="F34" s="3502"/>
      <c r="G34" s="440"/>
      <c r="H34" s="2631"/>
      <c r="I34" s="2632"/>
      <c r="J34" s="3839"/>
      <c r="K34" s="3646"/>
      <c r="L34" s="3728"/>
      <c r="M34" s="3652"/>
      <c r="N34" s="3834"/>
      <c r="O34" s="2644"/>
      <c r="P34" s="3790"/>
      <c r="Q34" s="3648"/>
      <c r="R34" s="3793"/>
      <c r="S34" s="3810"/>
      <c r="T34" s="3665"/>
      <c r="U34" s="3697"/>
      <c r="V34" s="3224"/>
      <c r="W34" s="2512">
        <v>0</v>
      </c>
      <c r="X34" s="2627">
        <v>0</v>
      </c>
      <c r="Y34" s="2627">
        <v>0</v>
      </c>
      <c r="Z34" s="2628">
        <v>92</v>
      </c>
      <c r="AA34" s="2629" t="s">
        <v>2408</v>
      </c>
      <c r="AB34" s="3765"/>
      <c r="AC34" s="3765"/>
      <c r="AD34" s="3765"/>
      <c r="AE34" s="3765"/>
      <c r="AF34" s="3842"/>
      <c r="AG34" s="3842"/>
      <c r="AH34" s="3842"/>
      <c r="AI34" s="3842"/>
      <c r="AJ34" s="3842"/>
      <c r="AK34" s="3842"/>
      <c r="AL34" s="3845"/>
      <c r="AM34" s="3845"/>
      <c r="AN34" s="3664"/>
      <c r="AO34" s="3765"/>
      <c r="AP34" s="3664"/>
      <c r="AQ34" s="3765"/>
      <c r="AR34" s="3765"/>
      <c r="AS34" s="2639"/>
      <c r="AT34" s="3664"/>
      <c r="AU34" s="3632"/>
      <c r="AV34" s="3664"/>
      <c r="AW34" s="3632"/>
      <c r="AX34" s="3664"/>
      <c r="AY34" s="3632"/>
      <c r="AZ34" s="3664"/>
      <c r="BA34" s="3632"/>
      <c r="BB34" s="3664"/>
      <c r="BC34" s="3632"/>
      <c r="BD34" s="3664"/>
      <c r="BE34" s="2639"/>
      <c r="BF34" s="3765"/>
      <c r="BG34" s="3632"/>
      <c r="BH34" s="3632"/>
      <c r="BI34" s="3626"/>
      <c r="BJ34" s="3626"/>
      <c r="BK34" s="3629"/>
      <c r="BL34" s="2633"/>
      <c r="BM34" s="2633"/>
      <c r="BN34" s="3620"/>
      <c r="BO34" s="3620"/>
      <c r="BP34" s="3620"/>
      <c r="BQ34" s="3620"/>
      <c r="BR34" s="3688"/>
      <c r="BS34" s="440"/>
      <c r="BT34" s="440"/>
    </row>
    <row r="35" spans="1:72" s="438" customFormat="1" ht="40.5" customHeight="1" x14ac:dyDescent="0.2">
      <c r="A35" s="3854"/>
      <c r="B35" s="3858"/>
      <c r="C35" s="3859"/>
      <c r="D35" s="3862"/>
      <c r="E35" s="3502"/>
      <c r="F35" s="3502"/>
      <c r="G35" s="440"/>
      <c r="H35" s="2631"/>
      <c r="I35" s="2632"/>
      <c r="J35" s="3839"/>
      <c r="K35" s="3646"/>
      <c r="L35" s="3728"/>
      <c r="M35" s="3652"/>
      <c r="N35" s="3834"/>
      <c r="O35" s="2644" t="s">
        <v>2434</v>
      </c>
      <c r="P35" s="3790"/>
      <c r="Q35" s="3648"/>
      <c r="R35" s="3793"/>
      <c r="S35" s="3810"/>
      <c r="T35" s="3665"/>
      <c r="U35" s="3697"/>
      <c r="V35" s="2645" t="s">
        <v>2435</v>
      </c>
      <c r="W35" s="2512">
        <v>0</v>
      </c>
      <c r="X35" s="2512">
        <v>0</v>
      </c>
      <c r="Y35" s="2512">
        <v>0</v>
      </c>
      <c r="Z35" s="2628">
        <v>42</v>
      </c>
      <c r="AA35" s="2629" t="s">
        <v>2422</v>
      </c>
      <c r="AB35" s="3765"/>
      <c r="AC35" s="3765"/>
      <c r="AD35" s="3765"/>
      <c r="AE35" s="3765"/>
      <c r="AF35" s="3842"/>
      <c r="AG35" s="3842"/>
      <c r="AH35" s="3842"/>
      <c r="AI35" s="3842"/>
      <c r="AJ35" s="3842"/>
      <c r="AK35" s="3842"/>
      <c r="AL35" s="3845"/>
      <c r="AM35" s="3845"/>
      <c r="AN35" s="3664"/>
      <c r="AO35" s="3765"/>
      <c r="AP35" s="3664"/>
      <c r="AQ35" s="3765"/>
      <c r="AR35" s="3765"/>
      <c r="AS35" s="2639"/>
      <c r="AT35" s="3664"/>
      <c r="AU35" s="3632"/>
      <c r="AV35" s="3664"/>
      <c r="AW35" s="3632"/>
      <c r="AX35" s="3664"/>
      <c r="AY35" s="3632"/>
      <c r="AZ35" s="3664"/>
      <c r="BA35" s="3632"/>
      <c r="BB35" s="3664"/>
      <c r="BC35" s="3632"/>
      <c r="BD35" s="3664"/>
      <c r="BE35" s="2639"/>
      <c r="BF35" s="3765"/>
      <c r="BG35" s="3632"/>
      <c r="BH35" s="3632"/>
      <c r="BI35" s="3626"/>
      <c r="BJ35" s="3626"/>
      <c r="BK35" s="3629"/>
      <c r="BL35" s="2633"/>
      <c r="BM35" s="2633"/>
      <c r="BN35" s="3620"/>
      <c r="BO35" s="3620"/>
      <c r="BP35" s="3620"/>
      <c r="BQ35" s="3620"/>
      <c r="BR35" s="3688"/>
      <c r="BS35" s="440"/>
      <c r="BT35" s="440"/>
    </row>
    <row r="36" spans="1:72" s="438" customFormat="1" ht="30" customHeight="1" x14ac:dyDescent="0.2">
      <c r="A36" s="3854"/>
      <c r="B36" s="3858"/>
      <c r="C36" s="3859"/>
      <c r="D36" s="3862"/>
      <c r="E36" s="3502"/>
      <c r="F36" s="3502"/>
      <c r="G36" s="440"/>
      <c r="H36" s="2631"/>
      <c r="I36" s="2632"/>
      <c r="J36" s="3839"/>
      <c r="K36" s="3646"/>
      <c r="L36" s="3728"/>
      <c r="M36" s="3652"/>
      <c r="N36" s="3834"/>
      <c r="O36" s="2644"/>
      <c r="P36" s="3790"/>
      <c r="Q36" s="3648"/>
      <c r="R36" s="3793"/>
      <c r="S36" s="3810"/>
      <c r="T36" s="3665"/>
      <c r="U36" s="3697"/>
      <c r="V36" s="3223" t="s">
        <v>2436</v>
      </c>
      <c r="W36" s="2627">
        <v>146759029</v>
      </c>
      <c r="X36" s="2627">
        <v>15000000</v>
      </c>
      <c r="Y36" s="2627">
        <v>2799200</v>
      </c>
      <c r="Z36" s="2628">
        <v>42</v>
      </c>
      <c r="AA36" s="2629" t="s">
        <v>2422</v>
      </c>
      <c r="AB36" s="3765"/>
      <c r="AC36" s="3765"/>
      <c r="AD36" s="3765"/>
      <c r="AE36" s="3765"/>
      <c r="AF36" s="3842"/>
      <c r="AG36" s="3842"/>
      <c r="AH36" s="3842"/>
      <c r="AI36" s="3842"/>
      <c r="AJ36" s="3842"/>
      <c r="AK36" s="3842"/>
      <c r="AL36" s="3845"/>
      <c r="AM36" s="3845"/>
      <c r="AN36" s="3664"/>
      <c r="AO36" s="3765"/>
      <c r="AP36" s="3664"/>
      <c r="AQ36" s="3765"/>
      <c r="AR36" s="3765"/>
      <c r="AS36" s="2639"/>
      <c r="AT36" s="3664"/>
      <c r="AU36" s="3632"/>
      <c r="AV36" s="3664"/>
      <c r="AW36" s="3632"/>
      <c r="AX36" s="3664"/>
      <c r="AY36" s="3632"/>
      <c r="AZ36" s="3664"/>
      <c r="BA36" s="3632"/>
      <c r="BB36" s="3664"/>
      <c r="BC36" s="3632"/>
      <c r="BD36" s="3664"/>
      <c r="BE36" s="2639"/>
      <c r="BF36" s="3765"/>
      <c r="BG36" s="3632"/>
      <c r="BH36" s="3632"/>
      <c r="BI36" s="3626"/>
      <c r="BJ36" s="3626"/>
      <c r="BK36" s="3629"/>
      <c r="BL36" s="2633"/>
      <c r="BM36" s="2633"/>
      <c r="BN36" s="3620"/>
      <c r="BO36" s="3620"/>
      <c r="BP36" s="3620"/>
      <c r="BQ36" s="3620"/>
      <c r="BR36" s="3688"/>
      <c r="BS36" s="440"/>
      <c r="BT36" s="440"/>
    </row>
    <row r="37" spans="1:72" s="438" customFormat="1" ht="34.5" customHeight="1" x14ac:dyDescent="0.2">
      <c r="A37" s="3854"/>
      <c r="B37" s="3858"/>
      <c r="C37" s="3859"/>
      <c r="D37" s="3862"/>
      <c r="E37" s="3502"/>
      <c r="F37" s="3502"/>
      <c r="G37" s="440"/>
      <c r="H37" s="2631"/>
      <c r="I37" s="2632"/>
      <c r="J37" s="3839"/>
      <c r="K37" s="3646"/>
      <c r="L37" s="3728"/>
      <c r="M37" s="3652"/>
      <c r="N37" s="3834"/>
      <c r="O37" s="2644"/>
      <c r="P37" s="3790"/>
      <c r="Q37" s="3648"/>
      <c r="R37" s="3793"/>
      <c r="S37" s="3810"/>
      <c r="T37" s="3665"/>
      <c r="U37" s="3697"/>
      <c r="V37" s="3224"/>
      <c r="W37" s="2627">
        <v>83240971</v>
      </c>
      <c r="X37" s="2627">
        <v>15000000</v>
      </c>
      <c r="Y37" s="2627">
        <v>10664100</v>
      </c>
      <c r="Z37" s="2628">
        <v>92</v>
      </c>
      <c r="AA37" s="2629" t="s">
        <v>2408</v>
      </c>
      <c r="AB37" s="3765"/>
      <c r="AC37" s="3765"/>
      <c r="AD37" s="3765"/>
      <c r="AE37" s="3765"/>
      <c r="AF37" s="3842"/>
      <c r="AG37" s="3842"/>
      <c r="AH37" s="3842"/>
      <c r="AI37" s="3842"/>
      <c r="AJ37" s="3842"/>
      <c r="AK37" s="3842"/>
      <c r="AL37" s="3845"/>
      <c r="AM37" s="3845"/>
      <c r="AN37" s="3664"/>
      <c r="AO37" s="3765"/>
      <c r="AP37" s="3664"/>
      <c r="AQ37" s="3765"/>
      <c r="AR37" s="3765"/>
      <c r="AS37" s="2639"/>
      <c r="AT37" s="3664"/>
      <c r="AU37" s="3632"/>
      <c r="AV37" s="3664"/>
      <c r="AW37" s="3632"/>
      <c r="AX37" s="3664"/>
      <c r="AY37" s="3632"/>
      <c r="AZ37" s="3664"/>
      <c r="BA37" s="3632"/>
      <c r="BB37" s="3664"/>
      <c r="BC37" s="3632"/>
      <c r="BD37" s="3664"/>
      <c r="BE37" s="2639"/>
      <c r="BF37" s="3765"/>
      <c r="BG37" s="3632"/>
      <c r="BH37" s="3632"/>
      <c r="BI37" s="3626"/>
      <c r="BJ37" s="3626"/>
      <c r="BK37" s="3629"/>
      <c r="BL37" s="2633"/>
      <c r="BM37" s="2633"/>
      <c r="BN37" s="3620"/>
      <c r="BO37" s="3620"/>
      <c r="BP37" s="3620"/>
      <c r="BQ37" s="3620"/>
      <c r="BR37" s="3688"/>
      <c r="BS37" s="440"/>
      <c r="BT37" s="440"/>
    </row>
    <row r="38" spans="1:72" s="438" customFormat="1" ht="51.75" customHeight="1" x14ac:dyDescent="0.2">
      <c r="A38" s="3854"/>
      <c r="B38" s="3858"/>
      <c r="C38" s="3859"/>
      <c r="D38" s="3862"/>
      <c r="E38" s="3502"/>
      <c r="F38" s="3502"/>
      <c r="G38" s="440"/>
      <c r="H38" s="2631"/>
      <c r="I38" s="2632"/>
      <c r="J38" s="3839"/>
      <c r="K38" s="3646"/>
      <c r="L38" s="3728"/>
      <c r="M38" s="3652"/>
      <c r="N38" s="3834"/>
      <c r="O38" s="2644"/>
      <c r="P38" s="3790"/>
      <c r="Q38" s="3648"/>
      <c r="R38" s="3793"/>
      <c r="S38" s="3810"/>
      <c r="T38" s="3665"/>
      <c r="U38" s="3697"/>
      <c r="V38" s="2645" t="s">
        <v>2437</v>
      </c>
      <c r="W38" s="2512">
        <v>30000000</v>
      </c>
      <c r="X38" s="2512">
        <v>0</v>
      </c>
      <c r="Y38" s="2512">
        <v>0</v>
      </c>
      <c r="Z38" s="2628">
        <v>92</v>
      </c>
      <c r="AA38" s="2629" t="s">
        <v>2408</v>
      </c>
      <c r="AB38" s="3765"/>
      <c r="AC38" s="3765"/>
      <c r="AD38" s="3765"/>
      <c r="AE38" s="3765"/>
      <c r="AF38" s="3842"/>
      <c r="AG38" s="3842"/>
      <c r="AH38" s="3842"/>
      <c r="AI38" s="3842"/>
      <c r="AJ38" s="3842"/>
      <c r="AK38" s="3842"/>
      <c r="AL38" s="3845"/>
      <c r="AM38" s="3845"/>
      <c r="AN38" s="3664"/>
      <c r="AO38" s="3765"/>
      <c r="AP38" s="3664"/>
      <c r="AQ38" s="3765"/>
      <c r="AR38" s="3765"/>
      <c r="AS38" s="2639"/>
      <c r="AT38" s="3664"/>
      <c r="AU38" s="3632"/>
      <c r="AV38" s="3664"/>
      <c r="AW38" s="3632"/>
      <c r="AX38" s="3664"/>
      <c r="AY38" s="3632"/>
      <c r="AZ38" s="3664"/>
      <c r="BA38" s="3632"/>
      <c r="BB38" s="3664"/>
      <c r="BC38" s="3632"/>
      <c r="BD38" s="3664"/>
      <c r="BE38" s="2639"/>
      <c r="BF38" s="3765"/>
      <c r="BG38" s="3632"/>
      <c r="BH38" s="3632"/>
      <c r="BI38" s="3626"/>
      <c r="BJ38" s="3626"/>
      <c r="BK38" s="3629"/>
      <c r="BL38" s="2633"/>
      <c r="BM38" s="2633"/>
      <c r="BN38" s="3620"/>
      <c r="BO38" s="3620"/>
      <c r="BP38" s="3620"/>
      <c r="BQ38" s="3620"/>
      <c r="BR38" s="3688"/>
      <c r="BS38" s="440"/>
      <c r="BT38" s="440"/>
    </row>
    <row r="39" spans="1:72" s="438" customFormat="1" ht="33" customHeight="1" x14ac:dyDescent="0.2">
      <c r="A39" s="3854"/>
      <c r="B39" s="3858"/>
      <c r="C39" s="3859"/>
      <c r="D39" s="3862"/>
      <c r="E39" s="3502"/>
      <c r="F39" s="3502"/>
      <c r="G39" s="440"/>
      <c r="H39" s="2631"/>
      <c r="I39" s="2632"/>
      <c r="J39" s="3839"/>
      <c r="K39" s="3646"/>
      <c r="L39" s="3728"/>
      <c r="M39" s="3652"/>
      <c r="N39" s="3834"/>
      <c r="O39" s="2644"/>
      <c r="P39" s="3790"/>
      <c r="Q39" s="3648"/>
      <c r="R39" s="3793"/>
      <c r="S39" s="3810"/>
      <c r="T39" s="3665"/>
      <c r="U39" s="3697"/>
      <c r="V39" s="3223" t="s">
        <v>2438</v>
      </c>
      <c r="W39" s="374">
        <v>10900000</v>
      </c>
      <c r="X39" s="329">
        <v>10900000</v>
      </c>
      <c r="Y39" s="329">
        <v>10900000</v>
      </c>
      <c r="Z39" s="2628">
        <v>42</v>
      </c>
      <c r="AA39" s="2629" t="s">
        <v>2422</v>
      </c>
      <c r="AB39" s="3765"/>
      <c r="AC39" s="3765"/>
      <c r="AD39" s="3765"/>
      <c r="AE39" s="3765"/>
      <c r="AF39" s="3842"/>
      <c r="AG39" s="3842"/>
      <c r="AH39" s="3842"/>
      <c r="AI39" s="3842"/>
      <c r="AJ39" s="3842"/>
      <c r="AK39" s="3842"/>
      <c r="AL39" s="3845"/>
      <c r="AM39" s="3845"/>
      <c r="AN39" s="3664"/>
      <c r="AO39" s="3765"/>
      <c r="AP39" s="3664"/>
      <c r="AQ39" s="3765"/>
      <c r="AR39" s="3765"/>
      <c r="AS39" s="2639"/>
      <c r="AT39" s="3664"/>
      <c r="AU39" s="3632"/>
      <c r="AV39" s="3664"/>
      <c r="AW39" s="3632"/>
      <c r="AX39" s="3664"/>
      <c r="AY39" s="3632"/>
      <c r="AZ39" s="3664"/>
      <c r="BA39" s="3632"/>
      <c r="BB39" s="3664"/>
      <c r="BC39" s="3632"/>
      <c r="BD39" s="3664"/>
      <c r="BE39" s="2639"/>
      <c r="BF39" s="3765"/>
      <c r="BG39" s="3632"/>
      <c r="BH39" s="3632"/>
      <c r="BI39" s="3626"/>
      <c r="BJ39" s="3626"/>
      <c r="BK39" s="3629"/>
      <c r="BL39" s="2633"/>
      <c r="BM39" s="2633"/>
      <c r="BN39" s="3620"/>
      <c r="BO39" s="3620"/>
      <c r="BP39" s="3620"/>
      <c r="BQ39" s="3620"/>
      <c r="BR39" s="3688"/>
      <c r="BS39" s="440"/>
      <c r="BT39" s="440"/>
    </row>
    <row r="40" spans="1:72" s="438" customFormat="1" ht="42" customHeight="1" x14ac:dyDescent="0.2">
      <c r="A40" s="3854"/>
      <c r="B40" s="3858"/>
      <c r="C40" s="3859"/>
      <c r="D40" s="3862"/>
      <c r="E40" s="3502"/>
      <c r="F40" s="3502"/>
      <c r="G40" s="440"/>
      <c r="H40" s="2631"/>
      <c r="I40" s="2632"/>
      <c r="J40" s="3839"/>
      <c r="K40" s="3646"/>
      <c r="L40" s="3728"/>
      <c r="M40" s="3652"/>
      <c r="N40" s="3834"/>
      <c r="O40" s="2644"/>
      <c r="P40" s="3790"/>
      <c r="Q40" s="3648"/>
      <c r="R40" s="3793"/>
      <c r="S40" s="3810"/>
      <c r="T40" s="3665"/>
      <c r="U40" s="3697"/>
      <c r="V40" s="3224"/>
      <c r="W40" s="374">
        <v>1000000</v>
      </c>
      <c r="X40" s="329">
        <v>1000000</v>
      </c>
      <c r="Y40" s="329">
        <v>1000000</v>
      </c>
      <c r="Z40" s="2628">
        <v>92</v>
      </c>
      <c r="AA40" s="2629" t="s">
        <v>2408</v>
      </c>
      <c r="AB40" s="3765"/>
      <c r="AC40" s="3765"/>
      <c r="AD40" s="3765"/>
      <c r="AE40" s="3765"/>
      <c r="AF40" s="3842"/>
      <c r="AG40" s="3842"/>
      <c r="AH40" s="3842"/>
      <c r="AI40" s="3842"/>
      <c r="AJ40" s="3842"/>
      <c r="AK40" s="3842"/>
      <c r="AL40" s="3845"/>
      <c r="AM40" s="3845"/>
      <c r="AN40" s="3664"/>
      <c r="AO40" s="3765"/>
      <c r="AP40" s="3664"/>
      <c r="AQ40" s="3765"/>
      <c r="AR40" s="3765"/>
      <c r="AS40" s="2639"/>
      <c r="AT40" s="3664"/>
      <c r="AU40" s="3632"/>
      <c r="AV40" s="3664"/>
      <c r="AW40" s="3632"/>
      <c r="AX40" s="3664"/>
      <c r="AY40" s="3632"/>
      <c r="AZ40" s="3664"/>
      <c r="BA40" s="3632"/>
      <c r="BB40" s="3664"/>
      <c r="BC40" s="3632"/>
      <c r="BD40" s="3664"/>
      <c r="BE40" s="2639"/>
      <c r="BF40" s="3765"/>
      <c r="BG40" s="3632"/>
      <c r="BH40" s="3632"/>
      <c r="BI40" s="3626"/>
      <c r="BJ40" s="3626"/>
      <c r="BK40" s="3629"/>
      <c r="BL40" s="2633"/>
      <c r="BM40" s="2633"/>
      <c r="BN40" s="3620"/>
      <c r="BO40" s="3620"/>
      <c r="BP40" s="3620"/>
      <c r="BQ40" s="3620"/>
      <c r="BR40" s="3688"/>
      <c r="BS40" s="440"/>
      <c r="BT40" s="440"/>
    </row>
    <row r="41" spans="1:72" s="438" customFormat="1" ht="35.25" customHeight="1" x14ac:dyDescent="0.2">
      <c r="A41" s="3854"/>
      <c r="B41" s="3858"/>
      <c r="C41" s="3859"/>
      <c r="D41" s="3862"/>
      <c r="E41" s="3502"/>
      <c r="F41" s="3502"/>
      <c r="G41" s="440"/>
      <c r="H41" s="2631"/>
      <c r="I41" s="2632"/>
      <c r="J41" s="3839"/>
      <c r="K41" s="3646"/>
      <c r="L41" s="3728"/>
      <c r="M41" s="3652"/>
      <c r="N41" s="3834"/>
      <c r="O41" s="2644"/>
      <c r="P41" s="3790"/>
      <c r="Q41" s="3648"/>
      <c r="R41" s="3793"/>
      <c r="S41" s="3810"/>
      <c r="T41" s="3665"/>
      <c r="U41" s="3697"/>
      <c r="V41" s="3223" t="s">
        <v>2439</v>
      </c>
      <c r="W41" s="329">
        <v>10000000</v>
      </c>
      <c r="X41" s="329">
        <v>10000000</v>
      </c>
      <c r="Y41" s="329">
        <v>10000000</v>
      </c>
      <c r="Z41" s="2628">
        <v>42</v>
      </c>
      <c r="AA41" s="2629" t="s">
        <v>2422</v>
      </c>
      <c r="AB41" s="3765"/>
      <c r="AC41" s="3765"/>
      <c r="AD41" s="3765"/>
      <c r="AE41" s="3765"/>
      <c r="AF41" s="3842"/>
      <c r="AG41" s="3842"/>
      <c r="AH41" s="3842"/>
      <c r="AI41" s="3842"/>
      <c r="AJ41" s="3842"/>
      <c r="AK41" s="3842"/>
      <c r="AL41" s="3845"/>
      <c r="AM41" s="3845"/>
      <c r="AN41" s="3664"/>
      <c r="AO41" s="3765"/>
      <c r="AP41" s="3664"/>
      <c r="AQ41" s="3765"/>
      <c r="AR41" s="3765"/>
      <c r="AS41" s="2639"/>
      <c r="AT41" s="3664"/>
      <c r="AU41" s="3632"/>
      <c r="AV41" s="3664"/>
      <c r="AW41" s="3632"/>
      <c r="AX41" s="3664"/>
      <c r="AY41" s="3632"/>
      <c r="AZ41" s="3664"/>
      <c r="BA41" s="3632"/>
      <c r="BB41" s="3664"/>
      <c r="BC41" s="3632"/>
      <c r="BD41" s="3664"/>
      <c r="BE41" s="2639"/>
      <c r="BF41" s="3765"/>
      <c r="BG41" s="3632"/>
      <c r="BH41" s="3632"/>
      <c r="BI41" s="3626"/>
      <c r="BJ41" s="3626"/>
      <c r="BK41" s="3629"/>
      <c r="BL41" s="2633"/>
      <c r="BM41" s="2633"/>
      <c r="BN41" s="3620"/>
      <c r="BO41" s="3620"/>
      <c r="BP41" s="3620"/>
      <c r="BQ41" s="3620"/>
      <c r="BR41" s="3688"/>
      <c r="BS41" s="440"/>
      <c r="BT41" s="440"/>
    </row>
    <row r="42" spans="1:72" s="438" customFormat="1" ht="28.5" x14ac:dyDescent="0.2">
      <c r="A42" s="3854"/>
      <c r="B42" s="3858"/>
      <c r="C42" s="3859"/>
      <c r="D42" s="3862"/>
      <c r="E42" s="3502"/>
      <c r="F42" s="3502"/>
      <c r="G42" s="440"/>
      <c r="H42" s="2631"/>
      <c r="I42" s="2632"/>
      <c r="J42" s="3839"/>
      <c r="K42" s="3646"/>
      <c r="L42" s="3728"/>
      <c r="M42" s="3652"/>
      <c r="N42" s="3834"/>
      <c r="O42" s="2644"/>
      <c r="P42" s="3790"/>
      <c r="Q42" s="3648"/>
      <c r="R42" s="3793"/>
      <c r="S42" s="3810"/>
      <c r="T42" s="3665"/>
      <c r="U42" s="3697"/>
      <c r="V42" s="3224"/>
      <c r="W42" s="329">
        <v>1000000</v>
      </c>
      <c r="X42" s="329">
        <v>1000000</v>
      </c>
      <c r="Y42" s="329">
        <v>1000000</v>
      </c>
      <c r="Z42" s="2628">
        <v>92</v>
      </c>
      <c r="AA42" s="2629" t="s">
        <v>2408</v>
      </c>
      <c r="AB42" s="3765"/>
      <c r="AC42" s="3765"/>
      <c r="AD42" s="3765"/>
      <c r="AE42" s="3765"/>
      <c r="AF42" s="3842"/>
      <c r="AG42" s="3842"/>
      <c r="AH42" s="3842"/>
      <c r="AI42" s="3842"/>
      <c r="AJ42" s="3842"/>
      <c r="AK42" s="3842"/>
      <c r="AL42" s="3845"/>
      <c r="AM42" s="3845"/>
      <c r="AN42" s="3664"/>
      <c r="AO42" s="3765"/>
      <c r="AP42" s="3664"/>
      <c r="AQ42" s="3765"/>
      <c r="AR42" s="3765"/>
      <c r="AS42" s="2639"/>
      <c r="AT42" s="3664"/>
      <c r="AU42" s="3632"/>
      <c r="AV42" s="3664"/>
      <c r="AW42" s="3632"/>
      <c r="AX42" s="3664"/>
      <c r="AY42" s="3632"/>
      <c r="AZ42" s="3664"/>
      <c r="BA42" s="3632"/>
      <c r="BB42" s="3664"/>
      <c r="BC42" s="3632"/>
      <c r="BD42" s="3664"/>
      <c r="BE42" s="2639"/>
      <c r="BF42" s="3765"/>
      <c r="BG42" s="3632"/>
      <c r="BH42" s="3632"/>
      <c r="BI42" s="3626"/>
      <c r="BJ42" s="3626"/>
      <c r="BK42" s="3629"/>
      <c r="BL42" s="2633"/>
      <c r="BM42" s="2633"/>
      <c r="BN42" s="3620"/>
      <c r="BO42" s="3620"/>
      <c r="BP42" s="3620"/>
      <c r="BQ42" s="3620"/>
      <c r="BR42" s="3688"/>
      <c r="BS42" s="440"/>
      <c r="BT42" s="440"/>
    </row>
    <row r="43" spans="1:72" s="438" customFormat="1" ht="42.75" customHeight="1" x14ac:dyDescent="0.2">
      <c r="A43" s="3854"/>
      <c r="B43" s="3858"/>
      <c r="C43" s="3859"/>
      <c r="D43" s="3862"/>
      <c r="E43" s="3502"/>
      <c r="F43" s="3502"/>
      <c r="G43" s="440"/>
      <c r="H43" s="2631"/>
      <c r="I43" s="2632"/>
      <c r="J43" s="3839"/>
      <c r="K43" s="3646"/>
      <c r="L43" s="3728"/>
      <c r="M43" s="3652"/>
      <c r="N43" s="3834"/>
      <c r="O43" s="2644"/>
      <c r="P43" s="3790"/>
      <c r="Q43" s="3648"/>
      <c r="R43" s="3793"/>
      <c r="S43" s="3810"/>
      <c r="T43" s="3665"/>
      <c r="U43" s="3697"/>
      <c r="V43" s="3223" t="s">
        <v>2440</v>
      </c>
      <c r="W43" s="329">
        <v>10000000</v>
      </c>
      <c r="X43" s="329">
        <f>4020000+1074900+2980000</f>
        <v>8074900</v>
      </c>
      <c r="Y43" s="329">
        <f>4020000+1074900+2980000</f>
        <v>8074900</v>
      </c>
      <c r="Z43" s="2628">
        <v>42</v>
      </c>
      <c r="AA43" s="2629" t="s">
        <v>2422</v>
      </c>
      <c r="AB43" s="3765"/>
      <c r="AC43" s="3765"/>
      <c r="AD43" s="3765"/>
      <c r="AE43" s="3765"/>
      <c r="AF43" s="3842"/>
      <c r="AG43" s="3842"/>
      <c r="AH43" s="3842"/>
      <c r="AI43" s="3842"/>
      <c r="AJ43" s="3842"/>
      <c r="AK43" s="3842"/>
      <c r="AL43" s="3845"/>
      <c r="AM43" s="3845"/>
      <c r="AN43" s="3664"/>
      <c r="AO43" s="3765"/>
      <c r="AP43" s="3664"/>
      <c r="AQ43" s="3765"/>
      <c r="AR43" s="3765"/>
      <c r="AS43" s="2639"/>
      <c r="AT43" s="3664"/>
      <c r="AU43" s="3632"/>
      <c r="AV43" s="3664"/>
      <c r="AW43" s="3632"/>
      <c r="AX43" s="3664"/>
      <c r="AY43" s="3632"/>
      <c r="AZ43" s="3664"/>
      <c r="BA43" s="3632"/>
      <c r="BB43" s="3664"/>
      <c r="BC43" s="3632"/>
      <c r="BD43" s="3664"/>
      <c r="BE43" s="2639"/>
      <c r="BF43" s="3765"/>
      <c r="BG43" s="3632"/>
      <c r="BH43" s="3632"/>
      <c r="BI43" s="3626"/>
      <c r="BJ43" s="3626"/>
      <c r="BK43" s="3629"/>
      <c r="BL43" s="2633"/>
      <c r="BM43" s="2633"/>
      <c r="BN43" s="3620"/>
      <c r="BO43" s="3620"/>
      <c r="BP43" s="3620"/>
      <c r="BQ43" s="3620"/>
      <c r="BR43" s="3688"/>
      <c r="BS43" s="440"/>
      <c r="BT43" s="440"/>
    </row>
    <row r="44" spans="1:72" s="438" customFormat="1" ht="54" customHeight="1" x14ac:dyDescent="0.2">
      <c r="A44" s="3854"/>
      <c r="B44" s="3858"/>
      <c r="C44" s="3859"/>
      <c r="D44" s="3862"/>
      <c r="E44" s="3502"/>
      <c r="F44" s="3502"/>
      <c r="G44" s="440"/>
      <c r="H44" s="2631"/>
      <c r="I44" s="2632"/>
      <c r="J44" s="3839"/>
      <c r="K44" s="3646"/>
      <c r="L44" s="3728"/>
      <c r="M44" s="3652"/>
      <c r="N44" s="3834"/>
      <c r="O44" s="2644"/>
      <c r="P44" s="3790"/>
      <c r="Q44" s="3648"/>
      <c r="R44" s="3793"/>
      <c r="S44" s="3810"/>
      <c r="T44" s="3665"/>
      <c r="U44" s="3697"/>
      <c r="V44" s="3224"/>
      <c r="W44" s="329">
        <v>3000000</v>
      </c>
      <c r="X44" s="329">
        <f>1000000+1000000+1000000</f>
        <v>3000000</v>
      </c>
      <c r="Y44" s="329">
        <v>3000000</v>
      </c>
      <c r="Z44" s="2628">
        <v>92</v>
      </c>
      <c r="AA44" s="2629" t="s">
        <v>2408</v>
      </c>
      <c r="AB44" s="3765"/>
      <c r="AC44" s="3765"/>
      <c r="AD44" s="3765"/>
      <c r="AE44" s="3765"/>
      <c r="AF44" s="3842"/>
      <c r="AG44" s="3842"/>
      <c r="AH44" s="3842"/>
      <c r="AI44" s="3842"/>
      <c r="AJ44" s="3842"/>
      <c r="AK44" s="3842"/>
      <c r="AL44" s="3845"/>
      <c r="AM44" s="3845"/>
      <c r="AN44" s="3664"/>
      <c r="AO44" s="3765"/>
      <c r="AP44" s="3664"/>
      <c r="AQ44" s="3765"/>
      <c r="AR44" s="3765"/>
      <c r="AS44" s="2639"/>
      <c r="AT44" s="3664"/>
      <c r="AU44" s="3632"/>
      <c r="AV44" s="3664"/>
      <c r="AW44" s="3632"/>
      <c r="AX44" s="3664"/>
      <c r="AY44" s="3632"/>
      <c r="AZ44" s="3664"/>
      <c r="BA44" s="3632"/>
      <c r="BB44" s="3664"/>
      <c r="BC44" s="3632"/>
      <c r="BD44" s="3664"/>
      <c r="BE44" s="2639"/>
      <c r="BF44" s="3765"/>
      <c r="BG44" s="3632"/>
      <c r="BH44" s="3632"/>
      <c r="BI44" s="3626"/>
      <c r="BJ44" s="3626"/>
      <c r="BK44" s="3629"/>
      <c r="BL44" s="2633"/>
      <c r="BM44" s="2633"/>
      <c r="BN44" s="3620"/>
      <c r="BO44" s="3620"/>
      <c r="BP44" s="3620"/>
      <c r="BQ44" s="3620"/>
      <c r="BR44" s="3688"/>
      <c r="BS44" s="440"/>
      <c r="BT44" s="440"/>
    </row>
    <row r="45" spans="1:72" s="438" customFormat="1" ht="44.25" customHeight="1" x14ac:dyDescent="0.2">
      <c r="A45" s="3854"/>
      <c r="B45" s="3858"/>
      <c r="C45" s="3859"/>
      <c r="D45" s="3862"/>
      <c r="E45" s="3502"/>
      <c r="F45" s="3502"/>
      <c r="G45" s="440"/>
      <c r="H45" s="2631"/>
      <c r="I45" s="2632"/>
      <c r="J45" s="3839"/>
      <c r="K45" s="3646"/>
      <c r="L45" s="3728"/>
      <c r="M45" s="3652"/>
      <c r="N45" s="3834"/>
      <c r="O45" s="2644"/>
      <c r="P45" s="3790"/>
      <c r="Q45" s="3648"/>
      <c r="R45" s="3793"/>
      <c r="S45" s="3810"/>
      <c r="T45" s="3665"/>
      <c r="U45" s="3697"/>
      <c r="V45" s="3223" t="s">
        <v>2441</v>
      </c>
      <c r="W45" s="374">
        <v>11000000</v>
      </c>
      <c r="X45" s="329">
        <v>0</v>
      </c>
      <c r="Y45" s="329">
        <v>0</v>
      </c>
      <c r="Z45" s="2628">
        <v>42</v>
      </c>
      <c r="AA45" s="2629" t="s">
        <v>2422</v>
      </c>
      <c r="AB45" s="3765"/>
      <c r="AC45" s="3765"/>
      <c r="AD45" s="3765"/>
      <c r="AE45" s="3765"/>
      <c r="AF45" s="3842"/>
      <c r="AG45" s="3842"/>
      <c r="AH45" s="3842"/>
      <c r="AI45" s="3842"/>
      <c r="AJ45" s="3842"/>
      <c r="AK45" s="3842"/>
      <c r="AL45" s="3845"/>
      <c r="AM45" s="3845"/>
      <c r="AN45" s="3664"/>
      <c r="AO45" s="3765"/>
      <c r="AP45" s="3664"/>
      <c r="AQ45" s="3765"/>
      <c r="AR45" s="3765"/>
      <c r="AS45" s="2639"/>
      <c r="AT45" s="3664"/>
      <c r="AU45" s="3632"/>
      <c r="AV45" s="3664"/>
      <c r="AW45" s="3632"/>
      <c r="AX45" s="3664"/>
      <c r="AY45" s="3632"/>
      <c r="AZ45" s="3664"/>
      <c r="BA45" s="3632"/>
      <c r="BB45" s="3664"/>
      <c r="BC45" s="3632"/>
      <c r="BD45" s="3664"/>
      <c r="BE45" s="2639"/>
      <c r="BF45" s="3765"/>
      <c r="BG45" s="3632"/>
      <c r="BH45" s="3632"/>
      <c r="BI45" s="3626"/>
      <c r="BJ45" s="3626"/>
      <c r="BK45" s="3629"/>
      <c r="BL45" s="2633"/>
      <c r="BM45" s="2633"/>
      <c r="BN45" s="3620"/>
      <c r="BO45" s="3620"/>
      <c r="BP45" s="3620"/>
      <c r="BQ45" s="3620"/>
      <c r="BR45" s="3688"/>
      <c r="BS45" s="440"/>
      <c r="BT45" s="440"/>
    </row>
    <row r="46" spans="1:72" s="438" customFormat="1" ht="36.75" customHeight="1" x14ac:dyDescent="0.2">
      <c r="A46" s="3854"/>
      <c r="B46" s="3858"/>
      <c r="C46" s="3859"/>
      <c r="D46" s="3502"/>
      <c r="E46" s="3502"/>
      <c r="F46" s="3502"/>
      <c r="G46" s="440"/>
      <c r="H46" s="2631"/>
      <c r="I46" s="2632"/>
      <c r="J46" s="3840"/>
      <c r="K46" s="3647"/>
      <c r="L46" s="3709"/>
      <c r="M46" s="3653"/>
      <c r="N46" s="3835"/>
      <c r="O46" s="2644"/>
      <c r="P46" s="3790"/>
      <c r="Q46" s="3648"/>
      <c r="R46" s="3794"/>
      <c r="S46" s="3810"/>
      <c r="T46" s="3665"/>
      <c r="U46" s="3697"/>
      <c r="V46" s="3224"/>
      <c r="W46" s="374">
        <v>12000000</v>
      </c>
      <c r="X46" s="329">
        <v>8000000</v>
      </c>
      <c r="Y46" s="329">
        <v>0</v>
      </c>
      <c r="Z46" s="2628">
        <v>92</v>
      </c>
      <c r="AA46" s="2629" t="s">
        <v>2408</v>
      </c>
      <c r="AB46" s="3765"/>
      <c r="AC46" s="3765"/>
      <c r="AD46" s="3765"/>
      <c r="AE46" s="3765"/>
      <c r="AF46" s="3842"/>
      <c r="AG46" s="3842"/>
      <c r="AH46" s="3842"/>
      <c r="AI46" s="3842"/>
      <c r="AJ46" s="3842"/>
      <c r="AK46" s="3842"/>
      <c r="AL46" s="3845"/>
      <c r="AM46" s="3845"/>
      <c r="AN46" s="3664"/>
      <c r="AO46" s="3765"/>
      <c r="AP46" s="3664"/>
      <c r="AQ46" s="3765"/>
      <c r="AR46" s="3765"/>
      <c r="AS46" s="2639"/>
      <c r="AT46" s="3664"/>
      <c r="AU46" s="3632"/>
      <c r="AV46" s="3664"/>
      <c r="AW46" s="3632"/>
      <c r="AX46" s="3664"/>
      <c r="AY46" s="3632"/>
      <c r="AZ46" s="3664"/>
      <c r="BA46" s="3632"/>
      <c r="BB46" s="3664"/>
      <c r="BC46" s="3632"/>
      <c r="BD46" s="3664"/>
      <c r="BE46" s="2639"/>
      <c r="BF46" s="3765"/>
      <c r="BG46" s="3632"/>
      <c r="BH46" s="3632"/>
      <c r="BI46" s="3626"/>
      <c r="BJ46" s="3626"/>
      <c r="BK46" s="3629"/>
      <c r="BL46" s="2633"/>
      <c r="BM46" s="2633"/>
      <c r="BN46" s="3620"/>
      <c r="BO46" s="3620"/>
      <c r="BP46" s="3620"/>
      <c r="BQ46" s="3620"/>
      <c r="BR46" s="3688"/>
      <c r="BS46" s="440"/>
      <c r="BT46" s="440"/>
    </row>
    <row r="47" spans="1:72" s="438" customFormat="1" ht="47.25" customHeight="1" x14ac:dyDescent="0.2">
      <c r="A47" s="3854"/>
      <c r="B47" s="3858"/>
      <c r="C47" s="3859"/>
      <c r="D47" s="3502"/>
      <c r="E47" s="3502"/>
      <c r="F47" s="3502"/>
      <c r="G47" s="440"/>
      <c r="H47" s="2631"/>
      <c r="I47" s="2632"/>
      <c r="J47" s="3831">
        <v>218</v>
      </c>
      <c r="K47" s="3665" t="s">
        <v>2442</v>
      </c>
      <c r="L47" s="3720" t="s">
        <v>2443</v>
      </c>
      <c r="M47" s="3718">
        <v>3</v>
      </c>
      <c r="N47" s="3673">
        <v>3</v>
      </c>
      <c r="O47" s="2644"/>
      <c r="P47" s="3790"/>
      <c r="Q47" s="3648"/>
      <c r="R47" s="3832">
        <f>SUM(W47:W49)/S13</f>
        <v>1.8685636893508266E-2</v>
      </c>
      <c r="S47" s="3810"/>
      <c r="T47" s="3665"/>
      <c r="U47" s="3665"/>
      <c r="V47" s="3223" t="s">
        <v>2444</v>
      </c>
      <c r="W47" s="2648">
        <v>45600000</v>
      </c>
      <c r="X47" s="329">
        <v>43206600</v>
      </c>
      <c r="Y47" s="329">
        <f>18750000+8480000+14332000</f>
        <v>41562000</v>
      </c>
      <c r="Z47" s="2628">
        <v>20</v>
      </c>
      <c r="AA47" s="2629" t="s">
        <v>2412</v>
      </c>
      <c r="AB47" s="3765"/>
      <c r="AC47" s="3765"/>
      <c r="AD47" s="3765"/>
      <c r="AE47" s="3765"/>
      <c r="AF47" s="3842"/>
      <c r="AG47" s="3842"/>
      <c r="AH47" s="3842"/>
      <c r="AI47" s="3842"/>
      <c r="AJ47" s="3842"/>
      <c r="AK47" s="3842"/>
      <c r="AL47" s="3845"/>
      <c r="AM47" s="3845"/>
      <c r="AN47" s="3664"/>
      <c r="AO47" s="3765"/>
      <c r="AP47" s="3664"/>
      <c r="AQ47" s="3765"/>
      <c r="AR47" s="3765"/>
      <c r="AS47" s="2639"/>
      <c r="AT47" s="3664"/>
      <c r="AU47" s="3632"/>
      <c r="AV47" s="3664"/>
      <c r="AW47" s="3632"/>
      <c r="AX47" s="3664"/>
      <c r="AY47" s="3632"/>
      <c r="AZ47" s="3664"/>
      <c r="BA47" s="3632"/>
      <c r="BB47" s="3664"/>
      <c r="BC47" s="3632"/>
      <c r="BD47" s="3664"/>
      <c r="BE47" s="2639"/>
      <c r="BF47" s="3765"/>
      <c r="BG47" s="3632"/>
      <c r="BH47" s="3632"/>
      <c r="BI47" s="3626"/>
      <c r="BJ47" s="3626"/>
      <c r="BK47" s="3629"/>
      <c r="BL47" s="2633"/>
      <c r="BM47" s="2633"/>
      <c r="BN47" s="3620"/>
      <c r="BO47" s="3620"/>
      <c r="BP47" s="3620"/>
      <c r="BQ47" s="3620"/>
      <c r="BR47" s="3688"/>
      <c r="BS47" s="440"/>
      <c r="BT47" s="440"/>
    </row>
    <row r="48" spans="1:72" s="438" customFormat="1" ht="62.25" customHeight="1" x14ac:dyDescent="0.2">
      <c r="A48" s="3854"/>
      <c r="B48" s="3858"/>
      <c r="C48" s="3859"/>
      <c r="D48" s="3502"/>
      <c r="E48" s="3502"/>
      <c r="F48" s="3502"/>
      <c r="G48" s="440"/>
      <c r="H48" s="2631"/>
      <c r="I48" s="2632"/>
      <c r="J48" s="3831"/>
      <c r="K48" s="3665"/>
      <c r="L48" s="3720"/>
      <c r="M48" s="3718"/>
      <c r="N48" s="3654"/>
      <c r="O48" s="2644"/>
      <c r="P48" s="3790"/>
      <c r="Q48" s="3648"/>
      <c r="R48" s="3832"/>
      <c r="S48" s="3810"/>
      <c r="T48" s="3665"/>
      <c r="U48" s="3665"/>
      <c r="V48" s="3224"/>
      <c r="W48" s="2511">
        <v>75000000</v>
      </c>
      <c r="X48" s="2627">
        <f>9584500+21450000+16860100+10390000+12000000+4715400</f>
        <v>75000000</v>
      </c>
      <c r="Y48" s="2627">
        <f>5200000+2585000+9000000+7166000+3800000</f>
        <v>27751000</v>
      </c>
      <c r="Z48" s="2649">
        <v>92</v>
      </c>
      <c r="AA48" s="2629" t="s">
        <v>2408</v>
      </c>
      <c r="AB48" s="3765"/>
      <c r="AC48" s="3765"/>
      <c r="AD48" s="3765"/>
      <c r="AE48" s="3765"/>
      <c r="AF48" s="3842"/>
      <c r="AG48" s="3842"/>
      <c r="AH48" s="3842"/>
      <c r="AI48" s="3842"/>
      <c r="AJ48" s="3842"/>
      <c r="AK48" s="3842"/>
      <c r="AL48" s="3845"/>
      <c r="AM48" s="3845"/>
      <c r="AN48" s="3664"/>
      <c r="AO48" s="3765"/>
      <c r="AP48" s="3664"/>
      <c r="AQ48" s="3765"/>
      <c r="AR48" s="3765"/>
      <c r="AS48" s="2639"/>
      <c r="AT48" s="3664"/>
      <c r="AU48" s="3632"/>
      <c r="AV48" s="3664"/>
      <c r="AW48" s="3632"/>
      <c r="AX48" s="3664"/>
      <c r="AY48" s="3632"/>
      <c r="AZ48" s="3664"/>
      <c r="BA48" s="3632"/>
      <c r="BB48" s="3664"/>
      <c r="BC48" s="3632"/>
      <c r="BD48" s="3664"/>
      <c r="BE48" s="2639"/>
      <c r="BF48" s="3765"/>
      <c r="BG48" s="3632"/>
      <c r="BH48" s="3632"/>
      <c r="BI48" s="3626"/>
      <c r="BJ48" s="3626"/>
      <c r="BK48" s="3629"/>
      <c r="BL48" s="2633"/>
      <c r="BM48" s="2633"/>
      <c r="BN48" s="3620"/>
      <c r="BO48" s="3620"/>
      <c r="BP48" s="3620"/>
      <c r="BQ48" s="3620"/>
      <c r="BR48" s="3688"/>
      <c r="BS48" s="440"/>
      <c r="BT48" s="440"/>
    </row>
    <row r="49" spans="1:72" s="438" customFormat="1" ht="82.5" customHeight="1" x14ac:dyDescent="0.2">
      <c r="A49" s="3854"/>
      <c r="B49" s="3858"/>
      <c r="C49" s="3859"/>
      <c r="D49" s="3502"/>
      <c r="E49" s="3502"/>
      <c r="F49" s="3502"/>
      <c r="G49" s="440"/>
      <c r="H49" s="2650"/>
      <c r="I49" s="2651"/>
      <c r="J49" s="3831"/>
      <c r="K49" s="3665"/>
      <c r="L49" s="3720"/>
      <c r="M49" s="3705"/>
      <c r="N49" s="3655"/>
      <c r="O49" s="2644"/>
      <c r="P49" s="3790"/>
      <c r="Q49" s="3648"/>
      <c r="R49" s="3832"/>
      <c r="S49" s="3811"/>
      <c r="T49" s="3665"/>
      <c r="U49" s="3665"/>
      <c r="V49" s="2645" t="s">
        <v>2445</v>
      </c>
      <c r="W49" s="2511">
        <v>4000000</v>
      </c>
      <c r="X49" s="2512">
        <v>0</v>
      </c>
      <c r="Y49" s="2512">
        <v>0</v>
      </c>
      <c r="Z49" s="2649">
        <v>20</v>
      </c>
      <c r="AA49" s="2652" t="s">
        <v>2412</v>
      </c>
      <c r="AB49" s="3766"/>
      <c r="AC49" s="3766"/>
      <c r="AD49" s="3766"/>
      <c r="AE49" s="3766"/>
      <c r="AF49" s="3843"/>
      <c r="AG49" s="3843"/>
      <c r="AH49" s="3843"/>
      <c r="AI49" s="3843"/>
      <c r="AJ49" s="3843"/>
      <c r="AK49" s="3843"/>
      <c r="AL49" s="3846"/>
      <c r="AM49" s="3846"/>
      <c r="AN49" s="3664"/>
      <c r="AO49" s="3766"/>
      <c r="AP49" s="3664"/>
      <c r="AQ49" s="3766"/>
      <c r="AR49" s="3766"/>
      <c r="AS49" s="2653"/>
      <c r="AT49" s="3664"/>
      <c r="AU49" s="3633"/>
      <c r="AV49" s="3664"/>
      <c r="AW49" s="3633"/>
      <c r="AX49" s="3664"/>
      <c r="AY49" s="3633"/>
      <c r="AZ49" s="3664"/>
      <c r="BA49" s="3633"/>
      <c r="BB49" s="3664"/>
      <c r="BC49" s="3633"/>
      <c r="BD49" s="3664"/>
      <c r="BE49" s="2653"/>
      <c r="BF49" s="3766"/>
      <c r="BG49" s="3633"/>
      <c r="BH49" s="3633"/>
      <c r="BI49" s="3627"/>
      <c r="BJ49" s="3627"/>
      <c r="BK49" s="3630"/>
      <c r="BL49" s="2654"/>
      <c r="BM49" s="2654"/>
      <c r="BN49" s="3621"/>
      <c r="BO49" s="3621"/>
      <c r="BP49" s="3621"/>
      <c r="BQ49" s="3621"/>
      <c r="BR49" s="3688"/>
      <c r="BS49" s="440"/>
      <c r="BT49" s="440"/>
    </row>
    <row r="50" spans="1:72" s="440" customFormat="1" ht="19.5" customHeight="1" x14ac:dyDescent="0.2">
      <c r="A50" s="3854"/>
      <c r="B50" s="3858"/>
      <c r="C50" s="3859"/>
      <c r="D50" s="3502"/>
      <c r="E50" s="3502"/>
      <c r="F50" s="3502"/>
      <c r="G50" s="2619">
        <v>76</v>
      </c>
      <c r="H50" s="1109" t="s">
        <v>2446</v>
      </c>
      <c r="I50" s="1109"/>
      <c r="J50" s="2655"/>
      <c r="K50" s="2656"/>
      <c r="L50" s="2657"/>
      <c r="M50" s="939"/>
      <c r="N50" s="939"/>
      <c r="O50" s="1215"/>
      <c r="P50" s="1216"/>
      <c r="Q50" s="1111"/>
      <c r="R50" s="2658"/>
      <c r="S50" s="2659"/>
      <c r="T50" s="2657"/>
      <c r="U50" s="2656"/>
      <c r="V50" s="2656"/>
      <c r="W50" s="2660"/>
      <c r="X50" s="2660"/>
      <c r="Y50" s="2661"/>
      <c r="Z50" s="940"/>
      <c r="AA50" s="940"/>
      <c r="AB50" s="1109"/>
      <c r="AC50" s="1109"/>
      <c r="AD50" s="1109"/>
      <c r="AE50" s="1109"/>
      <c r="AF50" s="1109"/>
      <c r="AG50" s="1109"/>
      <c r="AH50" s="1109"/>
      <c r="AI50" s="1109"/>
      <c r="AJ50" s="1109"/>
      <c r="AK50" s="1109"/>
      <c r="AL50" s="1109"/>
      <c r="AM50" s="1109"/>
      <c r="AN50" s="1109"/>
      <c r="AO50" s="1109"/>
      <c r="AP50" s="1109"/>
      <c r="AQ50" s="1109"/>
      <c r="AR50" s="1109"/>
      <c r="AS50" s="1109"/>
      <c r="AT50" s="1109"/>
      <c r="AU50" s="1109"/>
      <c r="AV50" s="1109"/>
      <c r="AW50" s="1109"/>
      <c r="AX50" s="1109"/>
      <c r="AY50" s="1109"/>
      <c r="AZ50" s="1116"/>
      <c r="BA50" s="1116"/>
      <c r="BB50" s="1116"/>
      <c r="BC50" s="1116"/>
      <c r="BD50" s="1116"/>
      <c r="BE50" s="1116"/>
      <c r="BF50" s="1116"/>
      <c r="BG50" s="1116"/>
      <c r="BH50" s="1116"/>
      <c r="BI50" s="2662"/>
      <c r="BJ50" s="2662"/>
      <c r="BK50" s="1116"/>
      <c r="BL50" s="1116"/>
      <c r="BM50" s="1116"/>
      <c r="BN50" s="1116"/>
      <c r="BO50" s="1116"/>
      <c r="BP50" s="1116"/>
      <c r="BQ50" s="1116"/>
      <c r="BR50" s="1116"/>
    </row>
    <row r="51" spans="1:72" s="438" customFormat="1" ht="58.5" customHeight="1" x14ac:dyDescent="0.2">
      <c r="A51" s="3854"/>
      <c r="B51" s="3858"/>
      <c r="C51" s="3859"/>
      <c r="D51" s="3502"/>
      <c r="E51" s="3502"/>
      <c r="F51" s="3502"/>
      <c r="G51" s="440"/>
      <c r="H51" s="2626"/>
      <c r="I51" s="396"/>
      <c r="J51" s="3812">
        <v>219</v>
      </c>
      <c r="K51" s="3674" t="s">
        <v>2447</v>
      </c>
      <c r="L51" s="3674" t="s">
        <v>2448</v>
      </c>
      <c r="M51" s="3815">
        <v>11</v>
      </c>
      <c r="N51" s="3774">
        <v>10</v>
      </c>
      <c r="O51" s="2663"/>
      <c r="P51" s="3816" t="s">
        <v>2449</v>
      </c>
      <c r="Q51" s="3698" t="s">
        <v>2450</v>
      </c>
      <c r="R51" s="3806">
        <f>SUM(W51:W57)/S51</f>
        <v>0.48485153703513656</v>
      </c>
      <c r="S51" s="3809">
        <f>SUM(W51:W65)</f>
        <v>718838837</v>
      </c>
      <c r="T51" s="3665" t="s">
        <v>2451</v>
      </c>
      <c r="U51" s="3697" t="s">
        <v>2452</v>
      </c>
      <c r="V51" s="3223" t="s">
        <v>2453</v>
      </c>
      <c r="W51" s="2511">
        <v>50000000</v>
      </c>
      <c r="X51" s="2664">
        <v>41244366</v>
      </c>
      <c r="Y51" s="2627">
        <f>20550000+16362366+4332000</f>
        <v>41244366</v>
      </c>
      <c r="Z51" s="2665" t="s">
        <v>2454</v>
      </c>
      <c r="AA51" s="2666" t="s">
        <v>2455</v>
      </c>
      <c r="AB51" s="3736">
        <v>7650</v>
      </c>
      <c r="AC51" s="3736">
        <v>4437</v>
      </c>
      <c r="AD51" s="3736">
        <v>7350</v>
      </c>
      <c r="AE51" s="3736">
        <v>4263</v>
      </c>
      <c r="AF51" s="3736">
        <v>4564</v>
      </c>
      <c r="AG51" s="3736">
        <v>1500</v>
      </c>
      <c r="AH51" s="3736">
        <v>3365</v>
      </c>
      <c r="AI51" s="3736">
        <v>1500</v>
      </c>
      <c r="AJ51" s="3736">
        <v>1921</v>
      </c>
      <c r="AK51" s="3736">
        <v>950</v>
      </c>
      <c r="AL51" s="3736">
        <v>5150</v>
      </c>
      <c r="AM51" s="3736">
        <v>4750</v>
      </c>
      <c r="AN51" s="3827"/>
      <c r="AO51" s="2667"/>
      <c r="AP51" s="3827"/>
      <c r="AQ51" s="2667"/>
      <c r="AR51" s="3827"/>
      <c r="AS51" s="2667"/>
      <c r="AT51" s="3827"/>
      <c r="AU51" s="2667"/>
      <c r="AV51" s="3827"/>
      <c r="AW51" s="2667"/>
      <c r="AX51" s="3827"/>
      <c r="AY51" s="2667"/>
      <c r="AZ51" s="3827"/>
      <c r="BA51" s="2667"/>
      <c r="BB51" s="3827"/>
      <c r="BC51" s="2667"/>
      <c r="BD51" s="3827"/>
      <c r="BE51" s="3691"/>
      <c r="BF51" s="3663">
        <v>15000</v>
      </c>
      <c r="BG51" s="3736">
        <v>8700</v>
      </c>
      <c r="BH51" s="3736">
        <v>35</v>
      </c>
      <c r="BI51" s="3821">
        <f>SUM(X51:X65)</f>
        <v>600650975</v>
      </c>
      <c r="BJ51" s="3821">
        <f>SUM(Y51:Y65)</f>
        <v>436667109</v>
      </c>
      <c r="BK51" s="3824">
        <f>BJ51/BI51</f>
        <v>0.72698976140012095</v>
      </c>
      <c r="BL51" s="2668"/>
      <c r="BM51" s="2668"/>
      <c r="BN51" s="3616">
        <v>43480</v>
      </c>
      <c r="BO51" s="3616">
        <v>43544</v>
      </c>
      <c r="BP51" s="3616">
        <v>43600</v>
      </c>
      <c r="BQ51" s="3616">
        <v>43809</v>
      </c>
      <c r="BR51" s="3817" t="s">
        <v>2456</v>
      </c>
      <c r="BS51" s="440"/>
      <c r="BT51" s="440"/>
    </row>
    <row r="52" spans="1:72" s="438" customFormat="1" ht="51" customHeight="1" x14ac:dyDescent="0.2">
      <c r="A52" s="3854"/>
      <c r="B52" s="3858"/>
      <c r="C52" s="3859"/>
      <c r="D52" s="3502"/>
      <c r="E52" s="3502"/>
      <c r="F52" s="3502"/>
      <c r="G52" s="440"/>
      <c r="H52" s="2631"/>
      <c r="I52" s="2632"/>
      <c r="J52" s="3813"/>
      <c r="K52" s="3646"/>
      <c r="L52" s="3646"/>
      <c r="M52" s="3815"/>
      <c r="N52" s="3774"/>
      <c r="O52" s="2669"/>
      <c r="P52" s="3756"/>
      <c r="Q52" s="3648"/>
      <c r="R52" s="3807"/>
      <c r="S52" s="3810"/>
      <c r="T52" s="3665"/>
      <c r="U52" s="3697"/>
      <c r="V52" s="3224"/>
      <c r="W52" s="2511">
        <v>130657749</v>
      </c>
      <c r="X52" s="2664">
        <f>80997333+11192000+11192000+11192000</f>
        <v>114573333</v>
      </c>
      <c r="Y52" s="2627">
        <f>8394000+7461333+17500000+13500000+8394000+5596000+5596000</f>
        <v>66441333</v>
      </c>
      <c r="Z52" s="2665" t="s">
        <v>2457</v>
      </c>
      <c r="AA52" s="2666" t="s">
        <v>2408</v>
      </c>
      <c r="AB52" s="3767"/>
      <c r="AC52" s="3767"/>
      <c r="AD52" s="3767"/>
      <c r="AE52" s="3767"/>
      <c r="AF52" s="3767"/>
      <c r="AG52" s="3767"/>
      <c r="AH52" s="3767"/>
      <c r="AI52" s="3767"/>
      <c r="AJ52" s="3767"/>
      <c r="AK52" s="3767"/>
      <c r="AL52" s="3767"/>
      <c r="AM52" s="3767"/>
      <c r="AN52" s="3828"/>
      <c r="AO52" s="2670"/>
      <c r="AP52" s="3828"/>
      <c r="AQ52" s="2670"/>
      <c r="AR52" s="3828"/>
      <c r="AS52" s="2670"/>
      <c r="AT52" s="3828"/>
      <c r="AU52" s="2670"/>
      <c r="AV52" s="3828"/>
      <c r="AW52" s="2670"/>
      <c r="AX52" s="3828"/>
      <c r="AY52" s="2670"/>
      <c r="AZ52" s="3828"/>
      <c r="BA52" s="2670"/>
      <c r="BB52" s="3828"/>
      <c r="BC52" s="2670"/>
      <c r="BD52" s="3828"/>
      <c r="BE52" s="3712"/>
      <c r="BF52" s="3664"/>
      <c r="BG52" s="3767"/>
      <c r="BH52" s="3767"/>
      <c r="BI52" s="3822"/>
      <c r="BJ52" s="3822"/>
      <c r="BK52" s="3825"/>
      <c r="BL52" s="2671"/>
      <c r="BM52" s="2671"/>
      <c r="BN52" s="3617"/>
      <c r="BO52" s="3617"/>
      <c r="BP52" s="3617"/>
      <c r="BQ52" s="3617"/>
      <c r="BR52" s="3818"/>
      <c r="BS52" s="440"/>
      <c r="BT52" s="440"/>
    </row>
    <row r="53" spans="1:72" s="438" customFormat="1" ht="50.25" customHeight="1" x14ac:dyDescent="0.2">
      <c r="A53" s="3854"/>
      <c r="B53" s="3858"/>
      <c r="C53" s="3859"/>
      <c r="D53" s="3502"/>
      <c r="E53" s="3502"/>
      <c r="F53" s="3502"/>
      <c r="G53" s="440"/>
      <c r="H53" s="2631"/>
      <c r="I53" s="2632"/>
      <c r="J53" s="3813"/>
      <c r="K53" s="3646"/>
      <c r="L53" s="3646"/>
      <c r="M53" s="3815"/>
      <c r="N53" s="3774"/>
      <c r="O53" s="2669"/>
      <c r="P53" s="3756"/>
      <c r="Q53" s="3648"/>
      <c r="R53" s="3807"/>
      <c r="S53" s="3810"/>
      <c r="T53" s="3665"/>
      <c r="U53" s="3697"/>
      <c r="V53" s="3223" t="s">
        <v>2458</v>
      </c>
      <c r="W53" s="2511">
        <v>23500000</v>
      </c>
      <c r="X53" s="2664">
        <v>23292000</v>
      </c>
      <c r="Y53" s="2664">
        <f>7600000+11192000+4500000</f>
        <v>23292000</v>
      </c>
      <c r="Z53" s="2672">
        <v>20</v>
      </c>
      <c r="AA53" s="2673" t="s">
        <v>2459</v>
      </c>
      <c r="AB53" s="3767"/>
      <c r="AC53" s="3767"/>
      <c r="AD53" s="3767"/>
      <c r="AE53" s="3767"/>
      <c r="AF53" s="3767"/>
      <c r="AG53" s="3767"/>
      <c r="AH53" s="3767"/>
      <c r="AI53" s="3767"/>
      <c r="AJ53" s="3767"/>
      <c r="AK53" s="3767"/>
      <c r="AL53" s="3767"/>
      <c r="AM53" s="3767"/>
      <c r="AN53" s="3828"/>
      <c r="AO53" s="2670"/>
      <c r="AP53" s="3828"/>
      <c r="AQ53" s="2670"/>
      <c r="AR53" s="3828"/>
      <c r="AS53" s="2670"/>
      <c r="AT53" s="3828"/>
      <c r="AU53" s="2670"/>
      <c r="AV53" s="3828"/>
      <c r="AW53" s="2670"/>
      <c r="AX53" s="3828"/>
      <c r="AY53" s="2670"/>
      <c r="AZ53" s="3828"/>
      <c r="BA53" s="2670"/>
      <c r="BB53" s="3828"/>
      <c r="BC53" s="2670"/>
      <c r="BD53" s="3828"/>
      <c r="BE53" s="3712"/>
      <c r="BF53" s="3664"/>
      <c r="BG53" s="3767"/>
      <c r="BH53" s="3767"/>
      <c r="BI53" s="3822"/>
      <c r="BJ53" s="3822"/>
      <c r="BK53" s="3825"/>
      <c r="BL53" s="2671"/>
      <c r="BM53" s="2671"/>
      <c r="BN53" s="3617"/>
      <c r="BO53" s="3617"/>
      <c r="BP53" s="3617"/>
      <c r="BQ53" s="3617"/>
      <c r="BR53" s="3818"/>
      <c r="BS53" s="440"/>
      <c r="BT53" s="440"/>
    </row>
    <row r="54" spans="1:72" s="438" customFormat="1" ht="41.25" customHeight="1" x14ac:dyDescent="0.2">
      <c r="A54" s="3854"/>
      <c r="B54" s="3858"/>
      <c r="C54" s="3859"/>
      <c r="D54" s="3502"/>
      <c r="E54" s="3502"/>
      <c r="F54" s="3502"/>
      <c r="G54" s="440"/>
      <c r="H54" s="2631"/>
      <c r="I54" s="2632"/>
      <c r="J54" s="3813"/>
      <c r="K54" s="3646"/>
      <c r="L54" s="3646"/>
      <c r="M54" s="3815"/>
      <c r="N54" s="3774"/>
      <c r="O54" s="2669"/>
      <c r="P54" s="3756"/>
      <c r="Q54" s="3648"/>
      <c r="R54" s="3807"/>
      <c r="S54" s="3810"/>
      <c r="T54" s="3665"/>
      <c r="U54" s="3697"/>
      <c r="V54" s="3224"/>
      <c r="W54" s="2511">
        <v>55000000</v>
      </c>
      <c r="X54" s="2664">
        <f>8394000+11192000+11192000+123333+11192000</f>
        <v>42093333</v>
      </c>
      <c r="Y54" s="2627">
        <f>8394000+5596000+5596000+8394000</f>
        <v>27980000</v>
      </c>
      <c r="Z54" s="2672">
        <v>92</v>
      </c>
      <c r="AA54" s="2666" t="s">
        <v>2422</v>
      </c>
      <c r="AB54" s="3767"/>
      <c r="AC54" s="3767"/>
      <c r="AD54" s="3767"/>
      <c r="AE54" s="3767"/>
      <c r="AF54" s="3767"/>
      <c r="AG54" s="3767"/>
      <c r="AH54" s="3767"/>
      <c r="AI54" s="3767"/>
      <c r="AJ54" s="3767"/>
      <c r="AK54" s="3767"/>
      <c r="AL54" s="3767"/>
      <c r="AM54" s="3767"/>
      <c r="AN54" s="3828"/>
      <c r="AO54" s="2670"/>
      <c r="AP54" s="3828"/>
      <c r="AQ54" s="2670"/>
      <c r="AR54" s="3828"/>
      <c r="AS54" s="2670"/>
      <c r="AT54" s="3828"/>
      <c r="AU54" s="2670"/>
      <c r="AV54" s="3828"/>
      <c r="AW54" s="2670"/>
      <c r="AX54" s="3828"/>
      <c r="AY54" s="2670"/>
      <c r="AZ54" s="3828"/>
      <c r="BA54" s="2670"/>
      <c r="BB54" s="3828"/>
      <c r="BC54" s="2670"/>
      <c r="BD54" s="3828"/>
      <c r="BE54" s="3712"/>
      <c r="BF54" s="3664"/>
      <c r="BG54" s="3767"/>
      <c r="BH54" s="3767"/>
      <c r="BI54" s="3822"/>
      <c r="BJ54" s="3822"/>
      <c r="BK54" s="3825"/>
      <c r="BL54" s="2671"/>
      <c r="BM54" s="2671"/>
      <c r="BN54" s="3617"/>
      <c r="BO54" s="3617"/>
      <c r="BP54" s="3617"/>
      <c r="BQ54" s="3617"/>
      <c r="BR54" s="3818"/>
      <c r="BS54" s="440"/>
      <c r="BT54" s="440"/>
    </row>
    <row r="55" spans="1:72" s="438" customFormat="1" ht="48" customHeight="1" x14ac:dyDescent="0.2">
      <c r="A55" s="3854"/>
      <c r="B55" s="3858"/>
      <c r="C55" s="3859"/>
      <c r="D55" s="3502"/>
      <c r="E55" s="3502"/>
      <c r="F55" s="3502"/>
      <c r="G55" s="440"/>
      <c r="H55" s="2631"/>
      <c r="I55" s="2632"/>
      <c r="J55" s="3813"/>
      <c r="K55" s="3646"/>
      <c r="L55" s="3646"/>
      <c r="M55" s="3815"/>
      <c r="N55" s="3774"/>
      <c r="O55" s="2669"/>
      <c r="P55" s="3756"/>
      <c r="Q55" s="3648"/>
      <c r="R55" s="3807"/>
      <c r="S55" s="3810"/>
      <c r="T55" s="3665"/>
      <c r="U55" s="3697"/>
      <c r="V55" s="3223" t="s">
        <v>2460</v>
      </c>
      <c r="W55" s="2511">
        <v>23500000</v>
      </c>
      <c r="X55" s="2664">
        <v>17117251</v>
      </c>
      <c r="Y55" s="2664">
        <v>17117251</v>
      </c>
      <c r="Z55" s="2672">
        <v>20</v>
      </c>
      <c r="AA55" s="2673" t="s">
        <v>2459</v>
      </c>
      <c r="AB55" s="3767"/>
      <c r="AC55" s="3767"/>
      <c r="AD55" s="3767"/>
      <c r="AE55" s="3767"/>
      <c r="AF55" s="3767"/>
      <c r="AG55" s="3767"/>
      <c r="AH55" s="3767"/>
      <c r="AI55" s="3767"/>
      <c r="AJ55" s="3767"/>
      <c r="AK55" s="3767"/>
      <c r="AL55" s="3767"/>
      <c r="AM55" s="3767"/>
      <c r="AN55" s="3828"/>
      <c r="AO55" s="2670"/>
      <c r="AP55" s="3828"/>
      <c r="AQ55" s="2670"/>
      <c r="AR55" s="3828"/>
      <c r="AS55" s="2670"/>
      <c r="AT55" s="3828"/>
      <c r="AU55" s="2670"/>
      <c r="AV55" s="3828"/>
      <c r="AW55" s="2670"/>
      <c r="AX55" s="3828"/>
      <c r="AY55" s="2670"/>
      <c r="AZ55" s="3828"/>
      <c r="BA55" s="2670"/>
      <c r="BB55" s="3828"/>
      <c r="BC55" s="2670"/>
      <c r="BD55" s="3828"/>
      <c r="BE55" s="3712"/>
      <c r="BF55" s="3664"/>
      <c r="BG55" s="3767"/>
      <c r="BH55" s="3767"/>
      <c r="BI55" s="3822"/>
      <c r="BJ55" s="3822"/>
      <c r="BK55" s="3825"/>
      <c r="BL55" s="2671"/>
      <c r="BM55" s="2671"/>
      <c r="BN55" s="3617"/>
      <c r="BO55" s="3617"/>
      <c r="BP55" s="3617"/>
      <c r="BQ55" s="3617"/>
      <c r="BR55" s="3818"/>
      <c r="BS55" s="3690"/>
      <c r="BT55" s="440"/>
    </row>
    <row r="56" spans="1:72" s="438" customFormat="1" ht="42" customHeight="1" x14ac:dyDescent="0.2">
      <c r="A56" s="3854"/>
      <c r="B56" s="3858"/>
      <c r="C56" s="3859"/>
      <c r="D56" s="3502"/>
      <c r="E56" s="3502"/>
      <c r="F56" s="3502"/>
      <c r="G56" s="440"/>
      <c r="H56" s="2631"/>
      <c r="I56" s="2632"/>
      <c r="J56" s="3813"/>
      <c r="K56" s="3646"/>
      <c r="L56" s="3646"/>
      <c r="M56" s="3815"/>
      <c r="N56" s="3774"/>
      <c r="O56" s="2669" t="s">
        <v>2461</v>
      </c>
      <c r="P56" s="3756"/>
      <c r="Q56" s="3648"/>
      <c r="R56" s="3807"/>
      <c r="S56" s="3810"/>
      <c r="T56" s="3665"/>
      <c r="U56" s="3697"/>
      <c r="V56" s="3224"/>
      <c r="W56" s="2511">
        <v>62872366</v>
      </c>
      <c r="X56" s="2664">
        <f>35743333+11192000+11192000</f>
        <v>58127333</v>
      </c>
      <c r="Y56" s="2627">
        <f>13500000+7461333+3800000+3166000+3585000+2798000+5596000+5596000</f>
        <v>45502333</v>
      </c>
      <c r="Z56" s="2674" t="s">
        <v>2457</v>
      </c>
      <c r="AA56" s="2666" t="s">
        <v>2408</v>
      </c>
      <c r="AB56" s="3767"/>
      <c r="AC56" s="3767"/>
      <c r="AD56" s="3767"/>
      <c r="AE56" s="3767"/>
      <c r="AF56" s="3767"/>
      <c r="AG56" s="3767"/>
      <c r="AH56" s="3767"/>
      <c r="AI56" s="3767"/>
      <c r="AJ56" s="3767"/>
      <c r="AK56" s="3767"/>
      <c r="AL56" s="3767"/>
      <c r="AM56" s="3767"/>
      <c r="AN56" s="3828"/>
      <c r="AO56" s="2670"/>
      <c r="AP56" s="3828"/>
      <c r="AQ56" s="2670"/>
      <c r="AR56" s="3828"/>
      <c r="AS56" s="2670"/>
      <c r="AT56" s="3828"/>
      <c r="AU56" s="2670"/>
      <c r="AV56" s="3828"/>
      <c r="AW56" s="2670"/>
      <c r="AX56" s="3828"/>
      <c r="AY56" s="2670"/>
      <c r="AZ56" s="3828"/>
      <c r="BA56" s="2670"/>
      <c r="BB56" s="3828"/>
      <c r="BC56" s="2670"/>
      <c r="BD56" s="3828"/>
      <c r="BE56" s="3712"/>
      <c r="BF56" s="3664"/>
      <c r="BG56" s="3767"/>
      <c r="BH56" s="3767"/>
      <c r="BI56" s="3822"/>
      <c r="BJ56" s="3822"/>
      <c r="BK56" s="3825"/>
      <c r="BL56" s="2671"/>
      <c r="BM56" s="2671"/>
      <c r="BN56" s="3617"/>
      <c r="BO56" s="3617"/>
      <c r="BP56" s="3617"/>
      <c r="BQ56" s="3617"/>
      <c r="BR56" s="3818"/>
      <c r="BS56" s="3690"/>
      <c r="BT56" s="440"/>
    </row>
    <row r="57" spans="1:72" s="438" customFormat="1" ht="48.75" customHeight="1" x14ac:dyDescent="0.2">
      <c r="A57" s="3854"/>
      <c r="B57" s="3858"/>
      <c r="C57" s="3859"/>
      <c r="D57" s="3502"/>
      <c r="E57" s="3502"/>
      <c r="F57" s="3502"/>
      <c r="G57" s="440"/>
      <c r="H57" s="2631"/>
      <c r="I57" s="2632"/>
      <c r="J57" s="3814"/>
      <c r="K57" s="3647"/>
      <c r="L57" s="3647"/>
      <c r="M57" s="3782"/>
      <c r="N57" s="3774"/>
      <c r="O57" s="2669"/>
      <c r="P57" s="3756"/>
      <c r="Q57" s="3648"/>
      <c r="R57" s="3808"/>
      <c r="S57" s="3810"/>
      <c r="T57" s="3665"/>
      <c r="U57" s="3697"/>
      <c r="V57" s="2645" t="s">
        <v>2462</v>
      </c>
      <c r="W57" s="2511">
        <v>3000000</v>
      </c>
      <c r="X57" s="2675">
        <v>0</v>
      </c>
      <c r="Y57" s="2512">
        <v>0</v>
      </c>
      <c r="Z57" s="2672">
        <v>20</v>
      </c>
      <c r="AA57" s="2673" t="s">
        <v>2459</v>
      </c>
      <c r="AB57" s="3767"/>
      <c r="AC57" s="3767"/>
      <c r="AD57" s="3767"/>
      <c r="AE57" s="3767"/>
      <c r="AF57" s="3767"/>
      <c r="AG57" s="3767"/>
      <c r="AH57" s="3767"/>
      <c r="AI57" s="3767"/>
      <c r="AJ57" s="3767"/>
      <c r="AK57" s="3767"/>
      <c r="AL57" s="3767"/>
      <c r="AM57" s="3767"/>
      <c r="AN57" s="3828"/>
      <c r="AO57" s="2670"/>
      <c r="AP57" s="3828"/>
      <c r="AQ57" s="2670"/>
      <c r="AR57" s="3828"/>
      <c r="AS57" s="2670"/>
      <c r="AT57" s="3828"/>
      <c r="AU57" s="2670"/>
      <c r="AV57" s="3828"/>
      <c r="AW57" s="2670"/>
      <c r="AX57" s="3828"/>
      <c r="AY57" s="2670"/>
      <c r="AZ57" s="3828"/>
      <c r="BA57" s="2670"/>
      <c r="BB57" s="3828"/>
      <c r="BC57" s="2670"/>
      <c r="BD57" s="3828"/>
      <c r="BE57" s="3712"/>
      <c r="BF57" s="3664"/>
      <c r="BG57" s="3767"/>
      <c r="BH57" s="3767"/>
      <c r="BI57" s="3822"/>
      <c r="BJ57" s="3822"/>
      <c r="BK57" s="3825"/>
      <c r="BL57" s="2676">
        <v>20</v>
      </c>
      <c r="BM57" s="2501" t="s">
        <v>2428</v>
      </c>
      <c r="BN57" s="3617"/>
      <c r="BO57" s="3617"/>
      <c r="BP57" s="3617"/>
      <c r="BQ57" s="3617"/>
      <c r="BR57" s="3818"/>
      <c r="BS57" s="3690"/>
      <c r="BT57" s="440"/>
    </row>
    <row r="58" spans="1:72" s="438" customFormat="1" ht="66" customHeight="1" x14ac:dyDescent="0.2">
      <c r="A58" s="3854"/>
      <c r="B58" s="3858"/>
      <c r="C58" s="3859"/>
      <c r="D58" s="3502"/>
      <c r="E58" s="3502"/>
      <c r="F58" s="3502"/>
      <c r="G58" s="440"/>
      <c r="H58" s="2631"/>
      <c r="I58" s="2632"/>
      <c r="J58" s="3812">
        <v>220</v>
      </c>
      <c r="K58" s="3674" t="s">
        <v>2463</v>
      </c>
      <c r="L58" s="3674" t="s">
        <v>2464</v>
      </c>
      <c r="M58" s="3781">
        <v>12</v>
      </c>
      <c r="N58" s="3791">
        <v>11</v>
      </c>
      <c r="O58" s="2669"/>
      <c r="P58" s="3756"/>
      <c r="Q58" s="3648"/>
      <c r="R58" s="3792">
        <f>SUM(W58:W64)/S51</f>
        <v>0.50123713891657751</v>
      </c>
      <c r="S58" s="3810"/>
      <c r="T58" s="3665"/>
      <c r="U58" s="3665"/>
      <c r="V58" s="3795" t="s">
        <v>2465</v>
      </c>
      <c r="W58" s="2511">
        <v>26290000</v>
      </c>
      <c r="X58" s="2675">
        <f>17404866+1000000</f>
        <v>18404866</v>
      </c>
      <c r="Y58" s="2512">
        <v>17404866</v>
      </c>
      <c r="Z58" s="2672">
        <v>20</v>
      </c>
      <c r="AA58" s="2673" t="s">
        <v>2459</v>
      </c>
      <c r="AB58" s="3767"/>
      <c r="AC58" s="3767"/>
      <c r="AD58" s="3767"/>
      <c r="AE58" s="3767"/>
      <c r="AF58" s="3767"/>
      <c r="AG58" s="3767"/>
      <c r="AH58" s="3767"/>
      <c r="AI58" s="3767"/>
      <c r="AJ58" s="3767"/>
      <c r="AK58" s="3767"/>
      <c r="AL58" s="3767"/>
      <c r="AM58" s="3767"/>
      <c r="AN58" s="3829"/>
      <c r="AO58" s="2677"/>
      <c r="AP58" s="3829"/>
      <c r="AQ58" s="2677"/>
      <c r="AR58" s="3829"/>
      <c r="AS58" s="2677"/>
      <c r="AT58" s="3829"/>
      <c r="AU58" s="2677"/>
      <c r="AV58" s="3829"/>
      <c r="AW58" s="2677"/>
      <c r="AX58" s="3829"/>
      <c r="AY58" s="2677"/>
      <c r="AZ58" s="3829"/>
      <c r="BA58" s="2677"/>
      <c r="BB58" s="3829"/>
      <c r="BC58" s="2677"/>
      <c r="BD58" s="3829"/>
      <c r="BE58" s="3712"/>
      <c r="BF58" s="3664"/>
      <c r="BG58" s="3767"/>
      <c r="BH58" s="3767"/>
      <c r="BI58" s="3822"/>
      <c r="BJ58" s="3822"/>
      <c r="BK58" s="3825"/>
      <c r="BL58" s="2676">
        <v>92</v>
      </c>
      <c r="BM58" s="2501" t="s">
        <v>2430</v>
      </c>
      <c r="BN58" s="3617"/>
      <c r="BO58" s="3617"/>
      <c r="BP58" s="3617"/>
      <c r="BQ58" s="3617"/>
      <c r="BR58" s="3819"/>
      <c r="BS58" s="3690"/>
      <c r="BT58" s="440"/>
    </row>
    <row r="59" spans="1:72" s="438" customFormat="1" ht="58.5" customHeight="1" x14ac:dyDescent="0.2">
      <c r="A59" s="3854"/>
      <c r="B59" s="3858"/>
      <c r="C59" s="3859"/>
      <c r="D59" s="3502"/>
      <c r="E59" s="3502"/>
      <c r="F59" s="3502"/>
      <c r="G59" s="440"/>
      <c r="H59" s="2631"/>
      <c r="I59" s="2632"/>
      <c r="J59" s="3813"/>
      <c r="K59" s="3646"/>
      <c r="L59" s="3646"/>
      <c r="M59" s="3815"/>
      <c r="N59" s="3791"/>
      <c r="O59" s="2669"/>
      <c r="P59" s="3756"/>
      <c r="Q59" s="3648"/>
      <c r="R59" s="3793"/>
      <c r="S59" s="3810"/>
      <c r="T59" s="3665"/>
      <c r="U59" s="3665"/>
      <c r="V59" s="3796"/>
      <c r="W59" s="2511">
        <v>130940708</v>
      </c>
      <c r="X59" s="2664">
        <f>8394000+8394000+8394000+7461333+14332000+11192000+4251542+11192000+18000000</f>
        <v>91610875</v>
      </c>
      <c r="Y59" s="2664">
        <f>8394000+8394000+8394000+7461333+7166000+2798000+3800000+5596000+9000000</f>
        <v>61003333</v>
      </c>
      <c r="Z59" s="2674" t="s">
        <v>2457</v>
      </c>
      <c r="AA59" s="2666" t="s">
        <v>2408</v>
      </c>
      <c r="AB59" s="3767"/>
      <c r="AC59" s="3767"/>
      <c r="AD59" s="3767"/>
      <c r="AE59" s="3767"/>
      <c r="AF59" s="3767"/>
      <c r="AG59" s="3767"/>
      <c r="AH59" s="3767"/>
      <c r="AI59" s="3767"/>
      <c r="AJ59" s="3767"/>
      <c r="AK59" s="3767"/>
      <c r="AL59" s="3767"/>
      <c r="AM59" s="3767"/>
      <c r="AN59" s="3829"/>
      <c r="AO59" s="2677"/>
      <c r="AP59" s="3829"/>
      <c r="AQ59" s="2677"/>
      <c r="AR59" s="3829"/>
      <c r="AS59" s="2677"/>
      <c r="AT59" s="3829"/>
      <c r="AU59" s="2677"/>
      <c r="AV59" s="3829"/>
      <c r="AW59" s="2677"/>
      <c r="AX59" s="3829"/>
      <c r="AY59" s="2677"/>
      <c r="AZ59" s="3829"/>
      <c r="BA59" s="2677"/>
      <c r="BB59" s="3829"/>
      <c r="BC59" s="2677"/>
      <c r="BD59" s="3829"/>
      <c r="BE59" s="3712"/>
      <c r="BF59" s="3664"/>
      <c r="BG59" s="3767"/>
      <c r="BH59" s="3767"/>
      <c r="BI59" s="3822"/>
      <c r="BJ59" s="3822"/>
      <c r="BK59" s="3825"/>
      <c r="BL59" s="2676"/>
      <c r="BN59" s="3617"/>
      <c r="BO59" s="3617"/>
      <c r="BP59" s="3617"/>
      <c r="BQ59" s="3617"/>
      <c r="BR59" s="3819"/>
      <c r="BS59" s="2640"/>
      <c r="BT59" s="440"/>
    </row>
    <row r="60" spans="1:72" s="438" customFormat="1" ht="55.5" customHeight="1" x14ac:dyDescent="0.2">
      <c r="A60" s="3854"/>
      <c r="B60" s="3858"/>
      <c r="C60" s="3859"/>
      <c r="D60" s="3502"/>
      <c r="E60" s="3502"/>
      <c r="F60" s="3502"/>
      <c r="G60" s="440"/>
      <c r="H60" s="2631"/>
      <c r="I60" s="2632"/>
      <c r="J60" s="3813"/>
      <c r="K60" s="3646"/>
      <c r="L60" s="3646"/>
      <c r="M60" s="3815"/>
      <c r="N60" s="3791"/>
      <c r="O60" s="2669" t="s">
        <v>2466</v>
      </c>
      <c r="P60" s="3756"/>
      <c r="Q60" s="3648"/>
      <c r="R60" s="3793"/>
      <c r="S60" s="3810"/>
      <c r="T60" s="3665"/>
      <c r="U60" s="3665"/>
      <c r="V60" s="2643" t="s">
        <v>2467</v>
      </c>
      <c r="W60" s="2511">
        <v>30812000</v>
      </c>
      <c r="X60" s="2675">
        <f>9554666+5097095+14332000</f>
        <v>28983761</v>
      </c>
      <c r="Y60" s="2512">
        <f>9504666+7166000+5097095</f>
        <v>21767761</v>
      </c>
      <c r="Z60" s="2674" t="s">
        <v>2457</v>
      </c>
      <c r="AA60" s="2666" t="s">
        <v>2408</v>
      </c>
      <c r="AB60" s="3767"/>
      <c r="AC60" s="3767"/>
      <c r="AD60" s="3767"/>
      <c r="AE60" s="3767"/>
      <c r="AF60" s="3767"/>
      <c r="AG60" s="3767"/>
      <c r="AH60" s="3767"/>
      <c r="AI60" s="3767"/>
      <c r="AJ60" s="3767"/>
      <c r="AK60" s="3767"/>
      <c r="AL60" s="3767"/>
      <c r="AM60" s="3767"/>
      <c r="AN60" s="3829"/>
      <c r="AO60" s="2677"/>
      <c r="AP60" s="3829"/>
      <c r="AQ60" s="2677"/>
      <c r="AR60" s="3829"/>
      <c r="AS60" s="2677"/>
      <c r="AT60" s="3829"/>
      <c r="AU60" s="2677"/>
      <c r="AV60" s="3829"/>
      <c r="AW60" s="2677"/>
      <c r="AX60" s="3829"/>
      <c r="AY60" s="2677"/>
      <c r="AZ60" s="3829"/>
      <c r="BA60" s="2677"/>
      <c r="BB60" s="3829"/>
      <c r="BC60" s="2677"/>
      <c r="BD60" s="3829"/>
      <c r="BE60" s="3712"/>
      <c r="BF60" s="3664"/>
      <c r="BG60" s="3767"/>
      <c r="BH60" s="3767"/>
      <c r="BI60" s="3822"/>
      <c r="BJ60" s="3822"/>
      <c r="BK60" s="3825"/>
      <c r="BL60" s="2676"/>
      <c r="BN60" s="3617"/>
      <c r="BO60" s="3617"/>
      <c r="BP60" s="3617"/>
      <c r="BQ60" s="3617"/>
      <c r="BR60" s="3819"/>
      <c r="BS60" s="2640"/>
      <c r="BT60" s="440"/>
    </row>
    <row r="61" spans="1:72" s="438" customFormat="1" ht="48.75" customHeight="1" x14ac:dyDescent="0.2">
      <c r="A61" s="3854"/>
      <c r="B61" s="3858"/>
      <c r="C61" s="3859"/>
      <c r="D61" s="3502"/>
      <c r="E61" s="3502"/>
      <c r="F61" s="3502"/>
      <c r="G61" s="440"/>
      <c r="H61" s="2631"/>
      <c r="I61" s="2632"/>
      <c r="J61" s="3813"/>
      <c r="K61" s="3646"/>
      <c r="L61" s="3646"/>
      <c r="M61" s="3815"/>
      <c r="N61" s="3791"/>
      <c r="O61" s="2678"/>
      <c r="P61" s="3756"/>
      <c r="Q61" s="3648"/>
      <c r="R61" s="3793"/>
      <c r="S61" s="3810"/>
      <c r="T61" s="3665"/>
      <c r="U61" s="3665"/>
      <c r="V61" s="3795" t="s">
        <v>2458</v>
      </c>
      <c r="W61" s="2511">
        <v>26290000</v>
      </c>
      <c r="X61" s="2664">
        <v>25524000</v>
      </c>
      <c r="Y61" s="2627">
        <f>14332000+11192000</f>
        <v>25524000</v>
      </c>
      <c r="Z61" s="2672">
        <v>20</v>
      </c>
      <c r="AA61" s="2673" t="s">
        <v>2459</v>
      </c>
      <c r="AB61" s="3767"/>
      <c r="AC61" s="3767"/>
      <c r="AD61" s="3767"/>
      <c r="AE61" s="3767"/>
      <c r="AF61" s="3767"/>
      <c r="AG61" s="3767"/>
      <c r="AH61" s="3767"/>
      <c r="AI61" s="3767"/>
      <c r="AJ61" s="3767"/>
      <c r="AK61" s="3767"/>
      <c r="AL61" s="3767"/>
      <c r="AM61" s="3767"/>
      <c r="AN61" s="3829"/>
      <c r="AO61" s="2677"/>
      <c r="AP61" s="3829"/>
      <c r="AQ61" s="2677"/>
      <c r="AR61" s="3829"/>
      <c r="AS61" s="2677"/>
      <c r="AT61" s="3829"/>
      <c r="AU61" s="2677"/>
      <c r="AV61" s="3829"/>
      <c r="AW61" s="2677"/>
      <c r="AX61" s="3829"/>
      <c r="AY61" s="2677"/>
      <c r="AZ61" s="3829"/>
      <c r="BA61" s="2677"/>
      <c r="BB61" s="3829"/>
      <c r="BC61" s="2677"/>
      <c r="BD61" s="3829"/>
      <c r="BE61" s="3712"/>
      <c r="BF61" s="3664"/>
      <c r="BG61" s="3767"/>
      <c r="BH61" s="3767"/>
      <c r="BI61" s="3822"/>
      <c r="BJ61" s="3822"/>
      <c r="BK61" s="3825"/>
      <c r="BL61" s="2671"/>
      <c r="BN61" s="3617"/>
      <c r="BO61" s="3617"/>
      <c r="BP61" s="3617"/>
      <c r="BQ61" s="3617"/>
      <c r="BR61" s="3819"/>
      <c r="BS61" s="440"/>
      <c r="BT61" s="440"/>
    </row>
    <row r="62" spans="1:72" s="438" customFormat="1" ht="42.75" x14ac:dyDescent="0.2">
      <c r="A62" s="3854"/>
      <c r="B62" s="3858"/>
      <c r="C62" s="3859"/>
      <c r="D62" s="3502"/>
      <c r="E62" s="3502"/>
      <c r="F62" s="3502"/>
      <c r="G62" s="440"/>
      <c r="H62" s="2631"/>
      <c r="I62" s="2632"/>
      <c r="J62" s="3813"/>
      <c r="K62" s="3646"/>
      <c r="L62" s="3646"/>
      <c r="M62" s="3815"/>
      <c r="N62" s="3791"/>
      <c r="O62" s="2669"/>
      <c r="P62" s="3756"/>
      <c r="Q62" s="3648"/>
      <c r="R62" s="3793"/>
      <c r="S62" s="3810"/>
      <c r="T62" s="3665"/>
      <c r="U62" s="3665"/>
      <c r="V62" s="3796"/>
      <c r="W62" s="2511">
        <v>36044666</v>
      </c>
      <c r="X62" s="2664">
        <f>5700000+7600000+11192000</f>
        <v>24492000</v>
      </c>
      <c r="Y62" s="2627">
        <f>5700000+3800000+5596000+1904000</f>
        <v>17000000</v>
      </c>
      <c r="Z62" s="2674" t="s">
        <v>2457</v>
      </c>
      <c r="AA62" s="2666" t="s">
        <v>2468</v>
      </c>
      <c r="AB62" s="3767"/>
      <c r="AC62" s="3767"/>
      <c r="AD62" s="3767"/>
      <c r="AE62" s="3767"/>
      <c r="AF62" s="3767"/>
      <c r="AG62" s="3767"/>
      <c r="AH62" s="3767"/>
      <c r="AI62" s="3767"/>
      <c r="AJ62" s="3767"/>
      <c r="AK62" s="3767"/>
      <c r="AL62" s="3767"/>
      <c r="AM62" s="3767"/>
      <c r="AN62" s="3829"/>
      <c r="AO62" s="2677"/>
      <c r="AP62" s="3829"/>
      <c r="AQ62" s="2677"/>
      <c r="AR62" s="3829"/>
      <c r="AS62" s="2677"/>
      <c r="AT62" s="3829"/>
      <c r="AU62" s="2677"/>
      <c r="AV62" s="3829"/>
      <c r="AW62" s="2677"/>
      <c r="AX62" s="3829"/>
      <c r="AY62" s="2677"/>
      <c r="AZ62" s="3829"/>
      <c r="BA62" s="2677"/>
      <c r="BB62" s="3829"/>
      <c r="BC62" s="2677"/>
      <c r="BD62" s="3829"/>
      <c r="BE62" s="3712"/>
      <c r="BF62" s="3664"/>
      <c r="BG62" s="3767"/>
      <c r="BH62" s="3767"/>
      <c r="BI62" s="3822"/>
      <c r="BJ62" s="3822"/>
      <c r="BK62" s="3825"/>
      <c r="BL62" s="2671"/>
      <c r="BM62" s="2671"/>
      <c r="BN62" s="3617"/>
      <c r="BO62" s="3617"/>
      <c r="BP62" s="3617"/>
      <c r="BQ62" s="3617"/>
      <c r="BR62" s="3819"/>
      <c r="BS62" s="440"/>
      <c r="BT62" s="440"/>
    </row>
    <row r="63" spans="1:72" s="438" customFormat="1" ht="38.25" customHeight="1" x14ac:dyDescent="0.2">
      <c r="A63" s="3854"/>
      <c r="B63" s="3858"/>
      <c r="C63" s="3859"/>
      <c r="D63" s="3502"/>
      <c r="E63" s="3502"/>
      <c r="F63" s="3502"/>
      <c r="G63" s="440"/>
      <c r="H63" s="2631"/>
      <c r="I63" s="2632"/>
      <c r="J63" s="3813"/>
      <c r="K63" s="3646"/>
      <c r="L63" s="3646"/>
      <c r="M63" s="3815"/>
      <c r="N63" s="3791"/>
      <c r="O63" s="2678"/>
      <c r="P63" s="3756"/>
      <c r="Q63" s="3648"/>
      <c r="R63" s="3793"/>
      <c r="S63" s="3810"/>
      <c r="T63" s="3665"/>
      <c r="U63" s="3665"/>
      <c r="V63" s="3795" t="s">
        <v>2460</v>
      </c>
      <c r="W63" s="2511">
        <v>26290000</v>
      </c>
      <c r="X63" s="2664">
        <f>1791500+19039200+2348458+2120000</f>
        <v>25299158</v>
      </c>
      <c r="Y63" s="2664">
        <f>1791500+19039200+1900000+2120000</f>
        <v>24850700</v>
      </c>
      <c r="Z63" s="2672">
        <v>20</v>
      </c>
      <c r="AA63" s="2673" t="s">
        <v>2469</v>
      </c>
      <c r="AB63" s="3767"/>
      <c r="AC63" s="3767"/>
      <c r="AD63" s="3767"/>
      <c r="AE63" s="3767"/>
      <c r="AF63" s="3767"/>
      <c r="AG63" s="3767"/>
      <c r="AH63" s="3767"/>
      <c r="AI63" s="3767"/>
      <c r="AJ63" s="3767"/>
      <c r="AK63" s="3767"/>
      <c r="AL63" s="3767"/>
      <c r="AM63" s="3767"/>
      <c r="AN63" s="3829"/>
      <c r="AO63" s="2677"/>
      <c r="AP63" s="3829"/>
      <c r="AQ63" s="2677"/>
      <c r="AR63" s="3829"/>
      <c r="AS63" s="2677"/>
      <c r="AT63" s="3829"/>
      <c r="AU63" s="2677"/>
      <c r="AV63" s="3829"/>
      <c r="AW63" s="2677"/>
      <c r="AX63" s="3829"/>
      <c r="AY63" s="2677"/>
      <c r="AZ63" s="3829"/>
      <c r="BA63" s="2677"/>
      <c r="BB63" s="3829"/>
      <c r="BC63" s="2677"/>
      <c r="BD63" s="3829"/>
      <c r="BE63" s="3712"/>
      <c r="BF63" s="3664"/>
      <c r="BG63" s="3767"/>
      <c r="BH63" s="3767"/>
      <c r="BI63" s="3822"/>
      <c r="BJ63" s="3822"/>
      <c r="BK63" s="3825"/>
      <c r="BL63" s="2671"/>
      <c r="BM63" s="2671"/>
      <c r="BN63" s="3617"/>
      <c r="BO63" s="3617"/>
      <c r="BP63" s="3617"/>
      <c r="BQ63" s="3617"/>
      <c r="BR63" s="3819"/>
      <c r="BS63" s="440"/>
      <c r="BT63" s="440"/>
    </row>
    <row r="64" spans="1:72" s="438" customFormat="1" ht="30" x14ac:dyDescent="0.2">
      <c r="A64" s="3854"/>
      <c r="B64" s="3858"/>
      <c r="C64" s="3859"/>
      <c r="D64" s="3502"/>
      <c r="E64" s="3502"/>
      <c r="F64" s="3502"/>
      <c r="G64" s="440"/>
      <c r="H64" s="2631"/>
      <c r="I64" s="2632"/>
      <c r="J64" s="3814"/>
      <c r="K64" s="3647"/>
      <c r="L64" s="3647"/>
      <c r="M64" s="3782"/>
      <c r="N64" s="3791"/>
      <c r="O64" s="2669"/>
      <c r="P64" s="3756"/>
      <c r="Q64" s="3648"/>
      <c r="R64" s="3794"/>
      <c r="S64" s="3810"/>
      <c r="T64" s="3665"/>
      <c r="U64" s="3665"/>
      <c r="V64" s="3796"/>
      <c r="W64" s="2511">
        <v>83641348</v>
      </c>
      <c r="X64" s="2664">
        <v>81083033</v>
      </c>
      <c r="Y64" s="329">
        <f>8394000+3800000+5700000+9608000+9755000+3100000</f>
        <v>40357000</v>
      </c>
      <c r="Z64" s="2674" t="s">
        <v>2457</v>
      </c>
      <c r="AA64" s="2666" t="s">
        <v>2408</v>
      </c>
      <c r="AB64" s="3767"/>
      <c r="AC64" s="3767"/>
      <c r="AD64" s="3767"/>
      <c r="AE64" s="3767"/>
      <c r="AF64" s="3767"/>
      <c r="AG64" s="3767"/>
      <c r="AH64" s="3767"/>
      <c r="AI64" s="3767"/>
      <c r="AJ64" s="3767"/>
      <c r="AK64" s="3767"/>
      <c r="AL64" s="3767"/>
      <c r="AM64" s="3767"/>
      <c r="AN64" s="3829"/>
      <c r="AO64" s="2677"/>
      <c r="AP64" s="3829"/>
      <c r="AQ64" s="2677"/>
      <c r="AR64" s="3829"/>
      <c r="AS64" s="2677"/>
      <c r="AT64" s="3829"/>
      <c r="AU64" s="2677"/>
      <c r="AV64" s="3829"/>
      <c r="AW64" s="2677"/>
      <c r="AX64" s="3829"/>
      <c r="AY64" s="2677"/>
      <c r="AZ64" s="3829"/>
      <c r="BA64" s="2677"/>
      <c r="BB64" s="3829"/>
      <c r="BC64" s="2677"/>
      <c r="BD64" s="3829"/>
      <c r="BE64" s="3712"/>
      <c r="BF64" s="3664"/>
      <c r="BG64" s="3767"/>
      <c r="BH64" s="3767"/>
      <c r="BI64" s="3822"/>
      <c r="BJ64" s="3822"/>
      <c r="BK64" s="3825"/>
      <c r="BL64" s="2671"/>
      <c r="BM64" s="2671"/>
      <c r="BN64" s="3617"/>
      <c r="BO64" s="3617"/>
      <c r="BP64" s="3617"/>
      <c r="BQ64" s="3617"/>
      <c r="BR64" s="3819"/>
      <c r="BS64" s="440"/>
      <c r="BT64" s="440"/>
    </row>
    <row r="65" spans="1:74" s="438" customFormat="1" ht="82.5" customHeight="1" x14ac:dyDescent="0.2">
      <c r="A65" s="3854"/>
      <c r="B65" s="3858"/>
      <c r="C65" s="3859"/>
      <c r="D65" s="3502"/>
      <c r="E65" s="3502"/>
      <c r="F65" s="3502"/>
      <c r="G65" s="440"/>
      <c r="H65" s="2650"/>
      <c r="I65" s="2651"/>
      <c r="J65" s="2679">
        <v>222</v>
      </c>
      <c r="K65" s="2680" t="s">
        <v>2470</v>
      </c>
      <c r="L65" s="2680" t="s">
        <v>2471</v>
      </c>
      <c r="M65" s="2681">
        <v>1</v>
      </c>
      <c r="N65" s="2682">
        <v>0.7</v>
      </c>
      <c r="O65" s="2683"/>
      <c r="P65" s="3756"/>
      <c r="Q65" s="3648"/>
      <c r="R65" s="2637">
        <f>SUM(W65)/S51</f>
        <v>1.3911324048285944E-2</v>
      </c>
      <c r="S65" s="3811"/>
      <c r="T65" s="3665"/>
      <c r="U65" s="3665"/>
      <c r="V65" s="2638" t="s">
        <v>2472</v>
      </c>
      <c r="W65" s="2627">
        <v>10000000</v>
      </c>
      <c r="X65" s="2675">
        <f>1791500+1805666+5208500</f>
        <v>8805666</v>
      </c>
      <c r="Y65" s="2675">
        <f>1791500+1805666+3585000</f>
        <v>7182166</v>
      </c>
      <c r="Z65" s="2672">
        <v>20</v>
      </c>
      <c r="AA65" s="2673" t="s">
        <v>2459</v>
      </c>
      <c r="AB65" s="3767"/>
      <c r="AC65" s="3767"/>
      <c r="AD65" s="3767"/>
      <c r="AE65" s="3767"/>
      <c r="AF65" s="3767"/>
      <c r="AG65" s="3767"/>
      <c r="AH65" s="3767"/>
      <c r="AI65" s="3767"/>
      <c r="AJ65" s="3767"/>
      <c r="AK65" s="3767"/>
      <c r="AL65" s="3767"/>
      <c r="AM65" s="3767"/>
      <c r="AN65" s="3830"/>
      <c r="AO65" s="2684"/>
      <c r="AP65" s="3830"/>
      <c r="AQ65" s="2684"/>
      <c r="AR65" s="3830"/>
      <c r="AS65" s="2684"/>
      <c r="AT65" s="3830"/>
      <c r="AU65" s="2684"/>
      <c r="AV65" s="3830"/>
      <c r="AW65" s="2684"/>
      <c r="AX65" s="3830"/>
      <c r="AY65" s="2684"/>
      <c r="AZ65" s="3830"/>
      <c r="BA65" s="2684"/>
      <c r="BB65" s="3830"/>
      <c r="BC65" s="2684"/>
      <c r="BD65" s="3830"/>
      <c r="BE65" s="3713"/>
      <c r="BF65" s="3664"/>
      <c r="BG65" s="3767"/>
      <c r="BH65" s="3767"/>
      <c r="BI65" s="3823"/>
      <c r="BJ65" s="3823"/>
      <c r="BK65" s="3826"/>
      <c r="BL65" s="2685"/>
      <c r="BM65" s="2685"/>
      <c r="BN65" s="3618"/>
      <c r="BO65" s="3618"/>
      <c r="BP65" s="3618"/>
      <c r="BQ65" s="3618"/>
      <c r="BR65" s="3820"/>
      <c r="BS65" s="440"/>
      <c r="BT65" s="440"/>
    </row>
    <row r="66" spans="1:74" s="440" customFormat="1" ht="15" customHeight="1" x14ac:dyDescent="0.2">
      <c r="A66" s="3854"/>
      <c r="B66" s="3858"/>
      <c r="C66" s="3859"/>
      <c r="D66" s="930">
        <v>24</v>
      </c>
      <c r="E66" s="931" t="s">
        <v>2473</v>
      </c>
      <c r="F66" s="931"/>
      <c r="G66" s="2608"/>
      <c r="H66" s="2608"/>
      <c r="I66" s="2608"/>
      <c r="J66" s="2686"/>
      <c r="K66" s="2687"/>
      <c r="L66" s="2688"/>
      <c r="M66" s="2689"/>
      <c r="N66" s="2689"/>
      <c r="O66" s="2612"/>
      <c r="P66" s="2609"/>
      <c r="Q66" s="2611"/>
      <c r="R66" s="2690"/>
      <c r="S66" s="2691"/>
      <c r="T66" s="2688"/>
      <c r="U66" s="2687"/>
      <c r="V66" s="2687"/>
      <c r="W66" s="2692"/>
      <c r="X66" s="2692"/>
      <c r="Y66" s="2693"/>
      <c r="Z66" s="2694"/>
      <c r="AA66" s="2694"/>
      <c r="AB66" s="2615"/>
      <c r="AC66" s="2615"/>
      <c r="AD66" s="2615"/>
      <c r="AE66" s="2615"/>
      <c r="AF66" s="2615"/>
      <c r="AG66" s="2615"/>
      <c r="AH66" s="2615"/>
      <c r="AI66" s="2615"/>
      <c r="AJ66" s="2615"/>
      <c r="AK66" s="2615"/>
      <c r="AL66" s="2615"/>
      <c r="AM66" s="2615"/>
      <c r="AN66" s="2615"/>
      <c r="AO66" s="2615"/>
      <c r="AP66" s="2615"/>
      <c r="AQ66" s="2615"/>
      <c r="AR66" s="2615"/>
      <c r="AS66" s="2615"/>
      <c r="AT66" s="2615"/>
      <c r="AU66" s="2615"/>
      <c r="AV66" s="2615"/>
      <c r="AW66" s="2615"/>
      <c r="AX66" s="2615"/>
      <c r="AY66" s="2615"/>
      <c r="AZ66" s="2615"/>
      <c r="BA66" s="2615"/>
      <c r="BB66" s="2617"/>
      <c r="BC66" s="2617"/>
      <c r="BD66" s="2611"/>
      <c r="BE66" s="2611"/>
      <c r="BF66" s="2611"/>
      <c r="BG66" s="2611"/>
      <c r="BH66" s="2611"/>
      <c r="BI66" s="2695"/>
      <c r="BJ66" s="2695"/>
      <c r="BK66" s="2611"/>
      <c r="BL66" s="2611"/>
      <c r="BM66" s="2611"/>
      <c r="BN66" s="2611"/>
      <c r="BO66" s="2611"/>
      <c r="BP66" s="2611"/>
      <c r="BQ66" s="2611"/>
      <c r="BR66" s="2618"/>
    </row>
    <row r="67" spans="1:74" s="440" customFormat="1" ht="15" customHeight="1" x14ac:dyDescent="0.2">
      <c r="A67" s="3854"/>
      <c r="B67" s="3858"/>
      <c r="C67" s="3859"/>
      <c r="D67" s="3739"/>
      <c r="E67" s="3739"/>
      <c r="F67" s="3739"/>
      <c r="G67" s="2619">
        <v>78</v>
      </c>
      <c r="H67" s="1109" t="s">
        <v>2474</v>
      </c>
      <c r="I67" s="1109"/>
      <c r="J67" s="2620"/>
      <c r="K67" s="2363"/>
      <c r="L67" s="2367"/>
      <c r="M67" s="1209"/>
      <c r="N67" s="1209"/>
      <c r="O67" s="1215"/>
      <c r="P67" s="1216"/>
      <c r="Q67" s="1111"/>
      <c r="R67" s="2621"/>
      <c r="S67" s="1234"/>
      <c r="T67" s="2367"/>
      <c r="U67" s="2363"/>
      <c r="V67" s="2363"/>
      <c r="W67" s="2660"/>
      <c r="X67" s="2660"/>
      <c r="Y67" s="2661"/>
      <c r="Z67" s="2696"/>
      <c r="AA67" s="2696"/>
      <c r="AB67" s="1114"/>
      <c r="AC67" s="1114"/>
      <c r="AD67" s="1114"/>
      <c r="AE67" s="1114"/>
      <c r="AF67" s="1114"/>
      <c r="AG67" s="1114"/>
      <c r="AH67" s="1114"/>
      <c r="AI67" s="1114"/>
      <c r="AJ67" s="1114"/>
      <c r="AK67" s="1114"/>
      <c r="AL67" s="1114"/>
      <c r="AM67" s="1114"/>
      <c r="AN67" s="1114"/>
      <c r="AO67" s="1114"/>
      <c r="AP67" s="1114"/>
      <c r="AQ67" s="1114"/>
      <c r="AR67" s="1114"/>
      <c r="AS67" s="1114"/>
      <c r="AT67" s="1114"/>
      <c r="AU67" s="1114"/>
      <c r="AV67" s="1114"/>
      <c r="AW67" s="1114"/>
      <c r="AX67" s="1114"/>
      <c r="AY67" s="1114"/>
      <c r="AZ67" s="1114"/>
      <c r="BA67" s="1114"/>
      <c r="BB67" s="1114"/>
      <c r="BC67" s="1114"/>
      <c r="BD67" s="1114"/>
      <c r="BE67" s="1114"/>
      <c r="BF67" s="1114"/>
      <c r="BG67" s="1114"/>
      <c r="BH67" s="1114"/>
      <c r="BI67" s="2395"/>
      <c r="BJ67" s="2395"/>
      <c r="BK67" s="1114"/>
      <c r="BL67" s="1114"/>
      <c r="BM67" s="1114"/>
      <c r="BN67" s="1114"/>
      <c r="BO67" s="1114"/>
      <c r="BP67" s="1114"/>
      <c r="BQ67" s="1114"/>
      <c r="BR67" s="2697"/>
    </row>
    <row r="68" spans="1:74" s="2702" customFormat="1" ht="67.5" customHeight="1" x14ac:dyDescent="0.2">
      <c r="A68" s="3854"/>
      <c r="B68" s="3858"/>
      <c r="C68" s="3859"/>
      <c r="D68" s="3739"/>
      <c r="E68" s="3739"/>
      <c r="F68" s="3739"/>
      <c r="G68" s="3797"/>
      <c r="H68" s="3800"/>
      <c r="I68" s="3803"/>
      <c r="J68" s="3757">
        <v>226</v>
      </c>
      <c r="K68" s="3719" t="s">
        <v>2475</v>
      </c>
      <c r="L68" s="3720" t="s">
        <v>2476</v>
      </c>
      <c r="M68" s="3776">
        <v>12</v>
      </c>
      <c r="N68" s="3774">
        <v>12</v>
      </c>
      <c r="O68" s="2506"/>
      <c r="P68" s="3790" t="s">
        <v>2477</v>
      </c>
      <c r="Q68" s="3674" t="s">
        <v>2478</v>
      </c>
      <c r="R68" s="3775">
        <f>SUM(W69:W80)/S68</f>
        <v>0.56367432150313157</v>
      </c>
      <c r="S68" s="3788">
        <f>SUM(W69:W97)</f>
        <v>479000000</v>
      </c>
      <c r="T68" s="3789" t="s">
        <v>2479</v>
      </c>
      <c r="U68" s="3789" t="s">
        <v>2480</v>
      </c>
      <c r="V68" s="2698" t="s">
        <v>2481</v>
      </c>
      <c r="W68" s="2699">
        <f>17000000+10000000-27000000</f>
        <v>0</v>
      </c>
      <c r="X68" s="2699">
        <f t="shared" ref="X68:Y68" si="0">17000000+10000000-27000000</f>
        <v>0</v>
      </c>
      <c r="Y68" s="2699">
        <f t="shared" si="0"/>
        <v>0</v>
      </c>
      <c r="Z68" s="2700">
        <v>20</v>
      </c>
      <c r="AA68" s="2701" t="s">
        <v>180</v>
      </c>
      <c r="AB68" s="3663">
        <v>1199</v>
      </c>
      <c r="AC68" s="3663" t="s">
        <v>2482</v>
      </c>
      <c r="AD68" s="3663">
        <v>1151</v>
      </c>
      <c r="AE68" s="3787">
        <v>577</v>
      </c>
      <c r="AF68" s="3663">
        <v>715</v>
      </c>
      <c r="AG68" s="3663" t="s">
        <v>2483</v>
      </c>
      <c r="AH68" s="3663">
        <v>527</v>
      </c>
      <c r="AI68" s="3663" t="s">
        <v>2484</v>
      </c>
      <c r="AJ68" s="3663">
        <v>301</v>
      </c>
      <c r="AK68" s="3663" t="s">
        <v>2485</v>
      </c>
      <c r="AL68" s="3663">
        <v>807</v>
      </c>
      <c r="AM68" s="3663" t="s">
        <v>2486</v>
      </c>
      <c r="AN68" s="3663"/>
      <c r="AO68" s="3663"/>
      <c r="AP68" s="3663"/>
      <c r="AQ68" s="3663"/>
      <c r="AR68" s="3663"/>
      <c r="AS68" s="3663"/>
      <c r="AT68" s="3663"/>
      <c r="AU68" s="3663"/>
      <c r="AV68" s="3663"/>
      <c r="AW68" s="3663"/>
      <c r="AX68" s="3663"/>
      <c r="AY68" s="3663"/>
      <c r="AZ68" s="3663">
        <v>2350</v>
      </c>
      <c r="BA68" s="3787">
        <v>1175</v>
      </c>
      <c r="BB68" s="3786"/>
      <c r="BC68" s="3786"/>
      <c r="BD68" s="3786"/>
      <c r="BE68" s="3786"/>
      <c r="BF68" s="3664">
        <v>2350</v>
      </c>
      <c r="BG68" s="3663">
        <v>1175</v>
      </c>
      <c r="BH68" s="3663">
        <v>19</v>
      </c>
      <c r="BI68" s="3749">
        <f>SUM(X68:X97)</f>
        <v>286685318</v>
      </c>
      <c r="BJ68" s="3749">
        <f>SUM(Y68:Y97)</f>
        <v>234592931</v>
      </c>
      <c r="BK68" s="3750">
        <f>BJ68/BI68</f>
        <v>0.81829419321710783</v>
      </c>
      <c r="BL68" s="3784" t="s">
        <v>2487</v>
      </c>
      <c r="BM68" s="3785" t="s">
        <v>2488</v>
      </c>
      <c r="BN68" s="3783">
        <v>43475</v>
      </c>
      <c r="BO68" s="3748">
        <v>43570</v>
      </c>
      <c r="BP68" s="3783">
        <v>43819</v>
      </c>
      <c r="BQ68" s="3748">
        <v>43819</v>
      </c>
      <c r="BR68" s="3622" t="s">
        <v>2456</v>
      </c>
    </row>
    <row r="69" spans="1:74" s="438" customFormat="1" ht="77.25" customHeight="1" x14ac:dyDescent="0.2">
      <c r="A69" s="3854"/>
      <c r="B69" s="3858"/>
      <c r="C69" s="3859"/>
      <c r="D69" s="3739"/>
      <c r="E69" s="3739"/>
      <c r="F69" s="3739"/>
      <c r="G69" s="3798"/>
      <c r="H69" s="3801"/>
      <c r="I69" s="3804"/>
      <c r="J69" s="3757"/>
      <c r="K69" s="3719"/>
      <c r="L69" s="3720"/>
      <c r="M69" s="3776"/>
      <c r="N69" s="3774"/>
      <c r="O69" s="2644"/>
      <c r="P69" s="3790"/>
      <c r="Q69" s="3646"/>
      <c r="R69" s="3775"/>
      <c r="S69" s="3788"/>
      <c r="T69" s="3789"/>
      <c r="U69" s="3789"/>
      <c r="V69" s="2645" t="s">
        <v>2489</v>
      </c>
      <c r="W69" s="2627">
        <v>6500000</v>
      </c>
      <c r="X69" s="2512">
        <f>3500000+3000000</f>
        <v>6500000</v>
      </c>
      <c r="Y69" s="2511">
        <f>3500000+3000000</f>
        <v>6500000</v>
      </c>
      <c r="Z69" s="2703">
        <v>20</v>
      </c>
      <c r="AA69" s="2704" t="s">
        <v>180</v>
      </c>
      <c r="AB69" s="3663"/>
      <c r="AC69" s="3663"/>
      <c r="AD69" s="3663"/>
      <c r="AE69" s="3787"/>
      <c r="AF69" s="3663"/>
      <c r="AG69" s="3663"/>
      <c r="AH69" s="3663"/>
      <c r="AI69" s="3663"/>
      <c r="AJ69" s="3663"/>
      <c r="AK69" s="3663"/>
      <c r="AL69" s="3663"/>
      <c r="AM69" s="3663"/>
      <c r="AN69" s="3663"/>
      <c r="AO69" s="3663"/>
      <c r="AP69" s="3663"/>
      <c r="AQ69" s="3663"/>
      <c r="AR69" s="3663"/>
      <c r="AS69" s="3663"/>
      <c r="AT69" s="3663"/>
      <c r="AU69" s="3663"/>
      <c r="AV69" s="3663"/>
      <c r="AW69" s="3663"/>
      <c r="AX69" s="3663"/>
      <c r="AY69" s="3663"/>
      <c r="AZ69" s="3663"/>
      <c r="BA69" s="3787"/>
      <c r="BB69" s="3786"/>
      <c r="BC69" s="3786"/>
      <c r="BD69" s="3786"/>
      <c r="BE69" s="3786"/>
      <c r="BF69" s="3664"/>
      <c r="BG69" s="3663"/>
      <c r="BH69" s="3663"/>
      <c r="BI69" s="3749"/>
      <c r="BJ69" s="3749"/>
      <c r="BK69" s="3750"/>
      <c r="BL69" s="3774"/>
      <c r="BM69" s="3785"/>
      <c r="BN69" s="3783"/>
      <c r="BO69" s="3748"/>
      <c r="BP69" s="3783"/>
      <c r="BQ69" s="3748"/>
      <c r="BR69" s="3622"/>
      <c r="BS69" s="440"/>
      <c r="BT69" s="440"/>
    </row>
    <row r="70" spans="1:74" s="438" customFormat="1" ht="52.5" customHeight="1" x14ac:dyDescent="0.2">
      <c r="A70" s="3854"/>
      <c r="B70" s="3858"/>
      <c r="C70" s="3859"/>
      <c r="D70" s="3739"/>
      <c r="E70" s="3739"/>
      <c r="F70" s="3739"/>
      <c r="G70" s="3798"/>
      <c r="H70" s="3801"/>
      <c r="I70" s="3804"/>
      <c r="J70" s="3757"/>
      <c r="K70" s="3719"/>
      <c r="L70" s="3720"/>
      <c r="M70" s="3776"/>
      <c r="N70" s="3774"/>
      <c r="O70" s="2644"/>
      <c r="P70" s="3790"/>
      <c r="Q70" s="3646"/>
      <c r="R70" s="3775"/>
      <c r="S70" s="3788"/>
      <c r="T70" s="3789"/>
      <c r="U70" s="3789"/>
      <c r="V70" s="2645" t="s">
        <v>2490</v>
      </c>
      <c r="W70" s="2627">
        <v>5000000</v>
      </c>
      <c r="X70" s="2512">
        <f>1517000+3483000</f>
        <v>5000000</v>
      </c>
      <c r="Y70" s="2511">
        <f>1517000+3483000</f>
        <v>5000000</v>
      </c>
      <c r="Z70" s="2628">
        <v>20</v>
      </c>
      <c r="AA70" s="2705" t="s">
        <v>124</v>
      </c>
      <c r="AB70" s="3663"/>
      <c r="AC70" s="3663"/>
      <c r="AD70" s="3663"/>
      <c r="AE70" s="3787"/>
      <c r="AF70" s="3663"/>
      <c r="AG70" s="3663"/>
      <c r="AH70" s="3663"/>
      <c r="AI70" s="3663"/>
      <c r="AJ70" s="3663"/>
      <c r="AK70" s="3663"/>
      <c r="AL70" s="3663"/>
      <c r="AM70" s="3663"/>
      <c r="AN70" s="3663"/>
      <c r="AO70" s="3663"/>
      <c r="AP70" s="3663"/>
      <c r="AQ70" s="3663"/>
      <c r="AR70" s="3663"/>
      <c r="AS70" s="3663"/>
      <c r="AT70" s="3663"/>
      <c r="AU70" s="3663"/>
      <c r="AV70" s="3663"/>
      <c r="AW70" s="3663"/>
      <c r="AX70" s="3663"/>
      <c r="AY70" s="3663"/>
      <c r="AZ70" s="3663"/>
      <c r="BA70" s="3787"/>
      <c r="BB70" s="3786"/>
      <c r="BC70" s="3786"/>
      <c r="BD70" s="3786"/>
      <c r="BE70" s="3786"/>
      <c r="BF70" s="3664"/>
      <c r="BG70" s="3663"/>
      <c r="BH70" s="3663"/>
      <c r="BI70" s="3749"/>
      <c r="BJ70" s="3749"/>
      <c r="BK70" s="3750"/>
      <c r="BL70" s="3774"/>
      <c r="BM70" s="3785"/>
      <c r="BN70" s="3783"/>
      <c r="BO70" s="3748"/>
      <c r="BP70" s="3783"/>
      <c r="BQ70" s="3748"/>
      <c r="BR70" s="3622"/>
      <c r="BS70" s="440"/>
      <c r="BT70" s="440"/>
    </row>
    <row r="71" spans="1:74" s="438" customFormat="1" ht="30" customHeight="1" x14ac:dyDescent="0.2">
      <c r="A71" s="3854"/>
      <c r="B71" s="3858"/>
      <c r="C71" s="3859"/>
      <c r="D71" s="3739"/>
      <c r="E71" s="3739"/>
      <c r="F71" s="3739"/>
      <c r="G71" s="3798"/>
      <c r="H71" s="3801"/>
      <c r="I71" s="3804"/>
      <c r="J71" s="3757"/>
      <c r="K71" s="3719"/>
      <c r="L71" s="3720"/>
      <c r="M71" s="3776"/>
      <c r="N71" s="3774"/>
      <c r="O71" s="2644"/>
      <c r="P71" s="3790"/>
      <c r="Q71" s="3646"/>
      <c r="R71" s="3775"/>
      <c r="S71" s="3788"/>
      <c r="T71" s="3789"/>
      <c r="U71" s="3789"/>
      <c r="V71" s="3297" t="s">
        <v>2491</v>
      </c>
      <c r="W71" s="2627">
        <v>50000000</v>
      </c>
      <c r="X71" s="2512">
        <f>14400000+2500000+500000+2000000+7490000+6490000+13998000+396000+2226000</f>
        <v>50000000</v>
      </c>
      <c r="Y71" s="2511">
        <f>33380000+5249000+396000+2226000</f>
        <v>41251000</v>
      </c>
      <c r="Z71" s="2628">
        <v>20</v>
      </c>
      <c r="AA71" s="2705" t="s">
        <v>124</v>
      </c>
      <c r="AB71" s="3663"/>
      <c r="AC71" s="3663"/>
      <c r="AD71" s="3663"/>
      <c r="AE71" s="3787"/>
      <c r="AF71" s="3663"/>
      <c r="AG71" s="3663"/>
      <c r="AH71" s="3663"/>
      <c r="AI71" s="3663"/>
      <c r="AJ71" s="3663"/>
      <c r="AK71" s="3663"/>
      <c r="AL71" s="3663"/>
      <c r="AM71" s="3663"/>
      <c r="AN71" s="3663"/>
      <c r="AO71" s="3663"/>
      <c r="AP71" s="3663"/>
      <c r="AQ71" s="3663"/>
      <c r="AR71" s="3663"/>
      <c r="AS71" s="3663"/>
      <c r="AT71" s="3663"/>
      <c r="AU71" s="3663"/>
      <c r="AV71" s="3663"/>
      <c r="AW71" s="3663"/>
      <c r="AX71" s="3663"/>
      <c r="AY71" s="3663"/>
      <c r="AZ71" s="3663"/>
      <c r="BA71" s="3787"/>
      <c r="BB71" s="3786"/>
      <c r="BC71" s="3786"/>
      <c r="BD71" s="3786"/>
      <c r="BE71" s="3786"/>
      <c r="BF71" s="3664"/>
      <c r="BG71" s="3663"/>
      <c r="BH71" s="3663"/>
      <c r="BI71" s="3749"/>
      <c r="BJ71" s="3749"/>
      <c r="BK71" s="3750"/>
      <c r="BL71" s="3774"/>
      <c r="BM71" s="3785"/>
      <c r="BN71" s="3783"/>
      <c r="BO71" s="3748"/>
      <c r="BP71" s="3783"/>
      <c r="BQ71" s="3748"/>
      <c r="BR71" s="3622"/>
      <c r="BS71" s="440"/>
      <c r="BT71" s="440"/>
      <c r="BU71" s="2706"/>
      <c r="BV71" s="2606"/>
    </row>
    <row r="72" spans="1:74" s="438" customFormat="1" ht="33" customHeight="1" x14ac:dyDescent="0.2">
      <c r="A72" s="3854"/>
      <c r="B72" s="3858"/>
      <c r="C72" s="3859"/>
      <c r="D72" s="3739"/>
      <c r="E72" s="3739"/>
      <c r="F72" s="3739"/>
      <c r="G72" s="3798"/>
      <c r="H72" s="3801"/>
      <c r="I72" s="3804"/>
      <c r="J72" s="3757"/>
      <c r="K72" s="3719"/>
      <c r="L72" s="3720"/>
      <c r="M72" s="3776"/>
      <c r="N72" s="3774"/>
      <c r="O72" s="2644"/>
      <c r="P72" s="3790"/>
      <c r="Q72" s="3646"/>
      <c r="R72" s="3775"/>
      <c r="S72" s="3788"/>
      <c r="T72" s="3789"/>
      <c r="U72" s="3789"/>
      <c r="V72" s="3290"/>
      <c r="W72" s="2699">
        <v>20000000</v>
      </c>
      <c r="X72" s="2510">
        <v>19973334</v>
      </c>
      <c r="Y72" s="2508">
        <f>2226000+1393333+5596000</f>
        <v>9215333</v>
      </c>
      <c r="Z72" s="2649">
        <v>88</v>
      </c>
      <c r="AA72" s="2705" t="s">
        <v>124</v>
      </c>
      <c r="AB72" s="3663"/>
      <c r="AC72" s="3663"/>
      <c r="AD72" s="3663"/>
      <c r="AE72" s="3787"/>
      <c r="AF72" s="3663"/>
      <c r="AG72" s="3663"/>
      <c r="AH72" s="3663"/>
      <c r="AI72" s="3663"/>
      <c r="AJ72" s="3663"/>
      <c r="AK72" s="3663"/>
      <c r="AL72" s="3663"/>
      <c r="AM72" s="3663"/>
      <c r="AN72" s="3663"/>
      <c r="AO72" s="3663"/>
      <c r="AP72" s="3663"/>
      <c r="AQ72" s="3663"/>
      <c r="AR72" s="3663"/>
      <c r="AS72" s="3663"/>
      <c r="AT72" s="3663"/>
      <c r="AU72" s="3663"/>
      <c r="AV72" s="3663"/>
      <c r="AW72" s="3663"/>
      <c r="AX72" s="3663"/>
      <c r="AY72" s="3663"/>
      <c r="AZ72" s="3663"/>
      <c r="BA72" s="3787"/>
      <c r="BB72" s="3786"/>
      <c r="BC72" s="3786"/>
      <c r="BD72" s="3786"/>
      <c r="BE72" s="3786"/>
      <c r="BF72" s="3664"/>
      <c r="BG72" s="3663"/>
      <c r="BH72" s="3663"/>
      <c r="BI72" s="3749"/>
      <c r="BJ72" s="3749"/>
      <c r="BK72" s="3750"/>
      <c r="BL72" s="3774"/>
      <c r="BM72" s="3785"/>
      <c r="BN72" s="3783"/>
      <c r="BO72" s="3748"/>
      <c r="BP72" s="3783"/>
      <c r="BQ72" s="3748"/>
      <c r="BR72" s="3622"/>
      <c r="BS72" s="3690"/>
      <c r="BT72" s="440"/>
      <c r="BU72" s="2707"/>
      <c r="BV72" s="2606"/>
    </row>
    <row r="73" spans="1:74" s="438" customFormat="1" ht="63" customHeight="1" x14ac:dyDescent="0.2">
      <c r="A73" s="3854"/>
      <c r="B73" s="3858"/>
      <c r="C73" s="3859"/>
      <c r="D73" s="3739"/>
      <c r="E73" s="3739"/>
      <c r="F73" s="3739"/>
      <c r="G73" s="3798"/>
      <c r="H73" s="3801"/>
      <c r="I73" s="3804"/>
      <c r="J73" s="3757"/>
      <c r="K73" s="3719"/>
      <c r="L73" s="3720"/>
      <c r="M73" s="3776"/>
      <c r="N73" s="3774"/>
      <c r="O73" s="2644"/>
      <c r="P73" s="3790"/>
      <c r="Q73" s="3646"/>
      <c r="R73" s="3775"/>
      <c r="S73" s="3788"/>
      <c r="T73" s="3789"/>
      <c r="U73" s="3789"/>
      <c r="V73" s="2496" t="s">
        <v>2492</v>
      </c>
      <c r="W73" s="2699">
        <v>0</v>
      </c>
      <c r="X73" s="2510">
        <v>0</v>
      </c>
      <c r="Y73" s="2508">
        <v>0</v>
      </c>
      <c r="Z73" s="2649">
        <v>20</v>
      </c>
      <c r="AA73" s="2705" t="s">
        <v>124</v>
      </c>
      <c r="AB73" s="3663"/>
      <c r="AC73" s="3663"/>
      <c r="AD73" s="3663"/>
      <c r="AE73" s="3787"/>
      <c r="AF73" s="3663"/>
      <c r="AG73" s="3663"/>
      <c r="AH73" s="3663"/>
      <c r="AI73" s="3663"/>
      <c r="AJ73" s="3663"/>
      <c r="AK73" s="3663"/>
      <c r="AL73" s="3663"/>
      <c r="AM73" s="3663"/>
      <c r="AN73" s="3663"/>
      <c r="AO73" s="3663"/>
      <c r="AP73" s="3663"/>
      <c r="AQ73" s="3663"/>
      <c r="AR73" s="3663"/>
      <c r="AS73" s="3663"/>
      <c r="AT73" s="3663"/>
      <c r="AU73" s="3663"/>
      <c r="AV73" s="3663"/>
      <c r="AW73" s="3663"/>
      <c r="AX73" s="3663"/>
      <c r="AY73" s="3663"/>
      <c r="AZ73" s="3663"/>
      <c r="BA73" s="3787"/>
      <c r="BB73" s="3786"/>
      <c r="BC73" s="3786"/>
      <c r="BD73" s="3786"/>
      <c r="BE73" s="3786"/>
      <c r="BF73" s="3664"/>
      <c r="BG73" s="3663"/>
      <c r="BH73" s="3663"/>
      <c r="BI73" s="3749"/>
      <c r="BJ73" s="3749"/>
      <c r="BK73" s="3750"/>
      <c r="BL73" s="3774"/>
      <c r="BM73" s="3785"/>
      <c r="BN73" s="3783"/>
      <c r="BO73" s="3748"/>
      <c r="BP73" s="3783"/>
      <c r="BQ73" s="3748"/>
      <c r="BR73" s="3622"/>
      <c r="BS73" s="3690"/>
      <c r="BT73" s="440"/>
    </row>
    <row r="74" spans="1:74" s="438" customFormat="1" ht="108.75" customHeight="1" x14ac:dyDescent="0.2">
      <c r="A74" s="3854"/>
      <c r="B74" s="3858"/>
      <c r="C74" s="3859"/>
      <c r="D74" s="3739"/>
      <c r="E74" s="3739"/>
      <c r="F74" s="3739"/>
      <c r="G74" s="3798"/>
      <c r="H74" s="3801"/>
      <c r="I74" s="3804"/>
      <c r="J74" s="3757"/>
      <c r="K74" s="3719"/>
      <c r="L74" s="3720"/>
      <c r="M74" s="3776"/>
      <c r="N74" s="3774"/>
      <c r="O74" s="2644"/>
      <c r="P74" s="3790"/>
      <c r="Q74" s="3646"/>
      <c r="R74" s="3775"/>
      <c r="S74" s="3788"/>
      <c r="T74" s="3789"/>
      <c r="U74" s="3789"/>
      <c r="V74" s="2645" t="s">
        <v>2493</v>
      </c>
      <c r="W74" s="2627">
        <v>9250000</v>
      </c>
      <c r="X74" s="2512">
        <f>6000000+3250000</f>
        <v>9250000</v>
      </c>
      <c r="Y74" s="2511">
        <f>6000000+3250000</f>
        <v>9250000</v>
      </c>
      <c r="Z74" s="2628">
        <v>20</v>
      </c>
      <c r="AA74" s="2705" t="s">
        <v>124</v>
      </c>
      <c r="AB74" s="3663"/>
      <c r="AC74" s="3663"/>
      <c r="AD74" s="3663"/>
      <c r="AE74" s="3787"/>
      <c r="AF74" s="3663"/>
      <c r="AG74" s="3663"/>
      <c r="AH74" s="3663"/>
      <c r="AI74" s="3663"/>
      <c r="AJ74" s="3663"/>
      <c r="AK74" s="3663"/>
      <c r="AL74" s="3663"/>
      <c r="AM74" s="3663"/>
      <c r="AN74" s="3663"/>
      <c r="AO74" s="3663"/>
      <c r="AP74" s="3663"/>
      <c r="AQ74" s="3663"/>
      <c r="AR74" s="3663"/>
      <c r="AS74" s="3663"/>
      <c r="AT74" s="3663"/>
      <c r="AU74" s="3663"/>
      <c r="AV74" s="3663"/>
      <c r="AW74" s="3663"/>
      <c r="AX74" s="3663"/>
      <c r="AY74" s="3663"/>
      <c r="AZ74" s="3663"/>
      <c r="BA74" s="3787"/>
      <c r="BB74" s="3786"/>
      <c r="BC74" s="3786"/>
      <c r="BD74" s="3786"/>
      <c r="BE74" s="3786"/>
      <c r="BF74" s="3664"/>
      <c r="BG74" s="3663"/>
      <c r="BH74" s="3663"/>
      <c r="BI74" s="3749"/>
      <c r="BJ74" s="3749"/>
      <c r="BK74" s="3750"/>
      <c r="BL74" s="3774"/>
      <c r="BM74" s="3785"/>
      <c r="BN74" s="3783"/>
      <c r="BO74" s="3748"/>
      <c r="BP74" s="3783"/>
      <c r="BQ74" s="3748"/>
      <c r="BR74" s="3622"/>
      <c r="BS74" s="3690"/>
      <c r="BT74" s="440"/>
    </row>
    <row r="75" spans="1:74" s="438" customFormat="1" ht="62.25" customHeight="1" x14ac:dyDescent="0.2">
      <c r="A75" s="3854"/>
      <c r="B75" s="3858"/>
      <c r="C75" s="3859"/>
      <c r="D75" s="3739"/>
      <c r="E75" s="3739"/>
      <c r="F75" s="3739"/>
      <c r="G75" s="3798"/>
      <c r="H75" s="3801"/>
      <c r="I75" s="3804"/>
      <c r="J75" s="3757"/>
      <c r="K75" s="3719"/>
      <c r="L75" s="3720"/>
      <c r="M75" s="3776"/>
      <c r="N75" s="3774"/>
      <c r="O75" s="2644"/>
      <c r="P75" s="3790"/>
      <c r="Q75" s="3646"/>
      <c r="R75" s="3775"/>
      <c r="S75" s="3788"/>
      <c r="T75" s="3789"/>
      <c r="U75" s="3789"/>
      <c r="V75" s="2645" t="s">
        <v>2494</v>
      </c>
      <c r="W75" s="2627">
        <v>10000000</v>
      </c>
      <c r="X75" s="2512">
        <f>1000000+9000000</f>
        <v>10000000</v>
      </c>
      <c r="Y75" s="2511">
        <f>1000000+8394000</f>
        <v>9394000</v>
      </c>
      <c r="Z75" s="2628">
        <v>20</v>
      </c>
      <c r="AA75" s="2705" t="s">
        <v>124</v>
      </c>
      <c r="AB75" s="3663"/>
      <c r="AC75" s="3663"/>
      <c r="AD75" s="3663"/>
      <c r="AE75" s="3787"/>
      <c r="AF75" s="3663"/>
      <c r="AG75" s="3663"/>
      <c r="AH75" s="3663"/>
      <c r="AI75" s="3663"/>
      <c r="AJ75" s="3663"/>
      <c r="AK75" s="3663"/>
      <c r="AL75" s="3663"/>
      <c r="AM75" s="3663"/>
      <c r="AN75" s="3663"/>
      <c r="AO75" s="3663"/>
      <c r="AP75" s="3663"/>
      <c r="AQ75" s="3663"/>
      <c r="AR75" s="3663"/>
      <c r="AS75" s="3663"/>
      <c r="AT75" s="3663"/>
      <c r="AU75" s="3663"/>
      <c r="AV75" s="3663"/>
      <c r="AW75" s="3663"/>
      <c r="AX75" s="3663"/>
      <c r="AY75" s="3663"/>
      <c r="AZ75" s="3663"/>
      <c r="BA75" s="3787"/>
      <c r="BB75" s="3786"/>
      <c r="BC75" s="3786"/>
      <c r="BD75" s="3786"/>
      <c r="BE75" s="3786"/>
      <c r="BF75" s="3664"/>
      <c r="BG75" s="3663"/>
      <c r="BH75" s="3663"/>
      <c r="BI75" s="3749"/>
      <c r="BJ75" s="3749"/>
      <c r="BK75" s="3750"/>
      <c r="BL75" s="3774"/>
      <c r="BM75" s="3785"/>
      <c r="BN75" s="3783"/>
      <c r="BO75" s="3748"/>
      <c r="BP75" s="3783"/>
      <c r="BQ75" s="3748"/>
      <c r="BR75" s="3622"/>
      <c r="BS75" s="3690"/>
      <c r="BT75" s="440"/>
    </row>
    <row r="76" spans="1:74" s="438" customFormat="1" ht="62.25" customHeight="1" x14ac:dyDescent="0.2">
      <c r="A76" s="3854"/>
      <c r="B76" s="3858"/>
      <c r="C76" s="3859"/>
      <c r="D76" s="3739"/>
      <c r="E76" s="3739"/>
      <c r="F76" s="3739"/>
      <c r="G76" s="3798"/>
      <c r="H76" s="3801"/>
      <c r="I76" s="3804"/>
      <c r="J76" s="3757"/>
      <c r="K76" s="3719"/>
      <c r="L76" s="3720"/>
      <c r="M76" s="3776"/>
      <c r="N76" s="3774"/>
      <c r="O76" s="2644"/>
      <c r="P76" s="3790"/>
      <c r="Q76" s="3646"/>
      <c r="R76" s="3775"/>
      <c r="S76" s="3788"/>
      <c r="T76" s="3789"/>
      <c r="U76" s="3789"/>
      <c r="V76" s="2698" t="s">
        <v>2495</v>
      </c>
      <c r="W76" s="2627">
        <v>0</v>
      </c>
      <c r="X76" s="2512">
        <v>0</v>
      </c>
      <c r="Y76" s="2511">
        <v>0</v>
      </c>
      <c r="Z76" s="2628">
        <v>20</v>
      </c>
      <c r="AA76" s="2705" t="s">
        <v>124</v>
      </c>
      <c r="AB76" s="3663"/>
      <c r="AC76" s="3663"/>
      <c r="AD76" s="3663"/>
      <c r="AE76" s="3787"/>
      <c r="AF76" s="3663"/>
      <c r="AG76" s="3663"/>
      <c r="AH76" s="3663"/>
      <c r="AI76" s="3663"/>
      <c r="AJ76" s="3663"/>
      <c r="AK76" s="3663"/>
      <c r="AL76" s="3663"/>
      <c r="AM76" s="3663"/>
      <c r="AN76" s="3663"/>
      <c r="AO76" s="3663"/>
      <c r="AP76" s="3663"/>
      <c r="AQ76" s="3663"/>
      <c r="AR76" s="3663"/>
      <c r="AS76" s="3663"/>
      <c r="AT76" s="3663"/>
      <c r="AU76" s="3663"/>
      <c r="AV76" s="3663"/>
      <c r="AW76" s="3663"/>
      <c r="AX76" s="3663"/>
      <c r="AY76" s="3663"/>
      <c r="AZ76" s="3663"/>
      <c r="BA76" s="3787"/>
      <c r="BB76" s="3786"/>
      <c r="BC76" s="3786"/>
      <c r="BD76" s="3786"/>
      <c r="BE76" s="3786"/>
      <c r="BF76" s="3664"/>
      <c r="BG76" s="3663"/>
      <c r="BH76" s="3663"/>
      <c r="BI76" s="3749"/>
      <c r="BJ76" s="3749"/>
      <c r="BK76" s="3750"/>
      <c r="BL76" s="3774"/>
      <c r="BM76" s="3785"/>
      <c r="BN76" s="3783"/>
      <c r="BO76" s="3748"/>
      <c r="BP76" s="3783"/>
      <c r="BQ76" s="3748"/>
      <c r="BR76" s="3622"/>
      <c r="BS76" s="2640"/>
      <c r="BT76" s="440"/>
    </row>
    <row r="77" spans="1:74" s="438" customFormat="1" ht="60" customHeight="1" x14ac:dyDescent="0.2">
      <c r="A77" s="3854"/>
      <c r="B77" s="3858"/>
      <c r="C77" s="3859"/>
      <c r="D77" s="3739"/>
      <c r="E77" s="3739"/>
      <c r="F77" s="3739"/>
      <c r="G77" s="3798"/>
      <c r="H77" s="3801"/>
      <c r="I77" s="3804"/>
      <c r="J77" s="3757"/>
      <c r="K77" s="3719"/>
      <c r="L77" s="3720"/>
      <c r="M77" s="3776"/>
      <c r="N77" s="3774"/>
      <c r="O77" s="2644"/>
      <c r="P77" s="3790"/>
      <c r="Q77" s="3646"/>
      <c r="R77" s="3775"/>
      <c r="S77" s="3788"/>
      <c r="T77" s="3789"/>
      <c r="U77" s="3789"/>
      <c r="V77" s="2645" t="s">
        <v>2496</v>
      </c>
      <c r="W77" s="2627">
        <v>6250000</v>
      </c>
      <c r="X77" s="2512">
        <f>3000000+1000000+1250000</f>
        <v>5250000</v>
      </c>
      <c r="Y77" s="2511">
        <f>3000000+1000000+1250000</f>
        <v>5250000</v>
      </c>
      <c r="Z77" s="2628">
        <v>20</v>
      </c>
      <c r="AA77" s="2705" t="s">
        <v>124</v>
      </c>
      <c r="AB77" s="3663"/>
      <c r="AC77" s="3663"/>
      <c r="AD77" s="3663"/>
      <c r="AE77" s="3787"/>
      <c r="AF77" s="3663"/>
      <c r="AG77" s="3663"/>
      <c r="AH77" s="3663"/>
      <c r="AI77" s="3663"/>
      <c r="AJ77" s="3663"/>
      <c r="AK77" s="3663"/>
      <c r="AL77" s="3663"/>
      <c r="AM77" s="3663"/>
      <c r="AN77" s="3663"/>
      <c r="AO77" s="3663"/>
      <c r="AP77" s="3663"/>
      <c r="AQ77" s="3663"/>
      <c r="AR77" s="3663"/>
      <c r="AS77" s="3663"/>
      <c r="AT77" s="3663"/>
      <c r="AU77" s="3663"/>
      <c r="AV77" s="3663"/>
      <c r="AW77" s="3663"/>
      <c r="AX77" s="3663"/>
      <c r="AY77" s="3663"/>
      <c r="AZ77" s="3663"/>
      <c r="BA77" s="3787"/>
      <c r="BB77" s="3786"/>
      <c r="BC77" s="3786"/>
      <c r="BD77" s="3786"/>
      <c r="BE77" s="3786"/>
      <c r="BF77" s="3664"/>
      <c r="BG77" s="3663"/>
      <c r="BH77" s="3663"/>
      <c r="BI77" s="3749"/>
      <c r="BJ77" s="3749"/>
      <c r="BK77" s="3750"/>
      <c r="BL77" s="3774"/>
      <c r="BM77" s="3785"/>
      <c r="BN77" s="3783"/>
      <c r="BO77" s="3748"/>
      <c r="BP77" s="3783"/>
      <c r="BQ77" s="3748"/>
      <c r="BR77" s="3622"/>
      <c r="BS77" s="440"/>
      <c r="BT77" s="440"/>
    </row>
    <row r="78" spans="1:74" s="438" customFormat="1" ht="29.25" customHeight="1" x14ac:dyDescent="0.2">
      <c r="A78" s="3854"/>
      <c r="B78" s="3858"/>
      <c r="C78" s="3859"/>
      <c r="D78" s="3739"/>
      <c r="E78" s="3739"/>
      <c r="F78" s="3739"/>
      <c r="G78" s="3798"/>
      <c r="H78" s="3801"/>
      <c r="I78" s="3804"/>
      <c r="J78" s="3757"/>
      <c r="K78" s="3719"/>
      <c r="L78" s="3720"/>
      <c r="M78" s="3776"/>
      <c r="N78" s="3774"/>
      <c r="O78" s="2644"/>
      <c r="P78" s="3790"/>
      <c r="Q78" s="3646"/>
      <c r="R78" s="3775"/>
      <c r="S78" s="3788"/>
      <c r="T78" s="3789"/>
      <c r="U78" s="3789"/>
      <c r="V78" s="3223" t="s">
        <v>2497</v>
      </c>
      <c r="W78" s="2708">
        <v>98000000</v>
      </c>
      <c r="X78" s="2627">
        <f>6000000+2000000</f>
        <v>8000000</v>
      </c>
      <c r="Y78" s="1170">
        <f>6000000+2000000</f>
        <v>8000000</v>
      </c>
      <c r="Z78" s="2628">
        <v>20</v>
      </c>
      <c r="AA78" s="2705" t="s">
        <v>124</v>
      </c>
      <c r="AB78" s="3663"/>
      <c r="AC78" s="3663"/>
      <c r="AD78" s="3663"/>
      <c r="AE78" s="3787"/>
      <c r="AF78" s="3663"/>
      <c r="AG78" s="3663"/>
      <c r="AH78" s="3663"/>
      <c r="AI78" s="3663"/>
      <c r="AJ78" s="3663"/>
      <c r="AK78" s="3663"/>
      <c r="AL78" s="3663"/>
      <c r="AM78" s="3663"/>
      <c r="AN78" s="3663"/>
      <c r="AO78" s="3663"/>
      <c r="AP78" s="3663"/>
      <c r="AQ78" s="3663"/>
      <c r="AR78" s="3663"/>
      <c r="AS78" s="3663"/>
      <c r="AT78" s="3663"/>
      <c r="AU78" s="3663"/>
      <c r="AV78" s="3663"/>
      <c r="AW78" s="3663"/>
      <c r="AX78" s="3663"/>
      <c r="AY78" s="3663"/>
      <c r="AZ78" s="3663"/>
      <c r="BA78" s="3787"/>
      <c r="BB78" s="3786"/>
      <c r="BC78" s="3786"/>
      <c r="BD78" s="3786"/>
      <c r="BE78" s="3786"/>
      <c r="BF78" s="3664"/>
      <c r="BG78" s="3663"/>
      <c r="BH78" s="3663"/>
      <c r="BI78" s="3749"/>
      <c r="BJ78" s="3749"/>
      <c r="BK78" s="3750"/>
      <c r="BL78" s="3774"/>
      <c r="BM78" s="3785"/>
      <c r="BN78" s="3783"/>
      <c r="BO78" s="3748"/>
      <c r="BP78" s="3783"/>
      <c r="BQ78" s="3748"/>
      <c r="BR78" s="3622"/>
      <c r="BS78" s="440"/>
      <c r="BT78" s="440"/>
    </row>
    <row r="79" spans="1:74" s="438" customFormat="1" ht="41.25" customHeight="1" x14ac:dyDescent="0.2">
      <c r="A79" s="3854"/>
      <c r="B79" s="3858"/>
      <c r="C79" s="3859"/>
      <c r="D79" s="3739"/>
      <c r="E79" s="3739"/>
      <c r="F79" s="3739"/>
      <c r="G79" s="3798"/>
      <c r="H79" s="3801"/>
      <c r="I79" s="3804"/>
      <c r="J79" s="3757"/>
      <c r="K79" s="3719"/>
      <c r="L79" s="3720"/>
      <c r="M79" s="3776"/>
      <c r="N79" s="3774"/>
      <c r="O79" s="2644"/>
      <c r="P79" s="3790"/>
      <c r="Q79" s="3646"/>
      <c r="R79" s="3775"/>
      <c r="S79" s="3788"/>
      <c r="T79" s="3789"/>
      <c r="U79" s="3789"/>
      <c r="V79" s="3224"/>
      <c r="W79" s="2708">
        <v>50000000</v>
      </c>
      <c r="X79" s="2627">
        <v>728666</v>
      </c>
      <c r="Y79" s="1170">
        <v>0</v>
      </c>
      <c r="Z79" s="2628">
        <v>88</v>
      </c>
      <c r="AA79" s="2705" t="s">
        <v>2498</v>
      </c>
      <c r="AB79" s="3663"/>
      <c r="AC79" s="3663"/>
      <c r="AD79" s="3663"/>
      <c r="AE79" s="3787"/>
      <c r="AF79" s="3663"/>
      <c r="AG79" s="3663"/>
      <c r="AH79" s="3663"/>
      <c r="AI79" s="3663"/>
      <c r="AJ79" s="3663"/>
      <c r="AK79" s="3663"/>
      <c r="AL79" s="3663"/>
      <c r="AM79" s="3663"/>
      <c r="AN79" s="3663"/>
      <c r="AO79" s="3663"/>
      <c r="AP79" s="3663"/>
      <c r="AQ79" s="3663"/>
      <c r="AR79" s="3663"/>
      <c r="AS79" s="3663"/>
      <c r="AT79" s="3663"/>
      <c r="AU79" s="3663"/>
      <c r="AV79" s="3663"/>
      <c r="AW79" s="3663"/>
      <c r="AX79" s="3663"/>
      <c r="AY79" s="3663"/>
      <c r="AZ79" s="3663"/>
      <c r="BA79" s="3787"/>
      <c r="BB79" s="3786"/>
      <c r="BC79" s="3786"/>
      <c r="BD79" s="3786"/>
      <c r="BE79" s="3786"/>
      <c r="BF79" s="3664"/>
      <c r="BG79" s="3663"/>
      <c r="BH79" s="3663"/>
      <c r="BI79" s="3749"/>
      <c r="BJ79" s="3749"/>
      <c r="BK79" s="3750"/>
      <c r="BL79" s="3774"/>
      <c r="BM79" s="3785"/>
      <c r="BN79" s="3783"/>
      <c r="BO79" s="3748"/>
      <c r="BP79" s="3783"/>
      <c r="BQ79" s="3748"/>
      <c r="BR79" s="3622"/>
      <c r="BS79" s="440"/>
      <c r="BT79" s="440"/>
    </row>
    <row r="80" spans="1:74" s="438" customFormat="1" ht="33" customHeight="1" x14ac:dyDescent="0.2">
      <c r="A80" s="3854"/>
      <c r="B80" s="3858"/>
      <c r="C80" s="3859"/>
      <c r="D80" s="3739"/>
      <c r="E80" s="3739"/>
      <c r="F80" s="3739"/>
      <c r="G80" s="3798"/>
      <c r="H80" s="3801"/>
      <c r="I80" s="3804"/>
      <c r="J80" s="3757"/>
      <c r="K80" s="3719"/>
      <c r="L80" s="3720"/>
      <c r="M80" s="3776"/>
      <c r="N80" s="3774"/>
      <c r="O80" s="2644"/>
      <c r="P80" s="3790"/>
      <c r="Q80" s="3646"/>
      <c r="R80" s="3775"/>
      <c r="S80" s="3788"/>
      <c r="T80" s="3789"/>
      <c r="U80" s="3789"/>
      <c r="V80" s="2645" t="s">
        <v>2499</v>
      </c>
      <c r="W80" s="2627">
        <v>15000000</v>
      </c>
      <c r="X80" s="2512">
        <f>1000000+3000000+5000000</f>
        <v>9000000</v>
      </c>
      <c r="Y80" s="2511">
        <v>5000000</v>
      </c>
      <c r="Z80" s="2628">
        <v>20</v>
      </c>
      <c r="AA80" s="2705" t="s">
        <v>124</v>
      </c>
      <c r="AB80" s="3663"/>
      <c r="AC80" s="3663"/>
      <c r="AD80" s="3663"/>
      <c r="AE80" s="3787"/>
      <c r="AF80" s="3663"/>
      <c r="AG80" s="3663"/>
      <c r="AH80" s="3663"/>
      <c r="AI80" s="3663"/>
      <c r="AJ80" s="3663"/>
      <c r="AK80" s="3663"/>
      <c r="AL80" s="3663"/>
      <c r="AM80" s="3663"/>
      <c r="AN80" s="3663"/>
      <c r="AO80" s="3663"/>
      <c r="AP80" s="3663"/>
      <c r="AQ80" s="3663"/>
      <c r="AR80" s="3663"/>
      <c r="AS80" s="3663"/>
      <c r="AT80" s="3663"/>
      <c r="AU80" s="3663"/>
      <c r="AV80" s="3663"/>
      <c r="AW80" s="3663"/>
      <c r="AX80" s="3663"/>
      <c r="AY80" s="3663"/>
      <c r="AZ80" s="3663"/>
      <c r="BA80" s="3787"/>
      <c r="BB80" s="3786"/>
      <c r="BC80" s="3786"/>
      <c r="BD80" s="3786"/>
      <c r="BE80" s="3786"/>
      <c r="BF80" s="3664"/>
      <c r="BG80" s="3663"/>
      <c r="BH80" s="3663"/>
      <c r="BI80" s="3749"/>
      <c r="BJ80" s="3749"/>
      <c r="BK80" s="3750"/>
      <c r="BL80" s="3774"/>
      <c r="BM80" s="3785"/>
      <c r="BN80" s="3783"/>
      <c r="BO80" s="3748"/>
      <c r="BP80" s="3783"/>
      <c r="BQ80" s="3748"/>
      <c r="BR80" s="3622"/>
      <c r="BS80" s="440"/>
      <c r="BT80" s="440"/>
    </row>
    <row r="81" spans="1:72" s="438" customFormat="1" ht="53.25" customHeight="1" x14ac:dyDescent="0.2">
      <c r="A81" s="3854"/>
      <c r="B81" s="3858"/>
      <c r="C81" s="3859"/>
      <c r="D81" s="3739"/>
      <c r="E81" s="3739"/>
      <c r="F81" s="3739"/>
      <c r="G81" s="3798"/>
      <c r="H81" s="3801"/>
      <c r="I81" s="3804"/>
      <c r="J81" s="3773">
        <v>227</v>
      </c>
      <c r="K81" s="3665" t="s">
        <v>2500</v>
      </c>
      <c r="L81" s="3720" t="s">
        <v>2501</v>
      </c>
      <c r="M81" s="3776">
        <v>12</v>
      </c>
      <c r="N81" s="3781">
        <v>3</v>
      </c>
      <c r="O81" s="2644"/>
      <c r="P81" s="3790"/>
      <c r="Q81" s="3646"/>
      <c r="R81" s="3779">
        <f>SUM(W81:W82)/S68</f>
        <v>8.3507306889352817E-2</v>
      </c>
      <c r="S81" s="3788"/>
      <c r="T81" s="3789"/>
      <c r="U81" s="3789"/>
      <c r="V81" s="2645" t="s">
        <v>2502</v>
      </c>
      <c r="W81" s="2512">
        <v>20000000</v>
      </c>
      <c r="X81" s="2512">
        <v>3010933</v>
      </c>
      <c r="Y81" s="2511">
        <v>3010933</v>
      </c>
      <c r="Z81" s="2628">
        <v>20</v>
      </c>
      <c r="AA81" s="2705" t="s">
        <v>124</v>
      </c>
      <c r="AB81" s="3663"/>
      <c r="AC81" s="3663"/>
      <c r="AD81" s="3663"/>
      <c r="AE81" s="3787"/>
      <c r="AF81" s="3663"/>
      <c r="AG81" s="3663"/>
      <c r="AH81" s="3663"/>
      <c r="AI81" s="3663"/>
      <c r="AJ81" s="3663"/>
      <c r="AK81" s="3663"/>
      <c r="AL81" s="3663"/>
      <c r="AM81" s="3663"/>
      <c r="AN81" s="3663"/>
      <c r="AO81" s="3663"/>
      <c r="AP81" s="3663"/>
      <c r="AQ81" s="3663"/>
      <c r="AR81" s="3663"/>
      <c r="AS81" s="3663"/>
      <c r="AT81" s="3663"/>
      <c r="AU81" s="3663"/>
      <c r="AV81" s="3663"/>
      <c r="AW81" s="3663"/>
      <c r="AX81" s="3663"/>
      <c r="AY81" s="3663"/>
      <c r="AZ81" s="3663"/>
      <c r="BA81" s="3787"/>
      <c r="BB81" s="3786"/>
      <c r="BC81" s="3786"/>
      <c r="BD81" s="3786"/>
      <c r="BE81" s="3786"/>
      <c r="BF81" s="3664"/>
      <c r="BG81" s="3663"/>
      <c r="BH81" s="3663"/>
      <c r="BI81" s="3749"/>
      <c r="BJ81" s="3749"/>
      <c r="BK81" s="3750"/>
      <c r="BL81" s="3774"/>
      <c r="BM81" s="3785"/>
      <c r="BN81" s="3783"/>
      <c r="BO81" s="3748"/>
      <c r="BP81" s="3783"/>
      <c r="BQ81" s="3748"/>
      <c r="BR81" s="3622"/>
      <c r="BS81" s="440"/>
      <c r="BT81" s="440"/>
    </row>
    <row r="82" spans="1:72" s="438" customFormat="1" ht="50.25" customHeight="1" x14ac:dyDescent="0.2">
      <c r="A82" s="3854"/>
      <c r="B82" s="3858"/>
      <c r="C82" s="3859"/>
      <c r="D82" s="3739"/>
      <c r="E82" s="3739"/>
      <c r="F82" s="3739"/>
      <c r="G82" s="3798"/>
      <c r="H82" s="3801"/>
      <c r="I82" s="3804"/>
      <c r="J82" s="3773"/>
      <c r="K82" s="3665"/>
      <c r="L82" s="3720"/>
      <c r="M82" s="3776"/>
      <c r="N82" s="3782"/>
      <c r="O82" s="2644"/>
      <c r="P82" s="3790"/>
      <c r="Q82" s="3646"/>
      <c r="R82" s="3779"/>
      <c r="S82" s="3788"/>
      <c r="T82" s="3789"/>
      <c r="U82" s="3789"/>
      <c r="V82" s="2645" t="s">
        <v>2503</v>
      </c>
      <c r="W82" s="2512">
        <v>20000000</v>
      </c>
      <c r="X82" s="2512">
        <f>1000000+1000000+233000+500000</f>
        <v>2733000</v>
      </c>
      <c r="Y82" s="2511">
        <f>1000000+1000000+233000+500000</f>
        <v>2733000</v>
      </c>
      <c r="Z82" s="2628">
        <v>20</v>
      </c>
      <c r="AA82" s="2705" t="s">
        <v>124</v>
      </c>
      <c r="AB82" s="3663"/>
      <c r="AC82" s="3663"/>
      <c r="AD82" s="3663"/>
      <c r="AE82" s="3787"/>
      <c r="AF82" s="3663"/>
      <c r="AG82" s="3663"/>
      <c r="AH82" s="3663"/>
      <c r="AI82" s="3663"/>
      <c r="AJ82" s="3663"/>
      <c r="AK82" s="3663"/>
      <c r="AL82" s="3663"/>
      <c r="AM82" s="3663"/>
      <c r="AN82" s="3663"/>
      <c r="AO82" s="3663"/>
      <c r="AP82" s="3663"/>
      <c r="AQ82" s="3663"/>
      <c r="AR82" s="3663"/>
      <c r="AS82" s="3663"/>
      <c r="AT82" s="3663"/>
      <c r="AU82" s="3663"/>
      <c r="AV82" s="3663"/>
      <c r="AW82" s="3663"/>
      <c r="AX82" s="3663"/>
      <c r="AY82" s="3663"/>
      <c r="AZ82" s="3663"/>
      <c r="BA82" s="3787"/>
      <c r="BB82" s="3786"/>
      <c r="BC82" s="3786"/>
      <c r="BD82" s="3786"/>
      <c r="BE82" s="3786"/>
      <c r="BF82" s="3664"/>
      <c r="BG82" s="3663"/>
      <c r="BH82" s="3663"/>
      <c r="BI82" s="3749"/>
      <c r="BJ82" s="3749"/>
      <c r="BK82" s="3750"/>
      <c r="BL82" s="3774"/>
      <c r="BM82" s="3785"/>
      <c r="BN82" s="3783"/>
      <c r="BO82" s="3748"/>
      <c r="BP82" s="3783"/>
      <c r="BQ82" s="3748"/>
      <c r="BR82" s="3622"/>
      <c r="BS82" s="440"/>
      <c r="BT82" s="440"/>
    </row>
    <row r="83" spans="1:72" s="438" customFormat="1" ht="43.5" customHeight="1" x14ac:dyDescent="0.2">
      <c r="A83" s="3854"/>
      <c r="B83" s="3858"/>
      <c r="C83" s="3859"/>
      <c r="D83" s="3739"/>
      <c r="E83" s="3739"/>
      <c r="F83" s="3739"/>
      <c r="G83" s="3798"/>
      <c r="H83" s="3801"/>
      <c r="I83" s="3804"/>
      <c r="J83" s="3773">
        <v>228</v>
      </c>
      <c r="K83" s="3720" t="s">
        <v>2504</v>
      </c>
      <c r="L83" s="3720" t="s">
        <v>2505</v>
      </c>
      <c r="M83" s="3776">
        <v>2</v>
      </c>
      <c r="N83" s="3774">
        <v>2</v>
      </c>
      <c r="O83" s="2644" t="s">
        <v>2506</v>
      </c>
      <c r="P83" s="3790"/>
      <c r="Q83" s="3646"/>
      <c r="R83" s="3779">
        <f>SUM(W83:W90)/S68</f>
        <v>9.3945720250521919E-2</v>
      </c>
      <c r="S83" s="3788"/>
      <c r="T83" s="3789"/>
      <c r="U83" s="3789"/>
      <c r="V83" s="3297" t="s">
        <v>2507</v>
      </c>
      <c r="W83" s="2512">
        <v>7400000</v>
      </c>
      <c r="X83" s="2512">
        <v>7212768</v>
      </c>
      <c r="Y83" s="2512">
        <f>6060340+152428+10000</f>
        <v>6222768</v>
      </c>
      <c r="Z83" s="2628">
        <v>20</v>
      </c>
      <c r="AA83" s="2705" t="s">
        <v>124</v>
      </c>
      <c r="AB83" s="3663"/>
      <c r="AC83" s="3663"/>
      <c r="AD83" s="3663"/>
      <c r="AE83" s="3787"/>
      <c r="AF83" s="3663"/>
      <c r="AG83" s="3663"/>
      <c r="AH83" s="3663"/>
      <c r="AI83" s="3663"/>
      <c r="AJ83" s="3663"/>
      <c r="AK83" s="3663"/>
      <c r="AL83" s="3663"/>
      <c r="AM83" s="3663"/>
      <c r="AN83" s="3663"/>
      <c r="AO83" s="3663"/>
      <c r="AP83" s="3663"/>
      <c r="AQ83" s="3663"/>
      <c r="AR83" s="3663"/>
      <c r="AS83" s="3663"/>
      <c r="AT83" s="3663"/>
      <c r="AU83" s="3663"/>
      <c r="AV83" s="3663"/>
      <c r="AW83" s="3663"/>
      <c r="AX83" s="3663"/>
      <c r="AY83" s="3663"/>
      <c r="AZ83" s="3663"/>
      <c r="BA83" s="3787"/>
      <c r="BB83" s="3786"/>
      <c r="BC83" s="3786"/>
      <c r="BD83" s="3786"/>
      <c r="BE83" s="3786"/>
      <c r="BF83" s="3664"/>
      <c r="BG83" s="3663"/>
      <c r="BH83" s="3663"/>
      <c r="BI83" s="3749"/>
      <c r="BJ83" s="3749"/>
      <c r="BK83" s="3750"/>
      <c r="BL83" s="3774"/>
      <c r="BM83" s="3785"/>
      <c r="BN83" s="3783"/>
      <c r="BO83" s="3748"/>
      <c r="BP83" s="3783"/>
      <c r="BQ83" s="3748"/>
      <c r="BR83" s="3622"/>
      <c r="BS83" s="440"/>
      <c r="BT83" s="440"/>
    </row>
    <row r="84" spans="1:72" s="438" customFormat="1" ht="43.5" customHeight="1" x14ac:dyDescent="0.2">
      <c r="A84" s="3854"/>
      <c r="B84" s="3858"/>
      <c r="C84" s="3859"/>
      <c r="D84" s="3739"/>
      <c r="E84" s="3739"/>
      <c r="F84" s="3739"/>
      <c r="G84" s="3798"/>
      <c r="H84" s="3801"/>
      <c r="I84" s="3804"/>
      <c r="J84" s="3773"/>
      <c r="K84" s="3720"/>
      <c r="L84" s="3720"/>
      <c r="M84" s="3776"/>
      <c r="N84" s="3774"/>
      <c r="O84" s="2644"/>
      <c r="P84" s="3790"/>
      <c r="Q84" s="3646"/>
      <c r="R84" s="3779"/>
      <c r="S84" s="3788"/>
      <c r="T84" s="3789"/>
      <c r="U84" s="3789"/>
      <c r="V84" s="3290"/>
      <c r="W84" s="2512">
        <v>2500000</v>
      </c>
      <c r="X84" s="2512">
        <v>0</v>
      </c>
      <c r="Y84" s="2512">
        <v>0</v>
      </c>
      <c r="Z84" s="2628">
        <v>88</v>
      </c>
      <c r="AA84" s="2705" t="s">
        <v>2498</v>
      </c>
      <c r="AB84" s="3663"/>
      <c r="AC84" s="3663"/>
      <c r="AD84" s="3663"/>
      <c r="AE84" s="3787"/>
      <c r="AF84" s="3663"/>
      <c r="AG84" s="3663"/>
      <c r="AH84" s="3663"/>
      <c r="AI84" s="3663"/>
      <c r="AJ84" s="3663"/>
      <c r="AK84" s="3663"/>
      <c r="AL84" s="3663"/>
      <c r="AM84" s="3663"/>
      <c r="AN84" s="3663"/>
      <c r="AO84" s="3663"/>
      <c r="AP84" s="3663"/>
      <c r="AQ84" s="3663"/>
      <c r="AR84" s="3663"/>
      <c r="AS84" s="3663"/>
      <c r="AT84" s="3663"/>
      <c r="AU84" s="3663"/>
      <c r="AV84" s="3663"/>
      <c r="AW84" s="3663"/>
      <c r="AX84" s="3663"/>
      <c r="AY84" s="3663"/>
      <c r="AZ84" s="3663"/>
      <c r="BA84" s="3787"/>
      <c r="BB84" s="3786"/>
      <c r="BC84" s="3786"/>
      <c r="BD84" s="3786"/>
      <c r="BE84" s="3786"/>
      <c r="BF84" s="3664"/>
      <c r="BG84" s="3663"/>
      <c r="BH84" s="3663"/>
      <c r="BI84" s="3749"/>
      <c r="BJ84" s="3749"/>
      <c r="BK84" s="3750"/>
      <c r="BL84" s="3774"/>
      <c r="BM84" s="3785"/>
      <c r="BN84" s="3783"/>
      <c r="BO84" s="3748"/>
      <c r="BP84" s="3783"/>
      <c r="BQ84" s="3748"/>
      <c r="BR84" s="3622"/>
      <c r="BS84" s="440"/>
      <c r="BT84" s="440"/>
    </row>
    <row r="85" spans="1:72" s="438" customFormat="1" ht="52.5" customHeight="1" x14ac:dyDescent="0.2">
      <c r="A85" s="3854"/>
      <c r="B85" s="3858"/>
      <c r="C85" s="3859"/>
      <c r="D85" s="3739"/>
      <c r="E85" s="3739"/>
      <c r="F85" s="3739"/>
      <c r="G85" s="3798"/>
      <c r="H85" s="3801"/>
      <c r="I85" s="3804"/>
      <c r="J85" s="3773"/>
      <c r="K85" s="3720"/>
      <c r="L85" s="3720"/>
      <c r="M85" s="3776"/>
      <c r="N85" s="3774"/>
      <c r="O85" s="2644"/>
      <c r="P85" s="3790"/>
      <c r="Q85" s="3646"/>
      <c r="R85" s="3779"/>
      <c r="S85" s="3788"/>
      <c r="T85" s="3789"/>
      <c r="U85" s="3789"/>
      <c r="V85" s="3297" t="s">
        <v>2508</v>
      </c>
      <c r="W85" s="2512">
        <v>18700000</v>
      </c>
      <c r="X85" s="2512">
        <v>18700000</v>
      </c>
      <c r="Y85" s="2512">
        <v>18700000</v>
      </c>
      <c r="Z85" s="2628">
        <v>20</v>
      </c>
      <c r="AA85" s="2705" t="s">
        <v>124</v>
      </c>
      <c r="AB85" s="3663"/>
      <c r="AC85" s="3663"/>
      <c r="AD85" s="3663"/>
      <c r="AE85" s="3787"/>
      <c r="AF85" s="3663"/>
      <c r="AG85" s="3663"/>
      <c r="AH85" s="3663"/>
      <c r="AI85" s="3663"/>
      <c r="AJ85" s="3663"/>
      <c r="AK85" s="3663"/>
      <c r="AL85" s="3663"/>
      <c r="AM85" s="3663"/>
      <c r="AN85" s="3663"/>
      <c r="AO85" s="3663"/>
      <c r="AP85" s="3663"/>
      <c r="AQ85" s="3663"/>
      <c r="AR85" s="3663"/>
      <c r="AS85" s="3663"/>
      <c r="AT85" s="3663"/>
      <c r="AU85" s="3663"/>
      <c r="AV85" s="3663"/>
      <c r="AW85" s="3663"/>
      <c r="AX85" s="3663"/>
      <c r="AY85" s="3663"/>
      <c r="AZ85" s="3663"/>
      <c r="BA85" s="3787"/>
      <c r="BB85" s="3786"/>
      <c r="BC85" s="3786"/>
      <c r="BD85" s="3786"/>
      <c r="BE85" s="3786"/>
      <c r="BF85" s="3664"/>
      <c r="BG85" s="3663"/>
      <c r="BH85" s="3663"/>
      <c r="BI85" s="3749"/>
      <c r="BJ85" s="3749"/>
      <c r="BK85" s="3750"/>
      <c r="BL85" s="3774"/>
      <c r="BM85" s="3785"/>
      <c r="BN85" s="3783"/>
      <c r="BO85" s="3748"/>
      <c r="BP85" s="3783"/>
      <c r="BQ85" s="3748"/>
      <c r="BR85" s="3622"/>
      <c r="BS85" s="440"/>
      <c r="BT85" s="440"/>
    </row>
    <row r="86" spans="1:72" s="438" customFormat="1" ht="52.5" customHeight="1" x14ac:dyDescent="0.2">
      <c r="A86" s="3854"/>
      <c r="B86" s="3858"/>
      <c r="C86" s="3859"/>
      <c r="D86" s="3739"/>
      <c r="E86" s="3739"/>
      <c r="F86" s="3739"/>
      <c r="G86" s="3798"/>
      <c r="H86" s="3801"/>
      <c r="I86" s="3804"/>
      <c r="J86" s="3773"/>
      <c r="K86" s="3720"/>
      <c r="L86" s="3720"/>
      <c r="M86" s="3776"/>
      <c r="N86" s="3774"/>
      <c r="O86" s="2644"/>
      <c r="P86" s="3790"/>
      <c r="Q86" s="3646"/>
      <c r="R86" s="3779"/>
      <c r="S86" s="3788"/>
      <c r="T86" s="3789"/>
      <c r="U86" s="3789"/>
      <c r="V86" s="3290"/>
      <c r="W86" s="2512">
        <v>2500000</v>
      </c>
      <c r="X86" s="2512">
        <v>0</v>
      </c>
      <c r="Y86" s="2512">
        <v>0</v>
      </c>
      <c r="Z86" s="2628">
        <v>88</v>
      </c>
      <c r="AA86" s="2705" t="s">
        <v>2498</v>
      </c>
      <c r="AB86" s="3663"/>
      <c r="AC86" s="3663"/>
      <c r="AD86" s="3663"/>
      <c r="AE86" s="3787"/>
      <c r="AF86" s="3663"/>
      <c r="AG86" s="3663"/>
      <c r="AH86" s="3663"/>
      <c r="AI86" s="3663"/>
      <c r="AJ86" s="3663"/>
      <c r="AK86" s="3663"/>
      <c r="AL86" s="3663"/>
      <c r="AM86" s="3663"/>
      <c r="AN86" s="3663"/>
      <c r="AO86" s="3663"/>
      <c r="AP86" s="3663"/>
      <c r="AQ86" s="3663"/>
      <c r="AR86" s="3663"/>
      <c r="AS86" s="3663"/>
      <c r="AT86" s="3663"/>
      <c r="AU86" s="3663"/>
      <c r="AV86" s="3663"/>
      <c r="AW86" s="3663"/>
      <c r="AX86" s="3663"/>
      <c r="AY86" s="3663"/>
      <c r="AZ86" s="3663"/>
      <c r="BA86" s="3787"/>
      <c r="BB86" s="3786"/>
      <c r="BC86" s="3786"/>
      <c r="BD86" s="3786"/>
      <c r="BE86" s="3786"/>
      <c r="BF86" s="3664"/>
      <c r="BG86" s="3663"/>
      <c r="BH86" s="3663"/>
      <c r="BI86" s="3749"/>
      <c r="BJ86" s="3749"/>
      <c r="BK86" s="3750"/>
      <c r="BL86" s="3774"/>
      <c r="BM86" s="3785"/>
      <c r="BN86" s="3783"/>
      <c r="BO86" s="3748"/>
      <c r="BP86" s="3783"/>
      <c r="BQ86" s="3748"/>
      <c r="BR86" s="3622"/>
      <c r="BS86" s="440"/>
      <c r="BT86" s="440"/>
    </row>
    <row r="87" spans="1:72" s="438" customFormat="1" ht="46.5" customHeight="1" x14ac:dyDescent="0.2">
      <c r="A87" s="3854"/>
      <c r="B87" s="3858"/>
      <c r="C87" s="3859"/>
      <c r="D87" s="3739"/>
      <c r="E87" s="3739"/>
      <c r="F87" s="3739"/>
      <c r="G87" s="3798"/>
      <c r="H87" s="3801"/>
      <c r="I87" s="3804"/>
      <c r="J87" s="3773"/>
      <c r="K87" s="3720"/>
      <c r="L87" s="3720"/>
      <c r="M87" s="3776"/>
      <c r="N87" s="3774"/>
      <c r="O87" s="2644" t="s">
        <v>2509</v>
      </c>
      <c r="P87" s="3790"/>
      <c r="Q87" s="3646"/>
      <c r="R87" s="3779"/>
      <c r="S87" s="3788"/>
      <c r="T87" s="3789"/>
      <c r="U87" s="3789"/>
      <c r="V87" s="2645" t="s">
        <v>2510</v>
      </c>
      <c r="W87" s="2512">
        <v>6000000</v>
      </c>
      <c r="X87" s="2512">
        <f>3000000+3000000</f>
        <v>6000000</v>
      </c>
      <c r="Y87" s="2511">
        <f>3000000+3000000</f>
        <v>6000000</v>
      </c>
      <c r="Z87" s="2628">
        <v>20</v>
      </c>
      <c r="AA87" s="2705" t="s">
        <v>124</v>
      </c>
      <c r="AB87" s="3663"/>
      <c r="AC87" s="3663"/>
      <c r="AD87" s="3663"/>
      <c r="AE87" s="3787"/>
      <c r="AF87" s="3663"/>
      <c r="AG87" s="3663"/>
      <c r="AH87" s="3663"/>
      <c r="AI87" s="3663"/>
      <c r="AJ87" s="3663"/>
      <c r="AK87" s="3663"/>
      <c r="AL87" s="3663"/>
      <c r="AM87" s="3663"/>
      <c r="AN87" s="3663"/>
      <c r="AO87" s="3663"/>
      <c r="AP87" s="3663"/>
      <c r="AQ87" s="3663"/>
      <c r="AR87" s="3663"/>
      <c r="AS87" s="3663"/>
      <c r="AT87" s="3663"/>
      <c r="AU87" s="3663"/>
      <c r="AV87" s="3663"/>
      <c r="AW87" s="3663"/>
      <c r="AX87" s="3663"/>
      <c r="AY87" s="3663"/>
      <c r="AZ87" s="3663"/>
      <c r="BA87" s="3787"/>
      <c r="BB87" s="3786"/>
      <c r="BC87" s="3786"/>
      <c r="BD87" s="3786"/>
      <c r="BE87" s="3786"/>
      <c r="BF87" s="3664"/>
      <c r="BG87" s="3663"/>
      <c r="BH87" s="3663"/>
      <c r="BI87" s="3749"/>
      <c r="BJ87" s="3749"/>
      <c r="BK87" s="3750"/>
      <c r="BL87" s="3774"/>
      <c r="BM87" s="3785"/>
      <c r="BN87" s="3783"/>
      <c r="BO87" s="3748"/>
      <c r="BP87" s="3783"/>
      <c r="BQ87" s="3748"/>
      <c r="BR87" s="3622"/>
      <c r="BS87" s="440"/>
      <c r="BT87" s="440"/>
    </row>
    <row r="88" spans="1:72" s="438" customFormat="1" ht="58.5" customHeight="1" x14ac:dyDescent="0.2">
      <c r="A88" s="3854"/>
      <c r="B88" s="3858"/>
      <c r="C88" s="3859"/>
      <c r="D88" s="3739"/>
      <c r="E88" s="3739"/>
      <c r="F88" s="3739"/>
      <c r="G88" s="3798"/>
      <c r="H88" s="3801"/>
      <c r="I88" s="3804"/>
      <c r="J88" s="3773"/>
      <c r="K88" s="3720"/>
      <c r="L88" s="3720"/>
      <c r="M88" s="3776"/>
      <c r="N88" s="3774"/>
      <c r="O88" s="2644"/>
      <c r="P88" s="3790"/>
      <c r="Q88" s="3646"/>
      <c r="R88" s="3779"/>
      <c r="S88" s="3788"/>
      <c r="T88" s="3789"/>
      <c r="U88" s="3789"/>
      <c r="V88" s="2645" t="s">
        <v>2511</v>
      </c>
      <c r="W88" s="2512">
        <v>2500000</v>
      </c>
      <c r="X88" s="2512">
        <f>1000000+1000000+220442+230842</f>
        <v>2451284</v>
      </c>
      <c r="Y88" s="2512">
        <f>1000000+1000000+220442+230842</f>
        <v>2451284</v>
      </c>
      <c r="Z88" s="2628">
        <v>20</v>
      </c>
      <c r="AA88" s="2705" t="s">
        <v>124</v>
      </c>
      <c r="AB88" s="3663"/>
      <c r="AC88" s="3663"/>
      <c r="AD88" s="3663"/>
      <c r="AE88" s="3787"/>
      <c r="AF88" s="3663"/>
      <c r="AG88" s="3663"/>
      <c r="AH88" s="3663"/>
      <c r="AI88" s="3663"/>
      <c r="AJ88" s="3663"/>
      <c r="AK88" s="3663"/>
      <c r="AL88" s="3663"/>
      <c r="AM88" s="3663"/>
      <c r="AN88" s="3663"/>
      <c r="AO88" s="3663"/>
      <c r="AP88" s="3663"/>
      <c r="AQ88" s="3663"/>
      <c r="AR88" s="3663"/>
      <c r="AS88" s="3663"/>
      <c r="AT88" s="3663"/>
      <c r="AU88" s="3663"/>
      <c r="AV88" s="3663"/>
      <c r="AW88" s="3663"/>
      <c r="AX88" s="3663"/>
      <c r="AY88" s="3663"/>
      <c r="AZ88" s="3663"/>
      <c r="BA88" s="3787"/>
      <c r="BB88" s="3786"/>
      <c r="BC88" s="3786"/>
      <c r="BD88" s="3786"/>
      <c r="BE88" s="3786"/>
      <c r="BF88" s="3664"/>
      <c r="BG88" s="3663"/>
      <c r="BH88" s="3663"/>
      <c r="BI88" s="3749"/>
      <c r="BJ88" s="3749"/>
      <c r="BK88" s="3750"/>
      <c r="BL88" s="3774"/>
      <c r="BM88" s="3785"/>
      <c r="BN88" s="3783"/>
      <c r="BO88" s="3748"/>
      <c r="BP88" s="3783"/>
      <c r="BQ88" s="3748"/>
      <c r="BR88" s="3622"/>
      <c r="BS88" s="440"/>
      <c r="BT88" s="440"/>
    </row>
    <row r="89" spans="1:72" s="438" customFormat="1" ht="66.75" customHeight="1" x14ac:dyDescent="0.2">
      <c r="A89" s="3854"/>
      <c r="B89" s="3858"/>
      <c r="C89" s="3859"/>
      <c r="D89" s="3739"/>
      <c r="E89" s="3739"/>
      <c r="F89" s="3739"/>
      <c r="G89" s="3798"/>
      <c r="H89" s="3801"/>
      <c r="I89" s="3804"/>
      <c r="J89" s="3777"/>
      <c r="K89" s="3778"/>
      <c r="L89" s="3778"/>
      <c r="M89" s="3623"/>
      <c r="N89" s="3774"/>
      <c r="O89" s="2644"/>
      <c r="P89" s="3790"/>
      <c r="Q89" s="3646"/>
      <c r="R89" s="3780"/>
      <c r="S89" s="3788"/>
      <c r="T89" s="3789"/>
      <c r="U89" s="3789"/>
      <c r="V89" s="2645" t="s">
        <v>2512</v>
      </c>
      <c r="W89" s="2512">
        <v>2000000</v>
      </c>
      <c r="X89" s="2512">
        <f>1000000+1000000</f>
        <v>2000000</v>
      </c>
      <c r="Y89" s="2512">
        <f>1000000+1000000</f>
        <v>2000000</v>
      </c>
      <c r="Z89" s="2628">
        <v>20</v>
      </c>
      <c r="AA89" s="2705" t="s">
        <v>124</v>
      </c>
      <c r="AB89" s="3663"/>
      <c r="AC89" s="3663"/>
      <c r="AD89" s="3663"/>
      <c r="AE89" s="3787"/>
      <c r="AF89" s="3663"/>
      <c r="AG89" s="3663"/>
      <c r="AH89" s="3663"/>
      <c r="AI89" s="3663"/>
      <c r="AJ89" s="3663"/>
      <c r="AK89" s="3663"/>
      <c r="AL89" s="3663"/>
      <c r="AM89" s="3663"/>
      <c r="AN89" s="3663"/>
      <c r="AO89" s="3663"/>
      <c r="AP89" s="3663"/>
      <c r="AQ89" s="3663"/>
      <c r="AR89" s="3663"/>
      <c r="AS89" s="3663"/>
      <c r="AT89" s="3663"/>
      <c r="AU89" s="3663"/>
      <c r="AV89" s="3663"/>
      <c r="AW89" s="3663"/>
      <c r="AX89" s="3663"/>
      <c r="AY89" s="3663"/>
      <c r="AZ89" s="3663"/>
      <c r="BA89" s="3787"/>
      <c r="BB89" s="3786"/>
      <c r="BC89" s="3786"/>
      <c r="BD89" s="3786"/>
      <c r="BE89" s="3786"/>
      <c r="BF89" s="3664"/>
      <c r="BG89" s="3663"/>
      <c r="BH89" s="3663"/>
      <c r="BI89" s="3749"/>
      <c r="BJ89" s="3749"/>
      <c r="BK89" s="3750"/>
      <c r="BL89" s="3774"/>
      <c r="BM89" s="3785"/>
      <c r="BN89" s="3783"/>
      <c r="BO89" s="3748"/>
      <c r="BP89" s="3783"/>
      <c r="BQ89" s="3748"/>
      <c r="BR89" s="3622"/>
      <c r="BS89" s="440"/>
      <c r="BT89" s="440"/>
    </row>
    <row r="90" spans="1:72" s="438" customFormat="1" ht="36.75" customHeight="1" x14ac:dyDescent="0.2">
      <c r="A90" s="3854"/>
      <c r="B90" s="3858"/>
      <c r="C90" s="3859"/>
      <c r="D90" s="3739"/>
      <c r="E90" s="3739"/>
      <c r="F90" s="3739"/>
      <c r="G90" s="3798"/>
      <c r="H90" s="3801"/>
      <c r="I90" s="3804"/>
      <c r="J90" s="3777"/>
      <c r="K90" s="3778"/>
      <c r="L90" s="3778"/>
      <c r="M90" s="3623"/>
      <c r="N90" s="3774"/>
      <c r="O90" s="2644"/>
      <c r="P90" s="3790"/>
      <c r="Q90" s="3646"/>
      <c r="R90" s="3780"/>
      <c r="S90" s="3788"/>
      <c r="T90" s="3789"/>
      <c r="U90" s="3789"/>
      <c r="V90" s="2645" t="s">
        <v>2499</v>
      </c>
      <c r="W90" s="2512">
        <v>3400000</v>
      </c>
      <c r="X90" s="2512">
        <v>3400000</v>
      </c>
      <c r="Y90" s="2511">
        <v>3400000</v>
      </c>
      <c r="Z90" s="2628">
        <v>20</v>
      </c>
      <c r="AA90" s="2705" t="s">
        <v>124</v>
      </c>
      <c r="AB90" s="3663"/>
      <c r="AC90" s="3663"/>
      <c r="AD90" s="3663"/>
      <c r="AE90" s="3787"/>
      <c r="AF90" s="3663"/>
      <c r="AG90" s="3663"/>
      <c r="AH90" s="3663"/>
      <c r="AI90" s="3663"/>
      <c r="AJ90" s="3663"/>
      <c r="AK90" s="3663"/>
      <c r="AL90" s="3663"/>
      <c r="AM90" s="3663"/>
      <c r="AN90" s="3663"/>
      <c r="AO90" s="3663"/>
      <c r="AP90" s="3663"/>
      <c r="AQ90" s="3663"/>
      <c r="AR90" s="3663"/>
      <c r="AS90" s="3663"/>
      <c r="AT90" s="3663"/>
      <c r="AU90" s="3663"/>
      <c r="AV90" s="3663"/>
      <c r="AW90" s="3663"/>
      <c r="AX90" s="3663"/>
      <c r="AY90" s="3663"/>
      <c r="AZ90" s="3663"/>
      <c r="BA90" s="3787"/>
      <c r="BB90" s="3786"/>
      <c r="BC90" s="3786"/>
      <c r="BD90" s="3786"/>
      <c r="BE90" s="3786"/>
      <c r="BF90" s="3664"/>
      <c r="BG90" s="3663"/>
      <c r="BH90" s="3663"/>
      <c r="BI90" s="3749"/>
      <c r="BJ90" s="3749"/>
      <c r="BK90" s="3750"/>
      <c r="BL90" s="3774"/>
      <c r="BM90" s="3785"/>
      <c r="BN90" s="3783"/>
      <c r="BO90" s="3748"/>
      <c r="BP90" s="3783"/>
      <c r="BQ90" s="3748"/>
      <c r="BR90" s="3622"/>
      <c r="BS90" s="440"/>
      <c r="BT90" s="440"/>
    </row>
    <row r="91" spans="1:72" s="438" customFormat="1" ht="45.75" customHeight="1" x14ac:dyDescent="0.2">
      <c r="A91" s="3854"/>
      <c r="B91" s="3858"/>
      <c r="C91" s="3859"/>
      <c r="D91" s="3739"/>
      <c r="E91" s="3739"/>
      <c r="F91" s="3739"/>
      <c r="G91" s="3798"/>
      <c r="H91" s="3801"/>
      <c r="I91" s="3804"/>
      <c r="J91" s="3773">
        <v>229</v>
      </c>
      <c r="K91" s="3665" t="s">
        <v>2513</v>
      </c>
      <c r="L91" s="3720" t="s">
        <v>2514</v>
      </c>
      <c r="M91" s="3776">
        <v>13</v>
      </c>
      <c r="N91" s="3774">
        <v>13</v>
      </c>
      <c r="O91" s="2644"/>
      <c r="P91" s="3790"/>
      <c r="Q91" s="3646"/>
      <c r="R91" s="3775">
        <f>SUM(W91:W93)/S68</f>
        <v>0.14613778705636743</v>
      </c>
      <c r="S91" s="3788"/>
      <c r="T91" s="3789"/>
      <c r="U91" s="3789"/>
      <c r="V91" s="3297" t="s">
        <v>2515</v>
      </c>
      <c r="W91" s="2512">
        <v>15400000</v>
      </c>
      <c r="X91" s="2512">
        <f>5000000+2733000+4133000+2960000</f>
        <v>14826000</v>
      </c>
      <c r="Y91" s="2511">
        <f>5000000+2723000+4133000+2960000</f>
        <v>14816000</v>
      </c>
      <c r="Z91" s="2628">
        <v>20</v>
      </c>
      <c r="AA91" s="2705" t="s">
        <v>124</v>
      </c>
      <c r="AB91" s="3663"/>
      <c r="AC91" s="3663"/>
      <c r="AD91" s="3663"/>
      <c r="AE91" s="3787"/>
      <c r="AF91" s="3663"/>
      <c r="AG91" s="3663"/>
      <c r="AH91" s="3663"/>
      <c r="AI91" s="3663"/>
      <c r="AJ91" s="3663"/>
      <c r="AK91" s="3663"/>
      <c r="AL91" s="3663"/>
      <c r="AM91" s="3663"/>
      <c r="AN91" s="3663"/>
      <c r="AO91" s="3663"/>
      <c r="AP91" s="3663"/>
      <c r="AQ91" s="3663"/>
      <c r="AR91" s="3663"/>
      <c r="AS91" s="3663"/>
      <c r="AT91" s="3663"/>
      <c r="AU91" s="3663"/>
      <c r="AV91" s="3663"/>
      <c r="AW91" s="3663"/>
      <c r="AX91" s="3663"/>
      <c r="AY91" s="3663"/>
      <c r="AZ91" s="3663"/>
      <c r="BA91" s="3787"/>
      <c r="BB91" s="3786"/>
      <c r="BC91" s="3786"/>
      <c r="BD91" s="3786"/>
      <c r="BE91" s="3786"/>
      <c r="BF91" s="3664"/>
      <c r="BG91" s="3663"/>
      <c r="BH91" s="3663"/>
      <c r="BI91" s="3749"/>
      <c r="BJ91" s="3749"/>
      <c r="BK91" s="3750"/>
      <c r="BL91" s="3774"/>
      <c r="BM91" s="3785"/>
      <c r="BN91" s="3783"/>
      <c r="BO91" s="3748"/>
      <c r="BP91" s="3783"/>
      <c r="BQ91" s="3748"/>
      <c r="BR91" s="3622"/>
      <c r="BS91" s="440"/>
      <c r="BT91" s="440"/>
    </row>
    <row r="92" spans="1:72" s="438" customFormat="1" ht="34.5" customHeight="1" x14ac:dyDescent="0.2">
      <c r="A92" s="3854"/>
      <c r="B92" s="3858"/>
      <c r="C92" s="3859"/>
      <c r="D92" s="3739"/>
      <c r="E92" s="3739"/>
      <c r="F92" s="3739"/>
      <c r="G92" s="3798"/>
      <c r="H92" s="3801"/>
      <c r="I92" s="3804"/>
      <c r="J92" s="3773"/>
      <c r="K92" s="3665"/>
      <c r="L92" s="3720"/>
      <c r="M92" s="3776"/>
      <c r="N92" s="3774"/>
      <c r="O92" s="2644"/>
      <c r="P92" s="3790"/>
      <c r="Q92" s="3646"/>
      <c r="R92" s="3775"/>
      <c r="S92" s="3788"/>
      <c r="T92" s="3789"/>
      <c r="U92" s="3789"/>
      <c r="V92" s="3290"/>
      <c r="W92" s="2512">
        <v>5000000</v>
      </c>
      <c r="X92" s="2512">
        <v>0</v>
      </c>
      <c r="Y92" s="2511">
        <v>0</v>
      </c>
      <c r="Z92" s="2628">
        <v>88</v>
      </c>
      <c r="AA92" s="2705" t="s">
        <v>2498</v>
      </c>
      <c r="AB92" s="3663"/>
      <c r="AC92" s="3663"/>
      <c r="AD92" s="3663"/>
      <c r="AE92" s="3787"/>
      <c r="AF92" s="3663"/>
      <c r="AG92" s="3663"/>
      <c r="AH92" s="3663"/>
      <c r="AI92" s="3663"/>
      <c r="AJ92" s="3663"/>
      <c r="AK92" s="3663"/>
      <c r="AL92" s="3663"/>
      <c r="AM92" s="3663"/>
      <c r="AN92" s="3663"/>
      <c r="AO92" s="3663"/>
      <c r="AP92" s="3663"/>
      <c r="AQ92" s="3663"/>
      <c r="AR92" s="3663"/>
      <c r="AS92" s="3663"/>
      <c r="AT92" s="3663"/>
      <c r="AU92" s="3663"/>
      <c r="AV92" s="3663"/>
      <c r="AW92" s="3663"/>
      <c r="AX92" s="3663"/>
      <c r="AY92" s="3663"/>
      <c r="AZ92" s="3663"/>
      <c r="BA92" s="3787"/>
      <c r="BB92" s="3786"/>
      <c r="BC92" s="3786"/>
      <c r="BD92" s="3786"/>
      <c r="BE92" s="3786"/>
      <c r="BF92" s="3664"/>
      <c r="BG92" s="3663"/>
      <c r="BH92" s="3663"/>
      <c r="BI92" s="3749"/>
      <c r="BJ92" s="3749"/>
      <c r="BK92" s="3750"/>
      <c r="BL92" s="3774"/>
      <c r="BM92" s="3785"/>
      <c r="BN92" s="3783"/>
      <c r="BO92" s="3748"/>
      <c r="BP92" s="3783"/>
      <c r="BQ92" s="3748"/>
      <c r="BR92" s="3622"/>
      <c r="BS92" s="440"/>
      <c r="BT92" s="440"/>
    </row>
    <row r="93" spans="1:72" s="438" customFormat="1" ht="69.75" customHeight="1" x14ac:dyDescent="0.2">
      <c r="A93" s="3854"/>
      <c r="B93" s="3858"/>
      <c r="C93" s="3859"/>
      <c r="D93" s="3739"/>
      <c r="E93" s="3739"/>
      <c r="F93" s="3739"/>
      <c r="G93" s="3798"/>
      <c r="H93" s="3801"/>
      <c r="I93" s="3804"/>
      <c r="J93" s="3773"/>
      <c r="K93" s="3665"/>
      <c r="L93" s="3720"/>
      <c r="M93" s="3776"/>
      <c r="N93" s="3774"/>
      <c r="O93" s="2644"/>
      <c r="P93" s="3790"/>
      <c r="Q93" s="3646"/>
      <c r="R93" s="3775"/>
      <c r="S93" s="3788"/>
      <c r="T93" s="3789"/>
      <c r="U93" s="3789"/>
      <c r="V93" s="2645" t="s">
        <v>2516</v>
      </c>
      <c r="W93" s="2512">
        <v>49600000</v>
      </c>
      <c r="X93" s="2512">
        <f>4550000+6591000+11591000+10849000+3000000+4233000+7836000</f>
        <v>48650000</v>
      </c>
      <c r="Y93" s="2511">
        <f>22732000+7266000+1902000+800000+5038000</f>
        <v>37738000</v>
      </c>
      <c r="Z93" s="2628">
        <v>20</v>
      </c>
      <c r="AA93" s="2705" t="s">
        <v>124</v>
      </c>
      <c r="AB93" s="3663"/>
      <c r="AC93" s="3663"/>
      <c r="AD93" s="3663"/>
      <c r="AE93" s="3787"/>
      <c r="AF93" s="3663"/>
      <c r="AG93" s="3663"/>
      <c r="AH93" s="3663"/>
      <c r="AI93" s="3663"/>
      <c r="AJ93" s="3663"/>
      <c r="AK93" s="3663"/>
      <c r="AL93" s="3663"/>
      <c r="AM93" s="3663"/>
      <c r="AN93" s="3663"/>
      <c r="AO93" s="3663"/>
      <c r="AP93" s="3663"/>
      <c r="AQ93" s="3663"/>
      <c r="AR93" s="3663"/>
      <c r="AS93" s="3663"/>
      <c r="AT93" s="3663"/>
      <c r="AU93" s="3663"/>
      <c r="AV93" s="3663"/>
      <c r="AW93" s="3663"/>
      <c r="AX93" s="3663"/>
      <c r="AY93" s="3663"/>
      <c r="AZ93" s="3663"/>
      <c r="BA93" s="3787"/>
      <c r="BB93" s="3786"/>
      <c r="BC93" s="3786"/>
      <c r="BD93" s="3786"/>
      <c r="BE93" s="3786"/>
      <c r="BF93" s="3664"/>
      <c r="BG93" s="3663"/>
      <c r="BH93" s="3663"/>
      <c r="BI93" s="3749"/>
      <c r="BJ93" s="3749"/>
      <c r="BK93" s="3750"/>
      <c r="BL93" s="3774"/>
      <c r="BM93" s="3785"/>
      <c r="BN93" s="3783"/>
      <c r="BO93" s="3748"/>
      <c r="BP93" s="3783"/>
      <c r="BQ93" s="3748"/>
      <c r="BR93" s="3622"/>
      <c r="BS93" s="440"/>
      <c r="BT93" s="440"/>
    </row>
    <row r="94" spans="1:72" s="438" customFormat="1" ht="51" customHeight="1" x14ac:dyDescent="0.2">
      <c r="A94" s="3854"/>
      <c r="B94" s="3858"/>
      <c r="C94" s="3859"/>
      <c r="D94" s="3739"/>
      <c r="E94" s="3739"/>
      <c r="F94" s="3739"/>
      <c r="G94" s="3798"/>
      <c r="H94" s="3801"/>
      <c r="I94" s="3804"/>
      <c r="J94" s="3773">
        <v>230</v>
      </c>
      <c r="K94" s="3720" t="s">
        <v>2517</v>
      </c>
      <c r="L94" s="3720" t="s">
        <v>2518</v>
      </c>
      <c r="M94" s="3774">
        <v>1</v>
      </c>
      <c r="N94" s="3774">
        <v>1</v>
      </c>
      <c r="O94" s="2644"/>
      <c r="P94" s="3790"/>
      <c r="Q94" s="3646"/>
      <c r="R94" s="3775">
        <f>SUM(W94:W97)/S68</f>
        <v>0.11273486430062631</v>
      </c>
      <c r="S94" s="3788"/>
      <c r="T94" s="3789"/>
      <c r="U94" s="3789"/>
      <c r="V94" s="2645" t="s">
        <v>2519</v>
      </c>
      <c r="W94" s="2512">
        <v>17000000</v>
      </c>
      <c r="X94" s="2512">
        <f>8050000+8950000</f>
        <v>17000000</v>
      </c>
      <c r="Y94" s="2511">
        <f>8050000+4452000</f>
        <v>12502000</v>
      </c>
      <c r="Z94" s="2628">
        <v>20</v>
      </c>
      <c r="AA94" s="2705" t="s">
        <v>124</v>
      </c>
      <c r="AB94" s="3663"/>
      <c r="AC94" s="3663"/>
      <c r="AD94" s="3663"/>
      <c r="AE94" s="3787"/>
      <c r="AF94" s="3663"/>
      <c r="AG94" s="3663"/>
      <c r="AH94" s="3663"/>
      <c r="AI94" s="3663"/>
      <c r="AJ94" s="3663"/>
      <c r="AK94" s="3663"/>
      <c r="AL94" s="3663"/>
      <c r="AM94" s="3663"/>
      <c r="AN94" s="3663"/>
      <c r="AO94" s="3663"/>
      <c r="AP94" s="3663"/>
      <c r="AQ94" s="3663"/>
      <c r="AR94" s="3663"/>
      <c r="AS94" s="3663"/>
      <c r="AT94" s="3663"/>
      <c r="AU94" s="3663"/>
      <c r="AV94" s="3663"/>
      <c r="AW94" s="3663"/>
      <c r="AX94" s="3663"/>
      <c r="AY94" s="3663"/>
      <c r="AZ94" s="3663"/>
      <c r="BA94" s="3787"/>
      <c r="BB94" s="3786"/>
      <c r="BC94" s="3786"/>
      <c r="BD94" s="3786"/>
      <c r="BE94" s="3786"/>
      <c r="BF94" s="3664"/>
      <c r="BG94" s="3663"/>
      <c r="BH94" s="3663"/>
      <c r="BI94" s="3749"/>
      <c r="BJ94" s="3749"/>
      <c r="BK94" s="3750"/>
      <c r="BL94" s="3774"/>
      <c r="BM94" s="3785"/>
      <c r="BN94" s="3783"/>
      <c r="BO94" s="3748"/>
      <c r="BP94" s="3783"/>
      <c r="BQ94" s="3748"/>
      <c r="BR94" s="3622"/>
      <c r="BS94" s="440"/>
      <c r="BT94" s="440"/>
    </row>
    <row r="95" spans="1:72" s="438" customFormat="1" ht="51" customHeight="1" x14ac:dyDescent="0.2">
      <c r="A95" s="3854"/>
      <c r="B95" s="3858"/>
      <c r="C95" s="3859"/>
      <c r="D95" s="3739"/>
      <c r="E95" s="3739"/>
      <c r="F95" s="3739"/>
      <c r="G95" s="3798"/>
      <c r="H95" s="3801"/>
      <c r="I95" s="3804"/>
      <c r="J95" s="3773"/>
      <c r="K95" s="3720"/>
      <c r="L95" s="3720"/>
      <c r="M95" s="3774"/>
      <c r="N95" s="3774"/>
      <c r="O95" s="2644"/>
      <c r="P95" s="3790"/>
      <c r="Q95" s="3646"/>
      <c r="R95" s="3775"/>
      <c r="S95" s="3788"/>
      <c r="T95" s="3789"/>
      <c r="U95" s="3789"/>
      <c r="V95" s="2645" t="s">
        <v>2520</v>
      </c>
      <c r="W95" s="2512">
        <v>10000000</v>
      </c>
      <c r="X95" s="2512">
        <f>3500000+6027000+473000</f>
        <v>10000000</v>
      </c>
      <c r="Y95" s="2511">
        <f>3500000+462000+473000</f>
        <v>4435000</v>
      </c>
      <c r="Z95" s="2628">
        <v>20</v>
      </c>
      <c r="AA95" s="2705" t="s">
        <v>124</v>
      </c>
      <c r="AB95" s="3663"/>
      <c r="AC95" s="3663"/>
      <c r="AD95" s="3663"/>
      <c r="AE95" s="3787"/>
      <c r="AF95" s="3663"/>
      <c r="AG95" s="3663"/>
      <c r="AH95" s="3663"/>
      <c r="AI95" s="3663"/>
      <c r="AJ95" s="3663"/>
      <c r="AK95" s="3663"/>
      <c r="AL95" s="3663"/>
      <c r="AM95" s="3663"/>
      <c r="AN95" s="3663"/>
      <c r="AO95" s="3663"/>
      <c r="AP95" s="3663"/>
      <c r="AQ95" s="3663"/>
      <c r="AR95" s="3663"/>
      <c r="AS95" s="3663"/>
      <c r="AT95" s="3663"/>
      <c r="AU95" s="3663"/>
      <c r="AV95" s="3663"/>
      <c r="AW95" s="3663"/>
      <c r="AX95" s="3663"/>
      <c r="AY95" s="3663"/>
      <c r="AZ95" s="3663"/>
      <c r="BA95" s="3787"/>
      <c r="BB95" s="3786"/>
      <c r="BC95" s="3786"/>
      <c r="BD95" s="3786"/>
      <c r="BE95" s="3786"/>
      <c r="BF95" s="3664"/>
      <c r="BG95" s="3663"/>
      <c r="BH95" s="3663"/>
      <c r="BI95" s="3749"/>
      <c r="BJ95" s="3749"/>
      <c r="BK95" s="3750"/>
      <c r="BL95" s="3774"/>
      <c r="BM95" s="3785"/>
      <c r="BN95" s="3783"/>
      <c r="BO95" s="3748"/>
      <c r="BP95" s="3783"/>
      <c r="BQ95" s="3748"/>
      <c r="BR95" s="3622"/>
      <c r="BS95" s="440"/>
      <c r="BT95" s="440"/>
    </row>
    <row r="96" spans="1:72" s="438" customFormat="1" ht="41.25" customHeight="1" x14ac:dyDescent="0.2">
      <c r="A96" s="3854"/>
      <c r="B96" s="3858"/>
      <c r="C96" s="3859"/>
      <c r="D96" s="3739"/>
      <c r="E96" s="3739"/>
      <c r="F96" s="3739"/>
      <c r="G96" s="3798"/>
      <c r="H96" s="3801"/>
      <c r="I96" s="3804"/>
      <c r="J96" s="3773"/>
      <c r="K96" s="3720"/>
      <c r="L96" s="3720"/>
      <c r="M96" s="3774"/>
      <c r="N96" s="3774"/>
      <c r="O96" s="2644"/>
      <c r="P96" s="3790"/>
      <c r="Q96" s="3646"/>
      <c r="R96" s="3775"/>
      <c r="S96" s="3788"/>
      <c r="T96" s="3789"/>
      <c r="U96" s="3789"/>
      <c r="V96" s="2645" t="s">
        <v>2521</v>
      </c>
      <c r="W96" s="2512">
        <v>22000000</v>
      </c>
      <c r="X96" s="2512">
        <f>4050000+3091000+2567333+9342000+2949000</f>
        <v>21999333</v>
      </c>
      <c r="Y96" s="2511">
        <f>9708333+7144000+2949000</f>
        <v>19801333</v>
      </c>
      <c r="Z96" s="2628">
        <v>20</v>
      </c>
      <c r="AA96" s="2705" t="s">
        <v>124</v>
      </c>
      <c r="AB96" s="3663"/>
      <c r="AC96" s="3663"/>
      <c r="AD96" s="3663"/>
      <c r="AE96" s="3787"/>
      <c r="AF96" s="3663"/>
      <c r="AG96" s="3663"/>
      <c r="AH96" s="3663"/>
      <c r="AI96" s="3663"/>
      <c r="AJ96" s="3663"/>
      <c r="AK96" s="3663"/>
      <c r="AL96" s="3663"/>
      <c r="AM96" s="3663"/>
      <c r="AN96" s="3663"/>
      <c r="AO96" s="3663"/>
      <c r="AP96" s="3663"/>
      <c r="AQ96" s="3663"/>
      <c r="AR96" s="3663"/>
      <c r="AS96" s="3663"/>
      <c r="AT96" s="3663"/>
      <c r="AU96" s="3663"/>
      <c r="AV96" s="3663"/>
      <c r="AW96" s="3663"/>
      <c r="AX96" s="3663"/>
      <c r="AY96" s="3663"/>
      <c r="AZ96" s="3663"/>
      <c r="BA96" s="3787"/>
      <c r="BB96" s="3786"/>
      <c r="BC96" s="3786"/>
      <c r="BD96" s="3786"/>
      <c r="BE96" s="3786"/>
      <c r="BF96" s="3664"/>
      <c r="BG96" s="3663"/>
      <c r="BH96" s="3663"/>
      <c r="BI96" s="3749"/>
      <c r="BJ96" s="3749"/>
      <c r="BK96" s="3750"/>
      <c r="BL96" s="3774"/>
      <c r="BM96" s="3785"/>
      <c r="BN96" s="3783"/>
      <c r="BO96" s="3748"/>
      <c r="BP96" s="3783"/>
      <c r="BQ96" s="3748"/>
      <c r="BR96" s="3622"/>
      <c r="BS96" s="440"/>
      <c r="BT96" s="440"/>
    </row>
    <row r="97" spans="1:72" s="438" customFormat="1" ht="30.75" customHeight="1" x14ac:dyDescent="0.2">
      <c r="A97" s="3854"/>
      <c r="B97" s="3858"/>
      <c r="C97" s="3859"/>
      <c r="D97" s="3739"/>
      <c r="E97" s="3739"/>
      <c r="F97" s="3739"/>
      <c r="G97" s="3799"/>
      <c r="H97" s="3802"/>
      <c r="I97" s="3805"/>
      <c r="J97" s="3773"/>
      <c r="K97" s="3720"/>
      <c r="L97" s="3720"/>
      <c r="M97" s="3774"/>
      <c r="N97" s="3774"/>
      <c r="O97" s="2709"/>
      <c r="P97" s="3790"/>
      <c r="Q97" s="3647"/>
      <c r="R97" s="3775"/>
      <c r="S97" s="3788"/>
      <c r="T97" s="3789"/>
      <c r="U97" s="3789"/>
      <c r="V97" s="2645" t="s">
        <v>2499</v>
      </c>
      <c r="W97" s="2512">
        <v>5000000</v>
      </c>
      <c r="X97" s="2512">
        <v>5000000</v>
      </c>
      <c r="Y97" s="2511">
        <v>1922280</v>
      </c>
      <c r="Z97" s="2628">
        <v>20</v>
      </c>
      <c r="AA97" s="2705" t="s">
        <v>124</v>
      </c>
      <c r="AB97" s="3663"/>
      <c r="AC97" s="3663"/>
      <c r="AD97" s="3663"/>
      <c r="AE97" s="3787"/>
      <c r="AF97" s="3663"/>
      <c r="AG97" s="3663"/>
      <c r="AH97" s="3663"/>
      <c r="AI97" s="3663"/>
      <c r="AJ97" s="3663"/>
      <c r="AK97" s="3663"/>
      <c r="AL97" s="3663"/>
      <c r="AM97" s="3663"/>
      <c r="AN97" s="3663"/>
      <c r="AO97" s="3663"/>
      <c r="AP97" s="3663"/>
      <c r="AQ97" s="3663"/>
      <c r="AR97" s="3663"/>
      <c r="AS97" s="3663"/>
      <c r="AT97" s="3663"/>
      <c r="AU97" s="3663"/>
      <c r="AV97" s="3663"/>
      <c r="AW97" s="3663"/>
      <c r="AX97" s="3663"/>
      <c r="AY97" s="3663"/>
      <c r="AZ97" s="3663"/>
      <c r="BA97" s="3787"/>
      <c r="BB97" s="3786"/>
      <c r="BC97" s="3786"/>
      <c r="BD97" s="3786"/>
      <c r="BE97" s="3786"/>
      <c r="BF97" s="3664"/>
      <c r="BG97" s="3663"/>
      <c r="BH97" s="3663"/>
      <c r="BI97" s="3749"/>
      <c r="BJ97" s="3749"/>
      <c r="BK97" s="3750"/>
      <c r="BL97" s="3774"/>
      <c r="BM97" s="3785"/>
      <c r="BN97" s="3783"/>
      <c r="BO97" s="3748"/>
      <c r="BP97" s="3783"/>
      <c r="BQ97" s="3748"/>
      <c r="BR97" s="3622"/>
      <c r="BS97" s="440"/>
      <c r="BT97" s="440"/>
    </row>
    <row r="98" spans="1:72" s="440" customFormat="1" ht="15" customHeight="1" x14ac:dyDescent="0.2">
      <c r="A98" s="3854"/>
      <c r="B98" s="3858"/>
      <c r="C98" s="3859"/>
      <c r="D98" s="3739"/>
      <c r="E98" s="3739"/>
      <c r="F98" s="3739"/>
      <c r="G98" s="2619">
        <v>79</v>
      </c>
      <c r="H98" s="1109" t="s">
        <v>2522</v>
      </c>
      <c r="I98" s="1109"/>
      <c r="J98" s="2655"/>
      <c r="K98" s="2656"/>
      <c r="L98" s="2657"/>
      <c r="M98" s="2710"/>
      <c r="N98" s="2710"/>
      <c r="O98" s="1215"/>
      <c r="P98" s="1238"/>
      <c r="Q98" s="1111"/>
      <c r="R98" s="2658"/>
      <c r="S98" s="2659"/>
      <c r="T98" s="2657"/>
      <c r="U98" s="2656"/>
      <c r="V98" s="2656"/>
      <c r="W98" s="2711"/>
      <c r="X98" s="2660"/>
      <c r="Y98" s="2661"/>
      <c r="Z98" s="2696"/>
      <c r="AA98" s="2696"/>
      <c r="AB98" s="1114"/>
      <c r="AC98" s="1114"/>
      <c r="AD98" s="1114"/>
      <c r="AE98" s="1114"/>
      <c r="AF98" s="1114"/>
      <c r="AG98" s="1114"/>
      <c r="AH98" s="1114"/>
      <c r="AI98" s="1114"/>
      <c r="AJ98" s="1114"/>
      <c r="AK98" s="1114"/>
      <c r="AL98" s="1114"/>
      <c r="AM98" s="1114"/>
      <c r="AN98" s="1114"/>
      <c r="AO98" s="1114"/>
      <c r="AP98" s="1114"/>
      <c r="AQ98" s="1114"/>
      <c r="AR98" s="1114"/>
      <c r="AS98" s="1114"/>
      <c r="AT98" s="1114"/>
      <c r="AU98" s="1114"/>
      <c r="AV98" s="1114"/>
      <c r="AW98" s="1114"/>
      <c r="AX98" s="1114"/>
      <c r="AY98" s="1114"/>
      <c r="AZ98" s="1114"/>
      <c r="BA98" s="1114"/>
      <c r="BB98" s="1114"/>
      <c r="BC98" s="1114"/>
      <c r="BD98" s="1114"/>
      <c r="BE98" s="1114"/>
      <c r="BF98" s="1114"/>
      <c r="BG98" s="1114"/>
      <c r="BH98" s="1114"/>
      <c r="BI98" s="2395"/>
      <c r="BJ98" s="2395"/>
      <c r="BK98" s="1114"/>
      <c r="BL98" s="1114"/>
      <c r="BM98" s="1114"/>
      <c r="BN98" s="1114"/>
      <c r="BO98" s="1114"/>
      <c r="BP98" s="1114"/>
      <c r="BQ98" s="1114"/>
      <c r="BR98" s="2697"/>
    </row>
    <row r="99" spans="1:72" s="438" customFormat="1" ht="55.5" customHeight="1" x14ac:dyDescent="0.2">
      <c r="A99" s="3854"/>
      <c r="B99" s="3858"/>
      <c r="C99" s="3859"/>
      <c r="D99" s="3739"/>
      <c r="E99" s="3739"/>
      <c r="F99" s="3739"/>
      <c r="G99" s="440"/>
      <c r="H99" s="2626"/>
      <c r="I99" s="396"/>
      <c r="J99" s="3757">
        <v>231</v>
      </c>
      <c r="K99" s="3720" t="s">
        <v>2523</v>
      </c>
      <c r="L99" s="3720" t="s">
        <v>2524</v>
      </c>
      <c r="M99" s="3718">
        <v>1</v>
      </c>
      <c r="N99" s="3672">
        <v>1</v>
      </c>
      <c r="O99" s="2712"/>
      <c r="P99" s="3772" t="s">
        <v>2525</v>
      </c>
      <c r="Q99" s="3698" t="s">
        <v>2526</v>
      </c>
      <c r="R99" s="3761">
        <f>SUM(W99:W100)/S99</f>
        <v>0.10344827586206896</v>
      </c>
      <c r="S99" s="3704">
        <f>SUM(W99:W108)</f>
        <v>58000000</v>
      </c>
      <c r="T99" s="3665" t="s">
        <v>2527</v>
      </c>
      <c r="U99" s="3665" t="s">
        <v>2528</v>
      </c>
      <c r="V99" s="2645" t="s">
        <v>2529</v>
      </c>
      <c r="W99" s="2713">
        <v>3000000</v>
      </c>
      <c r="X99" s="2512">
        <f>500000+500000+1500000+350000</f>
        <v>2850000</v>
      </c>
      <c r="Y99" s="2512">
        <v>2500000</v>
      </c>
      <c r="Z99" s="2628" t="s">
        <v>123</v>
      </c>
      <c r="AA99" s="2673" t="s">
        <v>180</v>
      </c>
      <c r="AB99" s="3769">
        <v>638</v>
      </c>
      <c r="AC99" s="3736" t="s">
        <v>2530</v>
      </c>
      <c r="AD99" s="3736">
        <v>612</v>
      </c>
      <c r="AE99" s="3736" t="s">
        <v>2531</v>
      </c>
      <c r="AF99" s="3762">
        <v>380</v>
      </c>
      <c r="AG99" s="3762" t="s">
        <v>2532</v>
      </c>
      <c r="AH99" s="3762">
        <v>280</v>
      </c>
      <c r="AI99" s="3762" t="s">
        <v>2533</v>
      </c>
      <c r="AJ99" s="3762">
        <v>161</v>
      </c>
      <c r="AK99" s="3762" t="s">
        <v>2534</v>
      </c>
      <c r="AL99" s="3762">
        <v>429</v>
      </c>
      <c r="AM99" s="3762">
        <v>250</v>
      </c>
      <c r="AN99" s="3762"/>
      <c r="AO99" s="2714"/>
      <c r="AP99" s="3762"/>
      <c r="AQ99" s="2714"/>
      <c r="AR99" s="3762"/>
      <c r="AS99" s="2714"/>
      <c r="AT99" s="3762"/>
      <c r="AU99" s="2714"/>
      <c r="AV99" s="3762"/>
      <c r="AW99" s="2714"/>
      <c r="AX99" s="3762"/>
      <c r="AY99" s="2714"/>
      <c r="AZ99" s="3762"/>
      <c r="BA99" s="2714"/>
      <c r="BB99" s="3762"/>
      <c r="BC99" s="2714"/>
      <c r="BD99" s="3762"/>
      <c r="BE99" s="2714"/>
      <c r="BF99" s="3764">
        <v>1250</v>
      </c>
      <c r="BG99" s="3764" t="s">
        <v>2535</v>
      </c>
      <c r="BH99" s="3764">
        <v>4</v>
      </c>
      <c r="BI99" s="3625">
        <f>SUM(X99:X108)</f>
        <v>54613333</v>
      </c>
      <c r="BJ99" s="3625">
        <f>SUM(Y99:Y108)</f>
        <v>50450000</v>
      </c>
      <c r="BK99" s="3628">
        <f>BJ99/BI99</f>
        <v>0.92376709548197689</v>
      </c>
      <c r="BL99" s="2715"/>
      <c r="BM99" s="2715"/>
      <c r="BN99" s="3616">
        <v>43490</v>
      </c>
      <c r="BO99" s="3616">
        <v>43570</v>
      </c>
      <c r="BP99" s="3616">
        <v>43819</v>
      </c>
      <c r="BQ99" s="3616">
        <v>43819</v>
      </c>
      <c r="BR99" s="3622" t="s">
        <v>2456</v>
      </c>
      <c r="BS99" s="440"/>
      <c r="BT99" s="440"/>
    </row>
    <row r="100" spans="1:72" s="438" customFormat="1" ht="68.25" customHeight="1" x14ac:dyDescent="0.2">
      <c r="A100" s="3854"/>
      <c r="B100" s="3858"/>
      <c r="C100" s="3859"/>
      <c r="D100" s="3739"/>
      <c r="E100" s="3739"/>
      <c r="F100" s="3739"/>
      <c r="G100" s="440"/>
      <c r="H100" s="2631"/>
      <c r="I100" s="2632"/>
      <c r="J100" s="3757"/>
      <c r="K100" s="3720"/>
      <c r="L100" s="3720"/>
      <c r="M100" s="3718"/>
      <c r="N100" s="3672"/>
      <c r="O100" s="2712"/>
      <c r="P100" s="3661"/>
      <c r="Q100" s="3648"/>
      <c r="R100" s="3761"/>
      <c r="S100" s="3644"/>
      <c r="T100" s="3665"/>
      <c r="U100" s="3665"/>
      <c r="V100" s="2645" t="s">
        <v>2536</v>
      </c>
      <c r="W100" s="2713">
        <v>3000000</v>
      </c>
      <c r="X100" s="2511">
        <f>1500000+1500000</f>
        <v>3000000</v>
      </c>
      <c r="Y100" s="2511">
        <f>1500000+1500000</f>
        <v>3000000</v>
      </c>
      <c r="Z100" s="2716">
        <v>20</v>
      </c>
      <c r="AA100" s="2673" t="s">
        <v>124</v>
      </c>
      <c r="AB100" s="3770"/>
      <c r="AC100" s="3767"/>
      <c r="AD100" s="3767"/>
      <c r="AE100" s="3767"/>
      <c r="AF100" s="3763"/>
      <c r="AG100" s="3763"/>
      <c r="AH100" s="3763"/>
      <c r="AI100" s="3763"/>
      <c r="AJ100" s="3763"/>
      <c r="AK100" s="3763"/>
      <c r="AL100" s="3763"/>
      <c r="AM100" s="3763"/>
      <c r="AN100" s="3763"/>
      <c r="AO100" s="2717"/>
      <c r="AP100" s="3763"/>
      <c r="AQ100" s="2717"/>
      <c r="AR100" s="3763"/>
      <c r="AS100" s="2717"/>
      <c r="AT100" s="3763"/>
      <c r="AU100" s="2717"/>
      <c r="AV100" s="3763"/>
      <c r="AW100" s="2717"/>
      <c r="AX100" s="3763"/>
      <c r="AY100" s="2717"/>
      <c r="AZ100" s="3763"/>
      <c r="BA100" s="2717"/>
      <c r="BB100" s="3763"/>
      <c r="BC100" s="2717"/>
      <c r="BD100" s="3763"/>
      <c r="BE100" s="2717"/>
      <c r="BF100" s="3765"/>
      <c r="BG100" s="3765"/>
      <c r="BH100" s="3765"/>
      <c r="BI100" s="3626"/>
      <c r="BJ100" s="3626"/>
      <c r="BK100" s="3629"/>
      <c r="BL100" s="2718"/>
      <c r="BM100" s="2718"/>
      <c r="BN100" s="3617"/>
      <c r="BO100" s="3617"/>
      <c r="BP100" s="3617"/>
      <c r="BQ100" s="3617"/>
      <c r="BR100" s="3623"/>
      <c r="BS100" s="440"/>
      <c r="BT100" s="440"/>
    </row>
    <row r="101" spans="1:72" s="438" customFormat="1" ht="33" customHeight="1" x14ac:dyDescent="0.2">
      <c r="A101" s="3854"/>
      <c r="B101" s="3858"/>
      <c r="C101" s="3859"/>
      <c r="D101" s="3739"/>
      <c r="E101" s="3739"/>
      <c r="F101" s="3739"/>
      <c r="G101" s="440"/>
      <c r="H101" s="2631"/>
      <c r="I101" s="2632"/>
      <c r="J101" s="3757">
        <v>232</v>
      </c>
      <c r="K101" s="3720" t="s">
        <v>2537</v>
      </c>
      <c r="L101" s="3720" t="s">
        <v>2538</v>
      </c>
      <c r="M101" s="3718">
        <v>12</v>
      </c>
      <c r="N101" s="3673">
        <v>12</v>
      </c>
      <c r="O101" s="2712" t="s">
        <v>2539</v>
      </c>
      <c r="P101" s="3661"/>
      <c r="Q101" s="3648"/>
      <c r="R101" s="3761">
        <f>SUM(W101:W105)/S99</f>
        <v>0.7068965517241379</v>
      </c>
      <c r="S101" s="3644"/>
      <c r="T101" s="3665"/>
      <c r="U101" s="3665"/>
      <c r="V101" s="3223" t="s">
        <v>2540</v>
      </c>
      <c r="W101" s="2719">
        <v>5000000</v>
      </c>
      <c r="X101" s="1170">
        <f>1500000+500000+3000000</f>
        <v>5000000</v>
      </c>
      <c r="Y101" s="1170">
        <v>4500000</v>
      </c>
      <c r="Z101" s="2716">
        <v>20</v>
      </c>
      <c r="AA101" s="2673" t="s">
        <v>124</v>
      </c>
      <c r="AB101" s="3770"/>
      <c r="AC101" s="3767"/>
      <c r="AD101" s="3767"/>
      <c r="AE101" s="3767"/>
      <c r="AF101" s="3763"/>
      <c r="AG101" s="3763"/>
      <c r="AH101" s="3763"/>
      <c r="AI101" s="3763"/>
      <c r="AJ101" s="3763"/>
      <c r="AK101" s="3763"/>
      <c r="AL101" s="3763"/>
      <c r="AM101" s="3763"/>
      <c r="AN101" s="3763"/>
      <c r="AO101" s="2717"/>
      <c r="AP101" s="3763"/>
      <c r="AQ101" s="2717"/>
      <c r="AR101" s="3763"/>
      <c r="AS101" s="2717"/>
      <c r="AT101" s="3763"/>
      <c r="AU101" s="2717"/>
      <c r="AV101" s="3763"/>
      <c r="AW101" s="2717"/>
      <c r="AX101" s="3763"/>
      <c r="AY101" s="2717"/>
      <c r="AZ101" s="3763"/>
      <c r="BA101" s="2717"/>
      <c r="BB101" s="3763"/>
      <c r="BC101" s="2717"/>
      <c r="BD101" s="3763"/>
      <c r="BE101" s="2717"/>
      <c r="BF101" s="3765"/>
      <c r="BG101" s="3765"/>
      <c r="BH101" s="3765"/>
      <c r="BI101" s="3626"/>
      <c r="BJ101" s="3626"/>
      <c r="BK101" s="3629"/>
      <c r="BL101" s="2718"/>
      <c r="BM101" s="2718"/>
      <c r="BN101" s="3617"/>
      <c r="BO101" s="3617"/>
      <c r="BP101" s="3617"/>
      <c r="BQ101" s="3617"/>
      <c r="BR101" s="3623"/>
      <c r="BS101" s="440"/>
      <c r="BT101" s="440"/>
    </row>
    <row r="102" spans="1:72" s="438" customFormat="1" ht="30.75" customHeight="1" x14ac:dyDescent="0.2">
      <c r="A102" s="3854"/>
      <c r="B102" s="3858"/>
      <c r="C102" s="3859"/>
      <c r="D102" s="3739"/>
      <c r="E102" s="3739"/>
      <c r="F102" s="3739"/>
      <c r="G102" s="440"/>
      <c r="H102" s="2631"/>
      <c r="I102" s="2632"/>
      <c r="J102" s="3757"/>
      <c r="K102" s="3720"/>
      <c r="L102" s="3720"/>
      <c r="M102" s="3718"/>
      <c r="N102" s="3654"/>
      <c r="O102" s="2712"/>
      <c r="P102" s="3661"/>
      <c r="Q102" s="3648"/>
      <c r="R102" s="3761"/>
      <c r="S102" s="3644"/>
      <c r="T102" s="3665"/>
      <c r="U102" s="3665"/>
      <c r="V102" s="3224"/>
      <c r="W102" s="2719">
        <v>30000000</v>
      </c>
      <c r="X102" s="1170">
        <v>30000000</v>
      </c>
      <c r="Y102" s="2627">
        <v>28500000</v>
      </c>
      <c r="Z102" s="2716">
        <v>88</v>
      </c>
      <c r="AA102" s="2673" t="s">
        <v>2541</v>
      </c>
      <c r="AB102" s="3770"/>
      <c r="AC102" s="3767"/>
      <c r="AD102" s="3767"/>
      <c r="AE102" s="3767"/>
      <c r="AF102" s="3763"/>
      <c r="AG102" s="3763"/>
      <c r="AH102" s="3763"/>
      <c r="AI102" s="3763"/>
      <c r="AJ102" s="3763"/>
      <c r="AK102" s="3763"/>
      <c r="AL102" s="3763"/>
      <c r="AM102" s="3763"/>
      <c r="AN102" s="3763"/>
      <c r="AO102" s="2717"/>
      <c r="AP102" s="3763"/>
      <c r="AQ102" s="2717"/>
      <c r="AR102" s="3763"/>
      <c r="AS102" s="2717"/>
      <c r="AT102" s="3763"/>
      <c r="AU102" s="2717"/>
      <c r="AV102" s="3763"/>
      <c r="AW102" s="2717"/>
      <c r="AX102" s="3763"/>
      <c r="AY102" s="2717"/>
      <c r="AZ102" s="3763"/>
      <c r="BA102" s="2717"/>
      <c r="BB102" s="3763"/>
      <c r="BC102" s="2717"/>
      <c r="BD102" s="3763"/>
      <c r="BE102" s="2717"/>
      <c r="BF102" s="3765"/>
      <c r="BG102" s="3765"/>
      <c r="BH102" s="3765"/>
      <c r="BI102" s="3626"/>
      <c r="BJ102" s="3626"/>
      <c r="BK102" s="3629"/>
      <c r="BL102" s="2720">
        <v>20</v>
      </c>
      <c r="BM102" s="2721" t="s">
        <v>2542</v>
      </c>
      <c r="BN102" s="3617"/>
      <c r="BO102" s="3617"/>
      <c r="BP102" s="3617"/>
      <c r="BQ102" s="3617"/>
      <c r="BR102" s="3623"/>
      <c r="BS102" s="440"/>
      <c r="BT102" s="440"/>
    </row>
    <row r="103" spans="1:72" s="438" customFormat="1" ht="64.5" customHeight="1" x14ac:dyDescent="0.2">
      <c r="A103" s="3854"/>
      <c r="B103" s="3858"/>
      <c r="C103" s="3859"/>
      <c r="D103" s="3739"/>
      <c r="E103" s="3739"/>
      <c r="F103" s="3739"/>
      <c r="G103" s="440"/>
      <c r="H103" s="2631"/>
      <c r="I103" s="2632"/>
      <c r="J103" s="3757"/>
      <c r="K103" s="3720"/>
      <c r="L103" s="3720"/>
      <c r="M103" s="3718"/>
      <c r="N103" s="3654"/>
      <c r="O103" s="2647"/>
      <c r="P103" s="3661"/>
      <c r="Q103" s="3648"/>
      <c r="R103" s="3761"/>
      <c r="S103" s="3644"/>
      <c r="T103" s="3665"/>
      <c r="U103" s="3665"/>
      <c r="V103" s="2645" t="s">
        <v>2543</v>
      </c>
      <c r="W103" s="2713">
        <v>5000000</v>
      </c>
      <c r="X103" s="2511">
        <f>500000+1050000+500000+450000+2500000</f>
        <v>5000000</v>
      </c>
      <c r="Y103" s="2511">
        <f>500000+1050000+500000+450000+2500000</f>
        <v>5000000</v>
      </c>
      <c r="Z103" s="2716">
        <v>20</v>
      </c>
      <c r="AA103" s="2673" t="s">
        <v>124</v>
      </c>
      <c r="AB103" s="3770"/>
      <c r="AC103" s="3767"/>
      <c r="AD103" s="3767"/>
      <c r="AE103" s="3767"/>
      <c r="AF103" s="3763"/>
      <c r="AG103" s="3763"/>
      <c r="AH103" s="3763"/>
      <c r="AI103" s="3763"/>
      <c r="AJ103" s="3763"/>
      <c r="AK103" s="3763"/>
      <c r="AL103" s="3763"/>
      <c r="AM103" s="3763"/>
      <c r="AN103" s="3763"/>
      <c r="AO103" s="2717"/>
      <c r="AP103" s="3763"/>
      <c r="AQ103" s="2717"/>
      <c r="AR103" s="3763"/>
      <c r="AS103" s="2717"/>
      <c r="AT103" s="3763"/>
      <c r="AU103" s="2717"/>
      <c r="AV103" s="3763"/>
      <c r="AW103" s="2717"/>
      <c r="AX103" s="3763"/>
      <c r="AY103" s="2717"/>
      <c r="AZ103" s="3763"/>
      <c r="BA103" s="2717"/>
      <c r="BB103" s="3763"/>
      <c r="BC103" s="2717"/>
      <c r="BD103" s="3763"/>
      <c r="BE103" s="2717"/>
      <c r="BF103" s="3765"/>
      <c r="BG103" s="3765"/>
      <c r="BH103" s="3765"/>
      <c r="BI103" s="3626"/>
      <c r="BJ103" s="3626"/>
      <c r="BK103" s="3629"/>
      <c r="BL103" s="2722">
        <v>88</v>
      </c>
      <c r="BM103" s="2718" t="s">
        <v>2544</v>
      </c>
      <c r="BN103" s="3617"/>
      <c r="BO103" s="3617"/>
      <c r="BP103" s="3617"/>
      <c r="BQ103" s="3617"/>
      <c r="BR103" s="3623"/>
      <c r="BS103" s="3690"/>
      <c r="BT103" s="440"/>
    </row>
    <row r="104" spans="1:72" s="438" customFormat="1" ht="26.25" customHeight="1" x14ac:dyDescent="0.2">
      <c r="A104" s="3854"/>
      <c r="B104" s="3858"/>
      <c r="C104" s="3859"/>
      <c r="D104" s="3739"/>
      <c r="E104" s="3739"/>
      <c r="F104" s="3739"/>
      <c r="G104" s="440"/>
      <c r="H104" s="2631"/>
      <c r="I104" s="2632"/>
      <c r="J104" s="3757"/>
      <c r="K104" s="3720"/>
      <c r="L104" s="3720"/>
      <c r="M104" s="3718"/>
      <c r="N104" s="3654"/>
      <c r="O104" s="2647"/>
      <c r="P104" s="3661"/>
      <c r="Q104" s="3648"/>
      <c r="R104" s="3761"/>
      <c r="S104" s="3644"/>
      <c r="T104" s="3665"/>
      <c r="U104" s="3665"/>
      <c r="V104" s="2698" t="s">
        <v>2545</v>
      </c>
      <c r="W104" s="2713"/>
      <c r="X104" s="2511"/>
      <c r="Y104" s="2511"/>
      <c r="Z104" s="2716">
        <v>20</v>
      </c>
      <c r="AA104" s="2673" t="s">
        <v>124</v>
      </c>
      <c r="AB104" s="3770"/>
      <c r="AC104" s="3767"/>
      <c r="AD104" s="3767"/>
      <c r="AE104" s="3767"/>
      <c r="AF104" s="3763"/>
      <c r="AG104" s="3763"/>
      <c r="AH104" s="3763"/>
      <c r="AI104" s="3763"/>
      <c r="AJ104" s="3763"/>
      <c r="AK104" s="3763"/>
      <c r="AL104" s="3763"/>
      <c r="AM104" s="3763"/>
      <c r="AN104" s="3763"/>
      <c r="AO104" s="2717"/>
      <c r="AP104" s="3763"/>
      <c r="AQ104" s="2717"/>
      <c r="AR104" s="3763"/>
      <c r="AS104" s="2717"/>
      <c r="AT104" s="3763"/>
      <c r="AU104" s="2717"/>
      <c r="AV104" s="3763"/>
      <c r="AW104" s="2717"/>
      <c r="AX104" s="3763"/>
      <c r="AY104" s="2717"/>
      <c r="AZ104" s="3763"/>
      <c r="BA104" s="2717"/>
      <c r="BB104" s="3763"/>
      <c r="BC104" s="2717"/>
      <c r="BD104" s="3763"/>
      <c r="BE104" s="2717"/>
      <c r="BF104" s="3765"/>
      <c r="BG104" s="3765"/>
      <c r="BH104" s="3765"/>
      <c r="BI104" s="3626"/>
      <c r="BJ104" s="3626"/>
      <c r="BK104" s="3629"/>
      <c r="BL104" s="2722"/>
      <c r="BM104" s="2718"/>
      <c r="BN104" s="3617"/>
      <c r="BO104" s="3617"/>
      <c r="BP104" s="3617"/>
      <c r="BQ104" s="3617"/>
      <c r="BR104" s="3623"/>
      <c r="BS104" s="3690"/>
      <c r="BT104" s="440"/>
    </row>
    <row r="105" spans="1:72" s="438" customFormat="1" ht="31.5" customHeight="1" x14ac:dyDescent="0.2">
      <c r="A105" s="3854"/>
      <c r="B105" s="3858"/>
      <c r="C105" s="3859"/>
      <c r="D105" s="3739"/>
      <c r="E105" s="3739"/>
      <c r="F105" s="3739"/>
      <c r="G105" s="440"/>
      <c r="H105" s="2631"/>
      <c r="I105" s="2632"/>
      <c r="J105" s="3757"/>
      <c r="K105" s="3720"/>
      <c r="L105" s="3720"/>
      <c r="M105" s="3718"/>
      <c r="N105" s="3655"/>
      <c r="O105" s="2712"/>
      <c r="P105" s="3661"/>
      <c r="Q105" s="3648"/>
      <c r="R105" s="3761"/>
      <c r="S105" s="3644"/>
      <c r="T105" s="3665"/>
      <c r="U105" s="3665"/>
      <c r="V105" s="2495" t="s">
        <v>2499</v>
      </c>
      <c r="W105" s="2713">
        <v>1000000</v>
      </c>
      <c r="X105" s="2511">
        <v>1000000</v>
      </c>
      <c r="Y105" s="2512">
        <v>0</v>
      </c>
      <c r="Z105" s="2716">
        <v>20</v>
      </c>
      <c r="AA105" s="2673" t="s">
        <v>124</v>
      </c>
      <c r="AB105" s="3770"/>
      <c r="AC105" s="3767"/>
      <c r="AD105" s="3767"/>
      <c r="AE105" s="3767"/>
      <c r="AF105" s="3763"/>
      <c r="AG105" s="3763"/>
      <c r="AH105" s="3763"/>
      <c r="AI105" s="3763"/>
      <c r="AJ105" s="3763"/>
      <c r="AK105" s="3763"/>
      <c r="AL105" s="3763"/>
      <c r="AM105" s="3763"/>
      <c r="AN105" s="3763"/>
      <c r="AO105" s="2717"/>
      <c r="AP105" s="3763"/>
      <c r="AQ105" s="2717"/>
      <c r="AR105" s="3763"/>
      <c r="AS105" s="2717"/>
      <c r="AT105" s="3763"/>
      <c r="AU105" s="2717"/>
      <c r="AV105" s="3763"/>
      <c r="AW105" s="2717"/>
      <c r="AX105" s="3763"/>
      <c r="AY105" s="2717"/>
      <c r="AZ105" s="3763"/>
      <c r="BA105" s="2717"/>
      <c r="BB105" s="3763"/>
      <c r="BC105" s="2717"/>
      <c r="BD105" s="3763"/>
      <c r="BE105" s="2717"/>
      <c r="BF105" s="3765"/>
      <c r="BG105" s="3765"/>
      <c r="BH105" s="3765"/>
      <c r="BI105" s="3626"/>
      <c r="BJ105" s="3626"/>
      <c r="BK105" s="3629"/>
      <c r="BL105" s="2718"/>
      <c r="BM105" s="2718"/>
      <c r="BN105" s="3617"/>
      <c r="BO105" s="3617"/>
      <c r="BP105" s="3617"/>
      <c r="BQ105" s="3617"/>
      <c r="BR105" s="3623"/>
      <c r="BS105" s="3690"/>
      <c r="BT105" s="440"/>
    </row>
    <row r="106" spans="1:72" s="438" customFormat="1" ht="45" customHeight="1" x14ac:dyDescent="0.2">
      <c r="A106" s="3854"/>
      <c r="B106" s="3858"/>
      <c r="C106" s="3859"/>
      <c r="D106" s="3739"/>
      <c r="E106" s="3739"/>
      <c r="F106" s="3739"/>
      <c r="G106" s="440"/>
      <c r="H106" s="2631"/>
      <c r="I106" s="2632"/>
      <c r="J106" s="3757">
        <v>233</v>
      </c>
      <c r="K106" s="3720" t="s">
        <v>2546</v>
      </c>
      <c r="L106" s="3720" t="s">
        <v>2547</v>
      </c>
      <c r="M106" s="3718">
        <v>1</v>
      </c>
      <c r="N106" s="3687">
        <v>0.75</v>
      </c>
      <c r="O106" s="2712" t="s">
        <v>2548</v>
      </c>
      <c r="P106" s="3661"/>
      <c r="Q106" s="3648"/>
      <c r="R106" s="3758">
        <f>SUM(W106:W109)/S99</f>
        <v>0.18965517241379309</v>
      </c>
      <c r="S106" s="3644"/>
      <c r="T106" s="3665"/>
      <c r="U106" s="3665"/>
      <c r="V106" s="2645" t="s">
        <v>2549</v>
      </c>
      <c r="W106" s="2719">
        <v>8000000</v>
      </c>
      <c r="X106" s="2511">
        <v>7763333</v>
      </c>
      <c r="Y106" s="2511">
        <v>6950000</v>
      </c>
      <c r="Z106" s="2716">
        <v>20</v>
      </c>
      <c r="AA106" s="2673" t="s">
        <v>124</v>
      </c>
      <c r="AB106" s="3770"/>
      <c r="AC106" s="3767"/>
      <c r="AD106" s="3767"/>
      <c r="AE106" s="3767"/>
      <c r="AF106" s="3763"/>
      <c r="AG106" s="3763"/>
      <c r="AH106" s="3763"/>
      <c r="AI106" s="3763"/>
      <c r="AJ106" s="3763"/>
      <c r="AK106" s="3763"/>
      <c r="AL106" s="3763"/>
      <c r="AM106" s="3763"/>
      <c r="AN106" s="3763"/>
      <c r="AO106" s="2717"/>
      <c r="AP106" s="3763"/>
      <c r="AQ106" s="2717"/>
      <c r="AR106" s="3763"/>
      <c r="AS106" s="2717"/>
      <c r="AT106" s="3763"/>
      <c r="AU106" s="2717"/>
      <c r="AV106" s="3763"/>
      <c r="AW106" s="2717"/>
      <c r="AX106" s="3763"/>
      <c r="AY106" s="2717"/>
      <c r="AZ106" s="3763"/>
      <c r="BA106" s="2717"/>
      <c r="BB106" s="3763"/>
      <c r="BC106" s="2717"/>
      <c r="BD106" s="3763"/>
      <c r="BE106" s="2717"/>
      <c r="BF106" s="3765"/>
      <c r="BG106" s="3765"/>
      <c r="BH106" s="3765"/>
      <c r="BI106" s="3626"/>
      <c r="BJ106" s="3626"/>
      <c r="BK106" s="3629"/>
      <c r="BL106" s="2718"/>
      <c r="BM106" s="2718"/>
      <c r="BN106" s="3617"/>
      <c r="BO106" s="3617"/>
      <c r="BP106" s="3617"/>
      <c r="BQ106" s="3617"/>
      <c r="BR106" s="3623"/>
      <c r="BS106" s="440"/>
      <c r="BT106" s="440"/>
    </row>
    <row r="107" spans="1:72" s="438" customFormat="1" ht="65.25" customHeight="1" x14ac:dyDescent="0.2">
      <c r="A107" s="3854"/>
      <c r="B107" s="3858"/>
      <c r="C107" s="3859"/>
      <c r="D107" s="3739"/>
      <c r="E107" s="3739"/>
      <c r="F107" s="3739"/>
      <c r="G107" s="440"/>
      <c r="H107" s="2631"/>
      <c r="I107" s="2632"/>
      <c r="J107" s="3757"/>
      <c r="K107" s="3720"/>
      <c r="L107" s="3720"/>
      <c r="M107" s="3718"/>
      <c r="N107" s="3687"/>
      <c r="O107" s="2712"/>
      <c r="P107" s="3661"/>
      <c r="Q107" s="3648"/>
      <c r="R107" s="3759"/>
      <c r="S107" s="3644"/>
      <c r="T107" s="3665"/>
      <c r="U107" s="3665"/>
      <c r="V107" s="2341" t="s">
        <v>2550</v>
      </c>
      <c r="W107" s="2719">
        <v>0</v>
      </c>
      <c r="X107" s="2511">
        <v>0</v>
      </c>
      <c r="Y107" s="2511">
        <v>0</v>
      </c>
      <c r="Z107" s="2716">
        <v>20</v>
      </c>
      <c r="AA107" s="2673" t="s">
        <v>124</v>
      </c>
      <c r="AB107" s="3770"/>
      <c r="AC107" s="3767"/>
      <c r="AD107" s="3767"/>
      <c r="AE107" s="3767"/>
      <c r="AF107" s="3763"/>
      <c r="AG107" s="3763"/>
      <c r="AH107" s="3763"/>
      <c r="AI107" s="3763"/>
      <c r="AJ107" s="3763"/>
      <c r="AK107" s="3763"/>
      <c r="AL107" s="3763"/>
      <c r="AM107" s="3763"/>
      <c r="AN107" s="3763"/>
      <c r="AO107" s="2717"/>
      <c r="AP107" s="3763"/>
      <c r="AQ107" s="2717"/>
      <c r="AR107" s="3763"/>
      <c r="AS107" s="2717"/>
      <c r="AT107" s="3763"/>
      <c r="AU107" s="2717"/>
      <c r="AV107" s="3763"/>
      <c r="AW107" s="2717"/>
      <c r="AX107" s="3763"/>
      <c r="AY107" s="2717"/>
      <c r="AZ107" s="3763"/>
      <c r="BA107" s="2717"/>
      <c r="BB107" s="3763"/>
      <c r="BC107" s="2717"/>
      <c r="BD107" s="3763"/>
      <c r="BE107" s="2717"/>
      <c r="BF107" s="3765"/>
      <c r="BG107" s="3765"/>
      <c r="BH107" s="3765"/>
      <c r="BI107" s="3626"/>
      <c r="BJ107" s="3626"/>
      <c r="BK107" s="3629"/>
      <c r="BL107" s="2718"/>
      <c r="BM107" s="2718"/>
      <c r="BN107" s="3617"/>
      <c r="BO107" s="3617"/>
      <c r="BP107" s="3617"/>
      <c r="BQ107" s="3617"/>
      <c r="BR107" s="3623"/>
      <c r="BS107" s="440"/>
      <c r="BT107" s="440"/>
    </row>
    <row r="108" spans="1:72" s="438" customFormat="1" ht="39.75" customHeight="1" x14ac:dyDescent="0.2">
      <c r="A108" s="3854"/>
      <c r="B108" s="3858"/>
      <c r="C108" s="3859"/>
      <c r="D108" s="3739"/>
      <c r="E108" s="3739"/>
      <c r="F108" s="3739"/>
      <c r="G108" s="440"/>
      <c r="H108" s="2650"/>
      <c r="I108" s="2651"/>
      <c r="J108" s="3757"/>
      <c r="K108" s="3720"/>
      <c r="L108" s="3720"/>
      <c r="M108" s="3718"/>
      <c r="N108" s="3687"/>
      <c r="O108" s="2712"/>
      <c r="P108" s="3661"/>
      <c r="Q108" s="3648"/>
      <c r="R108" s="3760"/>
      <c r="S108" s="3645"/>
      <c r="T108" s="3665"/>
      <c r="U108" s="3665"/>
      <c r="V108" s="2645" t="s">
        <v>2551</v>
      </c>
      <c r="W108" s="2719">
        <v>3000000</v>
      </c>
      <c r="X108" s="2511">
        <v>0</v>
      </c>
      <c r="Y108" s="2512">
        <v>0</v>
      </c>
      <c r="Z108" s="2716">
        <v>20</v>
      </c>
      <c r="AA108" s="2673" t="s">
        <v>124</v>
      </c>
      <c r="AB108" s="3771"/>
      <c r="AC108" s="3768"/>
      <c r="AD108" s="3768"/>
      <c r="AE108" s="3768"/>
      <c r="AF108" s="3763"/>
      <c r="AG108" s="3763"/>
      <c r="AH108" s="3763"/>
      <c r="AI108" s="3763"/>
      <c r="AJ108" s="3763"/>
      <c r="AK108" s="3763"/>
      <c r="AL108" s="3763"/>
      <c r="AM108" s="3763"/>
      <c r="AN108" s="3763"/>
      <c r="AO108" s="2717"/>
      <c r="AP108" s="3763"/>
      <c r="AQ108" s="2717"/>
      <c r="AR108" s="3763"/>
      <c r="AS108" s="2717"/>
      <c r="AT108" s="3763"/>
      <c r="AU108" s="2717"/>
      <c r="AV108" s="3763"/>
      <c r="AW108" s="2717"/>
      <c r="AX108" s="3763"/>
      <c r="AY108" s="2717"/>
      <c r="AZ108" s="3763"/>
      <c r="BA108" s="2717"/>
      <c r="BB108" s="3763"/>
      <c r="BC108" s="2717"/>
      <c r="BD108" s="3763"/>
      <c r="BE108" s="2717"/>
      <c r="BF108" s="3766"/>
      <c r="BG108" s="3766"/>
      <c r="BH108" s="3766"/>
      <c r="BI108" s="3627"/>
      <c r="BJ108" s="3627"/>
      <c r="BK108" s="3630"/>
      <c r="BL108" s="2723"/>
      <c r="BM108" s="2723"/>
      <c r="BN108" s="3618"/>
      <c r="BO108" s="3618"/>
      <c r="BP108" s="3618"/>
      <c r="BQ108" s="3618"/>
      <c r="BR108" s="3623"/>
      <c r="BS108" s="440"/>
      <c r="BT108" s="440"/>
    </row>
    <row r="109" spans="1:72" s="440" customFormat="1" ht="15" customHeight="1" x14ac:dyDescent="0.2">
      <c r="A109" s="3854"/>
      <c r="B109" s="3858"/>
      <c r="C109" s="3859"/>
      <c r="D109" s="3739"/>
      <c r="E109" s="3739"/>
      <c r="F109" s="3739"/>
      <c r="G109" s="2619">
        <v>80</v>
      </c>
      <c r="H109" s="1109" t="s">
        <v>2552</v>
      </c>
      <c r="I109" s="1109"/>
      <c r="J109" s="2655"/>
      <c r="K109" s="2656"/>
      <c r="L109" s="2657"/>
      <c r="M109" s="2710"/>
      <c r="N109" s="2710"/>
      <c r="O109" s="1215"/>
      <c r="P109" s="1216"/>
      <c r="Q109" s="1111"/>
      <c r="R109" s="1111"/>
      <c r="S109" s="2662"/>
      <c r="T109" s="1111"/>
      <c r="U109" s="2361"/>
      <c r="V109" s="2656"/>
      <c r="W109" s="2660"/>
      <c r="X109" s="2660"/>
      <c r="Y109" s="2661"/>
      <c r="Z109" s="2661"/>
      <c r="AA109" s="2661"/>
      <c r="AB109" s="1109"/>
      <c r="AC109" s="1109"/>
      <c r="AD109" s="1109"/>
      <c r="AE109" s="1109"/>
      <c r="AF109" s="1109"/>
      <c r="AG109" s="1109"/>
      <c r="AH109" s="1109"/>
      <c r="AI109" s="1109"/>
      <c r="AJ109" s="1109"/>
      <c r="AK109" s="1109"/>
      <c r="AL109" s="1109"/>
      <c r="AM109" s="1109"/>
      <c r="AN109" s="1109"/>
      <c r="AO109" s="1109"/>
      <c r="AP109" s="1109"/>
      <c r="AQ109" s="1109"/>
      <c r="AR109" s="1109"/>
      <c r="AS109" s="1109"/>
      <c r="AT109" s="1109"/>
      <c r="AU109" s="1109"/>
      <c r="AV109" s="1109"/>
      <c r="AW109" s="1109"/>
      <c r="AX109" s="1109"/>
      <c r="AY109" s="1109"/>
      <c r="AZ109" s="1116"/>
      <c r="BA109" s="1116"/>
      <c r="BB109" s="1116"/>
      <c r="BC109" s="1116"/>
      <c r="BD109" s="1116"/>
      <c r="BE109" s="1116"/>
      <c r="BF109" s="1116"/>
      <c r="BG109" s="1116"/>
      <c r="BH109" s="1116"/>
      <c r="BI109" s="2662"/>
      <c r="BJ109" s="2662"/>
      <c r="BK109" s="1116"/>
      <c r="BL109" s="1116"/>
      <c r="BM109" s="1116"/>
      <c r="BN109" s="1116"/>
      <c r="BO109" s="1116"/>
      <c r="BP109" s="1116"/>
      <c r="BQ109" s="1116"/>
      <c r="BR109" s="2724"/>
    </row>
    <row r="110" spans="1:72" s="2702" customFormat="1" ht="42" customHeight="1" x14ac:dyDescent="0.2">
      <c r="A110" s="3854"/>
      <c r="B110" s="3858"/>
      <c r="C110" s="3859"/>
      <c r="D110" s="3739"/>
      <c r="E110" s="3739"/>
      <c r="F110" s="3739"/>
      <c r="G110" s="2725"/>
      <c r="H110" s="3745"/>
      <c r="I110" s="3745"/>
      <c r="J110" s="3718">
        <v>234</v>
      </c>
      <c r="K110" s="3719" t="s">
        <v>2553</v>
      </c>
      <c r="L110" s="3719" t="s">
        <v>2554</v>
      </c>
      <c r="M110" s="3672">
        <v>2</v>
      </c>
      <c r="N110" s="3672">
        <v>2</v>
      </c>
      <c r="O110" s="3639"/>
      <c r="P110" s="2506"/>
      <c r="Q110" s="2726"/>
      <c r="R110" s="3642">
        <f>SUM(W111:W114)/S110</f>
        <v>0.22058823529411764</v>
      </c>
      <c r="S110" s="3644">
        <f>SUM(W111:W127)</f>
        <v>68000000</v>
      </c>
      <c r="T110" s="3752" t="s">
        <v>2555</v>
      </c>
      <c r="U110" s="3754" t="s">
        <v>2556</v>
      </c>
      <c r="V110" s="2727" t="s">
        <v>2557</v>
      </c>
      <c r="W110" s="2728"/>
      <c r="X110" s="2728"/>
      <c r="Y110" s="2729"/>
      <c r="Z110" s="2730">
        <v>20</v>
      </c>
      <c r="AA110" s="2636" t="s">
        <v>180</v>
      </c>
      <c r="AB110" s="3663">
        <v>638</v>
      </c>
      <c r="AC110" s="3663">
        <v>437</v>
      </c>
      <c r="AD110" s="3663">
        <v>612</v>
      </c>
      <c r="AE110" s="3663">
        <v>612</v>
      </c>
      <c r="AF110" s="3663">
        <v>380</v>
      </c>
      <c r="AG110" s="3663">
        <v>212</v>
      </c>
      <c r="AH110" s="3663">
        <v>280</v>
      </c>
      <c r="AI110" s="3663">
        <v>180</v>
      </c>
      <c r="AJ110" s="3663">
        <v>161</v>
      </c>
      <c r="AK110" s="3663">
        <v>120</v>
      </c>
      <c r="AL110" s="3663">
        <v>429</v>
      </c>
      <c r="AM110" s="3663">
        <v>250</v>
      </c>
      <c r="AN110" s="3745"/>
      <c r="AO110" s="3745"/>
      <c r="AP110" s="3745"/>
      <c r="AQ110" s="3745"/>
      <c r="AR110" s="3745"/>
      <c r="AS110" s="3745"/>
      <c r="AT110" s="3745"/>
      <c r="AU110" s="3745"/>
      <c r="AV110" s="3745"/>
      <c r="AW110" s="3745"/>
      <c r="AX110" s="3745"/>
      <c r="AY110" s="3745"/>
      <c r="AZ110" s="3751"/>
      <c r="BA110" s="3751"/>
      <c r="BB110" s="3751"/>
      <c r="BC110" s="3751"/>
      <c r="BD110" s="3751"/>
      <c r="BE110" s="3751"/>
      <c r="BF110" s="3663">
        <v>1250</v>
      </c>
      <c r="BG110" s="3663">
        <v>1049</v>
      </c>
      <c r="BH110" s="3663">
        <v>4</v>
      </c>
      <c r="BI110" s="3749">
        <f>SUM(X110:X127)</f>
        <v>42628933</v>
      </c>
      <c r="BJ110" s="3749">
        <f>SUM(Y110:Y127)</f>
        <v>27122066</v>
      </c>
      <c r="BK110" s="3750">
        <f>BJ110/BI110</f>
        <v>0.63623609814489146</v>
      </c>
      <c r="BL110" s="3622" t="s">
        <v>2062</v>
      </c>
      <c r="BM110" s="3622" t="s">
        <v>2558</v>
      </c>
      <c r="BN110" s="3748">
        <v>43475</v>
      </c>
      <c r="BO110" s="3748">
        <v>43477</v>
      </c>
      <c r="BP110" s="3748">
        <v>43809</v>
      </c>
      <c r="BQ110" s="3748">
        <v>43809</v>
      </c>
      <c r="BR110" s="3622" t="s">
        <v>2456</v>
      </c>
    </row>
    <row r="111" spans="1:72" s="438" customFormat="1" ht="36.75" customHeight="1" x14ac:dyDescent="0.2">
      <c r="A111" s="3854"/>
      <c r="B111" s="3858"/>
      <c r="C111" s="3859"/>
      <c r="D111" s="3739"/>
      <c r="E111" s="3739"/>
      <c r="F111" s="3739"/>
      <c r="G111" s="440"/>
      <c r="H111" s="3745"/>
      <c r="I111" s="3745"/>
      <c r="J111" s="3718"/>
      <c r="K111" s="3719"/>
      <c r="L111" s="3719"/>
      <c r="M111" s="3672"/>
      <c r="N111" s="3672"/>
      <c r="O111" s="3640"/>
      <c r="P111" s="3756" t="s">
        <v>2559</v>
      </c>
      <c r="Q111" s="3648" t="s">
        <v>2560</v>
      </c>
      <c r="R111" s="3642"/>
      <c r="S111" s="3644"/>
      <c r="T111" s="3752"/>
      <c r="U111" s="3754"/>
      <c r="V111" s="3708" t="s">
        <v>2561</v>
      </c>
      <c r="W111" s="2713">
        <v>5000000</v>
      </c>
      <c r="X111" s="2512">
        <v>5000000</v>
      </c>
      <c r="Y111" s="2512">
        <v>5000000</v>
      </c>
      <c r="Z111" s="2730" t="s">
        <v>123</v>
      </c>
      <c r="AA111" s="2636" t="s">
        <v>180</v>
      </c>
      <c r="AB111" s="3663"/>
      <c r="AC111" s="3663"/>
      <c r="AD111" s="3663"/>
      <c r="AE111" s="3663"/>
      <c r="AF111" s="3663"/>
      <c r="AG111" s="3663"/>
      <c r="AH111" s="3663"/>
      <c r="AI111" s="3663"/>
      <c r="AJ111" s="3663"/>
      <c r="AK111" s="3663"/>
      <c r="AL111" s="3663"/>
      <c r="AM111" s="3663"/>
      <c r="AN111" s="3745"/>
      <c r="AO111" s="3745"/>
      <c r="AP111" s="3745"/>
      <c r="AQ111" s="3745"/>
      <c r="AR111" s="3745"/>
      <c r="AS111" s="3745"/>
      <c r="AT111" s="3745"/>
      <c r="AU111" s="3745"/>
      <c r="AV111" s="3745"/>
      <c r="AW111" s="3745"/>
      <c r="AX111" s="3745"/>
      <c r="AY111" s="3745"/>
      <c r="AZ111" s="3751"/>
      <c r="BA111" s="3751"/>
      <c r="BB111" s="3751"/>
      <c r="BC111" s="3751"/>
      <c r="BD111" s="3751"/>
      <c r="BE111" s="3751"/>
      <c r="BF111" s="3663"/>
      <c r="BG111" s="3663"/>
      <c r="BH111" s="3663"/>
      <c r="BI111" s="3749"/>
      <c r="BJ111" s="3749"/>
      <c r="BK111" s="3750"/>
      <c r="BL111" s="3748"/>
      <c r="BM111" s="3748"/>
      <c r="BN111" s="3748"/>
      <c r="BO111" s="3748"/>
      <c r="BP111" s="3748"/>
      <c r="BQ111" s="3748"/>
      <c r="BR111" s="3622"/>
      <c r="BS111" s="440"/>
      <c r="BT111" s="440"/>
    </row>
    <row r="112" spans="1:72" s="438" customFormat="1" ht="42.75" customHeight="1" x14ac:dyDescent="0.2">
      <c r="A112" s="3854"/>
      <c r="B112" s="3858"/>
      <c r="C112" s="3859"/>
      <c r="D112" s="3739"/>
      <c r="E112" s="3739"/>
      <c r="F112" s="3739"/>
      <c r="G112" s="440"/>
      <c r="H112" s="3745"/>
      <c r="I112" s="3745"/>
      <c r="J112" s="3718"/>
      <c r="K112" s="3719"/>
      <c r="L112" s="3719"/>
      <c r="M112" s="3672"/>
      <c r="N112" s="3672"/>
      <c r="O112" s="3640"/>
      <c r="P112" s="3756"/>
      <c r="Q112" s="3648"/>
      <c r="R112" s="3642"/>
      <c r="S112" s="3644"/>
      <c r="T112" s="3752"/>
      <c r="U112" s="3754"/>
      <c r="V112" s="3709"/>
      <c r="W112" s="2713">
        <v>3000000</v>
      </c>
      <c r="X112" s="2512">
        <v>1500000</v>
      </c>
      <c r="Y112" s="2511"/>
      <c r="Z112" s="2730">
        <v>88</v>
      </c>
      <c r="AA112" s="2636" t="s">
        <v>2562</v>
      </c>
      <c r="AB112" s="3663"/>
      <c r="AC112" s="3663"/>
      <c r="AD112" s="3663"/>
      <c r="AE112" s="3663"/>
      <c r="AF112" s="3663"/>
      <c r="AG112" s="3663"/>
      <c r="AH112" s="3663"/>
      <c r="AI112" s="3663"/>
      <c r="AJ112" s="3663"/>
      <c r="AK112" s="3663"/>
      <c r="AL112" s="3663"/>
      <c r="AM112" s="3663"/>
      <c r="AN112" s="3745"/>
      <c r="AO112" s="3745"/>
      <c r="AP112" s="3745"/>
      <c r="AQ112" s="3745"/>
      <c r="AR112" s="3745"/>
      <c r="AS112" s="3745"/>
      <c r="AT112" s="3745"/>
      <c r="AU112" s="3745"/>
      <c r="AV112" s="3745"/>
      <c r="AW112" s="3745"/>
      <c r="AX112" s="3745"/>
      <c r="AY112" s="3745"/>
      <c r="AZ112" s="3751"/>
      <c r="BA112" s="3751"/>
      <c r="BB112" s="3751"/>
      <c r="BC112" s="3751"/>
      <c r="BD112" s="3751"/>
      <c r="BE112" s="3751"/>
      <c r="BF112" s="3663"/>
      <c r="BG112" s="3663"/>
      <c r="BH112" s="3663"/>
      <c r="BI112" s="3749"/>
      <c r="BJ112" s="3749"/>
      <c r="BK112" s="3750"/>
      <c r="BL112" s="3748"/>
      <c r="BM112" s="3748"/>
      <c r="BN112" s="3748"/>
      <c r="BO112" s="3748"/>
      <c r="BP112" s="3748"/>
      <c r="BQ112" s="3748"/>
      <c r="BR112" s="3622"/>
      <c r="BS112" s="440"/>
      <c r="BT112" s="440"/>
    </row>
    <row r="113" spans="1:74" s="438" customFormat="1" ht="55.5" customHeight="1" x14ac:dyDescent="0.2">
      <c r="A113" s="3854"/>
      <c r="B113" s="3858"/>
      <c r="C113" s="3859"/>
      <c r="D113" s="3739"/>
      <c r="E113" s="3739"/>
      <c r="F113" s="3739"/>
      <c r="G113" s="440"/>
      <c r="H113" s="3745"/>
      <c r="I113" s="3745"/>
      <c r="J113" s="3718"/>
      <c r="K113" s="3719"/>
      <c r="L113" s="3719"/>
      <c r="M113" s="3672"/>
      <c r="N113" s="3672"/>
      <c r="O113" s="3640"/>
      <c r="P113" s="3756"/>
      <c r="Q113" s="3648"/>
      <c r="R113" s="3642"/>
      <c r="S113" s="3644"/>
      <c r="T113" s="3752"/>
      <c r="U113" s="3754"/>
      <c r="V113" s="3708" t="s">
        <v>2563</v>
      </c>
      <c r="W113" s="2713">
        <v>5000000</v>
      </c>
      <c r="X113" s="2511">
        <v>4405333</v>
      </c>
      <c r="Y113" s="2511">
        <v>4405333</v>
      </c>
      <c r="Z113" s="2731">
        <v>20</v>
      </c>
      <c r="AA113" s="2636" t="s">
        <v>124</v>
      </c>
      <c r="AB113" s="3663"/>
      <c r="AC113" s="3663"/>
      <c r="AD113" s="3663"/>
      <c r="AE113" s="3663"/>
      <c r="AF113" s="3663"/>
      <c r="AG113" s="3663"/>
      <c r="AH113" s="3663"/>
      <c r="AI113" s="3663"/>
      <c r="AJ113" s="3663"/>
      <c r="AK113" s="3663"/>
      <c r="AL113" s="3663"/>
      <c r="AM113" s="3663"/>
      <c r="AN113" s="3745"/>
      <c r="AO113" s="3745"/>
      <c r="AP113" s="3745"/>
      <c r="AQ113" s="3745"/>
      <c r="AR113" s="3745"/>
      <c r="AS113" s="3745"/>
      <c r="AT113" s="3745"/>
      <c r="AU113" s="3745"/>
      <c r="AV113" s="3745"/>
      <c r="AW113" s="3745"/>
      <c r="AX113" s="3745"/>
      <c r="AY113" s="3745"/>
      <c r="AZ113" s="3751"/>
      <c r="BA113" s="3751"/>
      <c r="BB113" s="3751"/>
      <c r="BC113" s="3751"/>
      <c r="BD113" s="3751"/>
      <c r="BE113" s="3751"/>
      <c r="BF113" s="3663"/>
      <c r="BG113" s="3663"/>
      <c r="BH113" s="3663"/>
      <c r="BI113" s="3749"/>
      <c r="BJ113" s="3749"/>
      <c r="BK113" s="3750"/>
      <c r="BL113" s="3748"/>
      <c r="BM113" s="3748"/>
      <c r="BN113" s="3748"/>
      <c r="BO113" s="3748"/>
      <c r="BP113" s="3748"/>
      <c r="BQ113" s="3748"/>
      <c r="BR113" s="3622"/>
      <c r="BS113" s="3690"/>
      <c r="BT113" s="440"/>
    </row>
    <row r="114" spans="1:74" s="438" customFormat="1" ht="55.5" customHeight="1" x14ac:dyDescent="0.2">
      <c r="A114" s="3854"/>
      <c r="B114" s="3858"/>
      <c r="C114" s="3859"/>
      <c r="D114" s="3739"/>
      <c r="E114" s="3739"/>
      <c r="F114" s="3739"/>
      <c r="G114" s="440"/>
      <c r="H114" s="3745"/>
      <c r="I114" s="3745"/>
      <c r="J114" s="3718"/>
      <c r="K114" s="3719"/>
      <c r="L114" s="3719"/>
      <c r="M114" s="3672"/>
      <c r="N114" s="3672"/>
      <c r="O114" s="2712"/>
      <c r="P114" s="3661"/>
      <c r="Q114" s="3648"/>
      <c r="R114" s="3642"/>
      <c r="S114" s="3644"/>
      <c r="T114" s="3752"/>
      <c r="U114" s="3754"/>
      <c r="V114" s="3709"/>
      <c r="W114" s="2713">
        <v>2000000</v>
      </c>
      <c r="X114" s="2511">
        <v>0</v>
      </c>
      <c r="Y114" s="2511">
        <v>0</v>
      </c>
      <c r="Z114" s="2730">
        <v>88</v>
      </c>
      <c r="AA114" s="2636" t="s">
        <v>2562</v>
      </c>
      <c r="AB114" s="3663"/>
      <c r="AC114" s="3663"/>
      <c r="AD114" s="3663"/>
      <c r="AE114" s="3663"/>
      <c r="AF114" s="3663"/>
      <c r="AG114" s="3663"/>
      <c r="AH114" s="3663"/>
      <c r="AI114" s="3663"/>
      <c r="AJ114" s="3663"/>
      <c r="AK114" s="3663"/>
      <c r="AL114" s="3663"/>
      <c r="AM114" s="3663"/>
      <c r="AN114" s="3745"/>
      <c r="AO114" s="3745"/>
      <c r="AP114" s="3745"/>
      <c r="AQ114" s="3745"/>
      <c r="AR114" s="3745"/>
      <c r="AS114" s="3745"/>
      <c r="AT114" s="3745"/>
      <c r="AU114" s="3745"/>
      <c r="AV114" s="3745"/>
      <c r="AW114" s="3745"/>
      <c r="AX114" s="3745"/>
      <c r="AY114" s="3745"/>
      <c r="AZ114" s="3751"/>
      <c r="BA114" s="3751"/>
      <c r="BB114" s="3751"/>
      <c r="BC114" s="3751"/>
      <c r="BD114" s="3751"/>
      <c r="BE114" s="3751"/>
      <c r="BF114" s="3663"/>
      <c r="BG114" s="3663"/>
      <c r="BH114" s="3663"/>
      <c r="BI114" s="3749"/>
      <c r="BJ114" s="3749"/>
      <c r="BK114" s="3750"/>
      <c r="BL114" s="3748"/>
      <c r="BM114" s="3748"/>
      <c r="BN114" s="3748"/>
      <c r="BO114" s="3748"/>
      <c r="BP114" s="3748"/>
      <c r="BQ114" s="3748"/>
      <c r="BR114" s="3622"/>
      <c r="BS114" s="3690"/>
      <c r="BT114" s="440"/>
    </row>
    <row r="115" spans="1:74" s="438" customFormat="1" ht="40.5" customHeight="1" x14ac:dyDescent="0.2">
      <c r="A115" s="3854"/>
      <c r="B115" s="3858"/>
      <c r="C115" s="3859"/>
      <c r="D115" s="3739"/>
      <c r="E115" s="3739"/>
      <c r="F115" s="3739"/>
      <c r="G115" s="440"/>
      <c r="H115" s="3745"/>
      <c r="I115" s="3745"/>
      <c r="J115" s="3718"/>
      <c r="K115" s="3719"/>
      <c r="L115" s="3719"/>
      <c r="M115" s="3672"/>
      <c r="N115" s="3672"/>
      <c r="O115" s="2712"/>
      <c r="P115" s="3661"/>
      <c r="Q115" s="3648"/>
      <c r="R115" s="3643"/>
      <c r="S115" s="3644"/>
      <c r="T115" s="3752"/>
      <c r="U115" s="3754"/>
      <c r="V115" s="2514" t="s">
        <v>2564</v>
      </c>
      <c r="W115" s="2713"/>
      <c r="X115" s="2511"/>
      <c r="Y115" s="2511"/>
      <c r="Z115" s="2731">
        <v>20</v>
      </c>
      <c r="AA115" s="2636" t="s">
        <v>124</v>
      </c>
      <c r="AB115" s="3663"/>
      <c r="AC115" s="3663"/>
      <c r="AD115" s="3663"/>
      <c r="AE115" s="3663"/>
      <c r="AF115" s="3663"/>
      <c r="AG115" s="3663"/>
      <c r="AH115" s="3663"/>
      <c r="AI115" s="3663"/>
      <c r="AJ115" s="3663"/>
      <c r="AK115" s="3663"/>
      <c r="AL115" s="3663"/>
      <c r="AM115" s="3663"/>
      <c r="AN115" s="3745"/>
      <c r="AO115" s="3745"/>
      <c r="AP115" s="3745"/>
      <c r="AQ115" s="3745"/>
      <c r="AR115" s="3745"/>
      <c r="AS115" s="3745"/>
      <c r="AT115" s="3745"/>
      <c r="AU115" s="3745"/>
      <c r="AV115" s="3745"/>
      <c r="AW115" s="3745"/>
      <c r="AX115" s="3745"/>
      <c r="AY115" s="3745"/>
      <c r="AZ115" s="3751"/>
      <c r="BA115" s="3751"/>
      <c r="BB115" s="3751"/>
      <c r="BC115" s="3751"/>
      <c r="BD115" s="3751"/>
      <c r="BE115" s="3751"/>
      <c r="BF115" s="3663"/>
      <c r="BG115" s="3663"/>
      <c r="BH115" s="3663"/>
      <c r="BI115" s="3749"/>
      <c r="BJ115" s="3749"/>
      <c r="BK115" s="3750"/>
      <c r="BL115" s="3748"/>
      <c r="BM115" s="3748"/>
      <c r="BN115" s="3748"/>
      <c r="BO115" s="3748"/>
      <c r="BP115" s="3748"/>
      <c r="BQ115" s="3748"/>
      <c r="BR115" s="3622"/>
      <c r="BS115" s="3690"/>
      <c r="BT115" s="440"/>
    </row>
    <row r="116" spans="1:74" s="438" customFormat="1" ht="34.5" customHeight="1" x14ac:dyDescent="0.2">
      <c r="A116" s="3854"/>
      <c r="B116" s="3858"/>
      <c r="C116" s="3859"/>
      <c r="D116" s="3739"/>
      <c r="E116" s="3739"/>
      <c r="F116" s="3739"/>
      <c r="G116" s="440"/>
      <c r="H116" s="3745"/>
      <c r="I116" s="3745"/>
      <c r="J116" s="3747">
        <v>235</v>
      </c>
      <c r="K116" s="3719" t="s">
        <v>2565</v>
      </c>
      <c r="L116" s="3720" t="s">
        <v>2566</v>
      </c>
      <c r="M116" s="3672">
        <v>2</v>
      </c>
      <c r="N116" s="3672">
        <v>2</v>
      </c>
      <c r="O116" s="2712" t="s">
        <v>2567</v>
      </c>
      <c r="P116" s="3661"/>
      <c r="Q116" s="3648"/>
      <c r="R116" s="3669">
        <f>SUM(W116:W127)/S110</f>
        <v>0.77941176470588236</v>
      </c>
      <c r="S116" s="3644"/>
      <c r="T116" s="3752"/>
      <c r="U116" s="3754"/>
      <c r="V116" s="3297" t="s">
        <v>2568</v>
      </c>
      <c r="W116" s="2713">
        <v>2000000</v>
      </c>
      <c r="X116" s="2511">
        <v>2000000</v>
      </c>
      <c r="Y116" s="2511">
        <v>900000</v>
      </c>
      <c r="Z116" s="2731">
        <v>20</v>
      </c>
      <c r="AA116" s="2636" t="s">
        <v>124</v>
      </c>
      <c r="AB116" s="3663"/>
      <c r="AC116" s="3663"/>
      <c r="AD116" s="3663"/>
      <c r="AE116" s="3663"/>
      <c r="AF116" s="3663"/>
      <c r="AG116" s="3663"/>
      <c r="AH116" s="3663"/>
      <c r="AI116" s="3663"/>
      <c r="AJ116" s="3663"/>
      <c r="AK116" s="3663"/>
      <c r="AL116" s="3663"/>
      <c r="AM116" s="3663"/>
      <c r="AN116" s="3745"/>
      <c r="AO116" s="3745"/>
      <c r="AP116" s="3745"/>
      <c r="AQ116" s="3745"/>
      <c r="AR116" s="3745"/>
      <c r="AS116" s="3745"/>
      <c r="AT116" s="3745"/>
      <c r="AU116" s="3745"/>
      <c r="AV116" s="3745"/>
      <c r="AW116" s="3745"/>
      <c r="AX116" s="3745"/>
      <c r="AY116" s="3745"/>
      <c r="AZ116" s="3751"/>
      <c r="BA116" s="3751"/>
      <c r="BB116" s="3751"/>
      <c r="BC116" s="3751"/>
      <c r="BD116" s="3751"/>
      <c r="BE116" s="3751"/>
      <c r="BF116" s="3663"/>
      <c r="BG116" s="3663"/>
      <c r="BH116" s="3663"/>
      <c r="BI116" s="3749"/>
      <c r="BJ116" s="3749"/>
      <c r="BK116" s="3750"/>
      <c r="BL116" s="3748"/>
      <c r="BM116" s="3748"/>
      <c r="BN116" s="3748"/>
      <c r="BO116" s="3748"/>
      <c r="BP116" s="3748"/>
      <c r="BQ116" s="3748"/>
      <c r="BR116" s="3622"/>
      <c r="BS116" s="3690"/>
      <c r="BT116" s="440"/>
    </row>
    <row r="117" spans="1:74" s="438" customFormat="1" ht="34.5" customHeight="1" x14ac:dyDescent="0.2">
      <c r="A117" s="3854"/>
      <c r="B117" s="3858"/>
      <c r="C117" s="3859"/>
      <c r="D117" s="3739"/>
      <c r="E117" s="3739"/>
      <c r="F117" s="3739"/>
      <c r="G117" s="440"/>
      <c r="H117" s="3745"/>
      <c r="I117" s="3745"/>
      <c r="J117" s="3747"/>
      <c r="K117" s="3719"/>
      <c r="L117" s="3720"/>
      <c r="M117" s="3672"/>
      <c r="N117" s="3672"/>
      <c r="O117" s="2732"/>
      <c r="P117" s="3661"/>
      <c r="Q117" s="3648"/>
      <c r="R117" s="3669"/>
      <c r="S117" s="3644"/>
      <c r="T117" s="3752"/>
      <c r="U117" s="3754"/>
      <c r="V117" s="3290"/>
      <c r="W117" s="2713">
        <v>400000</v>
      </c>
      <c r="X117" s="2511">
        <v>400000</v>
      </c>
      <c r="Y117" s="2511">
        <v>0</v>
      </c>
      <c r="Z117" s="2731">
        <v>88</v>
      </c>
      <c r="AA117" s="2636" t="s">
        <v>2562</v>
      </c>
      <c r="AB117" s="3663"/>
      <c r="AC117" s="3663"/>
      <c r="AD117" s="3663"/>
      <c r="AE117" s="3663"/>
      <c r="AF117" s="3663"/>
      <c r="AG117" s="3663"/>
      <c r="AH117" s="3663"/>
      <c r="AI117" s="3663"/>
      <c r="AJ117" s="3663"/>
      <c r="AK117" s="3663"/>
      <c r="AL117" s="3663"/>
      <c r="AM117" s="3663"/>
      <c r="AN117" s="3745"/>
      <c r="AO117" s="3745"/>
      <c r="AP117" s="3745"/>
      <c r="AQ117" s="3745"/>
      <c r="AR117" s="3745"/>
      <c r="AS117" s="3745"/>
      <c r="AT117" s="3745"/>
      <c r="AU117" s="3745"/>
      <c r="AV117" s="3745"/>
      <c r="AW117" s="3745"/>
      <c r="AX117" s="3745"/>
      <c r="AY117" s="3745"/>
      <c r="AZ117" s="3751"/>
      <c r="BA117" s="3751"/>
      <c r="BB117" s="3751"/>
      <c r="BC117" s="3751"/>
      <c r="BD117" s="3751"/>
      <c r="BE117" s="3751"/>
      <c r="BF117" s="3663"/>
      <c r="BG117" s="3663"/>
      <c r="BH117" s="3663"/>
      <c r="BI117" s="3749"/>
      <c r="BJ117" s="3749"/>
      <c r="BK117" s="3750"/>
      <c r="BL117" s="3748"/>
      <c r="BM117" s="3748"/>
      <c r="BN117" s="3748"/>
      <c r="BO117" s="3748"/>
      <c r="BP117" s="3748"/>
      <c r="BQ117" s="3748"/>
      <c r="BR117" s="3622"/>
      <c r="BS117" s="3690"/>
      <c r="BT117" s="440"/>
    </row>
    <row r="118" spans="1:74" s="438" customFormat="1" ht="24.75" customHeight="1" x14ac:dyDescent="0.2">
      <c r="A118" s="3854"/>
      <c r="B118" s="3858"/>
      <c r="C118" s="3859"/>
      <c r="D118" s="3739"/>
      <c r="E118" s="3739"/>
      <c r="F118" s="3739"/>
      <c r="G118" s="440"/>
      <c r="H118" s="3745"/>
      <c r="I118" s="3745"/>
      <c r="J118" s="3747"/>
      <c r="K118" s="3719"/>
      <c r="L118" s="3720"/>
      <c r="M118" s="3672"/>
      <c r="N118" s="3672"/>
      <c r="O118" s="2647"/>
      <c r="P118" s="3661"/>
      <c r="Q118" s="3648"/>
      <c r="R118" s="3669"/>
      <c r="S118" s="3644"/>
      <c r="T118" s="3752"/>
      <c r="U118" s="3754"/>
      <c r="V118" s="2645" t="s">
        <v>2569</v>
      </c>
      <c r="W118" s="2713">
        <v>5000000</v>
      </c>
      <c r="X118" s="2511">
        <v>4996867</v>
      </c>
      <c r="Y118" s="2511">
        <v>4141000</v>
      </c>
      <c r="Z118" s="2731">
        <v>20</v>
      </c>
      <c r="AA118" s="2636" t="s">
        <v>124</v>
      </c>
      <c r="AB118" s="3663"/>
      <c r="AC118" s="3663"/>
      <c r="AD118" s="3663"/>
      <c r="AE118" s="3663"/>
      <c r="AF118" s="3663"/>
      <c r="AG118" s="3663"/>
      <c r="AH118" s="3663"/>
      <c r="AI118" s="3663"/>
      <c r="AJ118" s="3663"/>
      <c r="AK118" s="3663"/>
      <c r="AL118" s="3663"/>
      <c r="AM118" s="3663"/>
      <c r="AN118" s="3745"/>
      <c r="AO118" s="3745"/>
      <c r="AP118" s="3745"/>
      <c r="AQ118" s="3745"/>
      <c r="AR118" s="3745"/>
      <c r="AS118" s="3745"/>
      <c r="AT118" s="3745"/>
      <c r="AU118" s="3745"/>
      <c r="AV118" s="3745"/>
      <c r="AW118" s="3745"/>
      <c r="AX118" s="3745"/>
      <c r="AY118" s="3745"/>
      <c r="AZ118" s="3751"/>
      <c r="BA118" s="3751"/>
      <c r="BB118" s="3751"/>
      <c r="BC118" s="3751"/>
      <c r="BD118" s="3751"/>
      <c r="BE118" s="3751"/>
      <c r="BF118" s="3663"/>
      <c r="BG118" s="3663"/>
      <c r="BH118" s="3663"/>
      <c r="BI118" s="3749"/>
      <c r="BJ118" s="3749"/>
      <c r="BK118" s="3750"/>
      <c r="BL118" s="3748"/>
      <c r="BM118" s="3748"/>
      <c r="BN118" s="3748"/>
      <c r="BO118" s="3748"/>
      <c r="BP118" s="3748"/>
      <c r="BQ118" s="3748"/>
      <c r="BR118" s="3622"/>
      <c r="BS118" s="3690"/>
      <c r="BT118" s="440"/>
    </row>
    <row r="119" spans="1:74" s="438" customFormat="1" ht="29.25" customHeight="1" x14ac:dyDescent="0.2">
      <c r="A119" s="3854"/>
      <c r="B119" s="3858"/>
      <c r="C119" s="3859"/>
      <c r="D119" s="3739"/>
      <c r="E119" s="3739"/>
      <c r="F119" s="3739"/>
      <c r="G119" s="440"/>
      <c r="H119" s="3745"/>
      <c r="I119" s="3745"/>
      <c r="J119" s="3747"/>
      <c r="K119" s="3719"/>
      <c r="L119" s="3720"/>
      <c r="M119" s="3672"/>
      <c r="N119" s="3672"/>
      <c r="O119" s="2712" t="s">
        <v>2570</v>
      </c>
      <c r="P119" s="3661"/>
      <c r="Q119" s="3648"/>
      <c r="R119" s="3669"/>
      <c r="S119" s="3644"/>
      <c r="T119" s="3752"/>
      <c r="U119" s="3754"/>
      <c r="V119" s="3297" t="s">
        <v>2571</v>
      </c>
      <c r="W119" s="2713">
        <v>4000000</v>
      </c>
      <c r="X119" s="2511">
        <v>3906733</v>
      </c>
      <c r="Y119" s="2511">
        <f>2507733+72000</f>
        <v>2579733</v>
      </c>
      <c r="Z119" s="2731">
        <v>20</v>
      </c>
      <c r="AA119" s="2636" t="s">
        <v>124</v>
      </c>
      <c r="AB119" s="3663"/>
      <c r="AC119" s="3663"/>
      <c r="AD119" s="3663"/>
      <c r="AE119" s="3663"/>
      <c r="AF119" s="3663"/>
      <c r="AG119" s="3663"/>
      <c r="AH119" s="3663"/>
      <c r="AI119" s="3663"/>
      <c r="AJ119" s="3663"/>
      <c r="AK119" s="3663"/>
      <c r="AL119" s="3663"/>
      <c r="AM119" s="3663"/>
      <c r="AN119" s="3745"/>
      <c r="AO119" s="3745"/>
      <c r="AP119" s="3745"/>
      <c r="AQ119" s="3745"/>
      <c r="AR119" s="3745"/>
      <c r="AS119" s="3745"/>
      <c r="AT119" s="3745"/>
      <c r="AU119" s="3745"/>
      <c r="AV119" s="3745"/>
      <c r="AW119" s="3745"/>
      <c r="AX119" s="3745"/>
      <c r="AY119" s="3745"/>
      <c r="AZ119" s="3751"/>
      <c r="BA119" s="3751"/>
      <c r="BB119" s="3751"/>
      <c r="BC119" s="3751"/>
      <c r="BD119" s="3751"/>
      <c r="BE119" s="3751"/>
      <c r="BF119" s="3663"/>
      <c r="BG119" s="3663"/>
      <c r="BH119" s="3663"/>
      <c r="BI119" s="3749"/>
      <c r="BJ119" s="3749"/>
      <c r="BK119" s="3750"/>
      <c r="BL119" s="3748"/>
      <c r="BM119" s="3748"/>
      <c r="BN119" s="3748"/>
      <c r="BO119" s="3748"/>
      <c r="BP119" s="3748"/>
      <c r="BQ119" s="3748"/>
      <c r="BR119" s="3622"/>
      <c r="BS119" s="440"/>
      <c r="BT119" s="440"/>
      <c r="BU119" s="2606"/>
      <c r="BV119" s="2606"/>
    </row>
    <row r="120" spans="1:74" s="438" customFormat="1" ht="30" customHeight="1" x14ac:dyDescent="0.2">
      <c r="A120" s="3854"/>
      <c r="B120" s="3858"/>
      <c r="C120" s="3859"/>
      <c r="D120" s="3739"/>
      <c r="E120" s="3739"/>
      <c r="F120" s="3739"/>
      <c r="G120" s="440"/>
      <c r="H120" s="3745"/>
      <c r="I120" s="3745"/>
      <c r="J120" s="3747"/>
      <c r="K120" s="3719"/>
      <c r="L120" s="3720"/>
      <c r="M120" s="3672"/>
      <c r="N120" s="3672"/>
      <c r="O120" s="2712"/>
      <c r="P120" s="3661"/>
      <c r="Q120" s="3648"/>
      <c r="R120" s="3669"/>
      <c r="S120" s="3644"/>
      <c r="T120" s="3752"/>
      <c r="U120" s="3754"/>
      <c r="V120" s="3290"/>
      <c r="W120" s="2713">
        <v>16600000</v>
      </c>
      <c r="X120" s="2511">
        <v>13420000</v>
      </c>
      <c r="Y120" s="2511">
        <v>5596000</v>
      </c>
      <c r="Z120" s="2731">
        <v>88</v>
      </c>
      <c r="AA120" s="2636" t="s">
        <v>2562</v>
      </c>
      <c r="AB120" s="3663"/>
      <c r="AC120" s="3663"/>
      <c r="AD120" s="3663"/>
      <c r="AE120" s="3663"/>
      <c r="AF120" s="3663"/>
      <c r="AG120" s="3663"/>
      <c r="AH120" s="3663"/>
      <c r="AI120" s="3663"/>
      <c r="AJ120" s="3663"/>
      <c r="AK120" s="3663"/>
      <c r="AL120" s="3663"/>
      <c r="AM120" s="3663"/>
      <c r="AN120" s="3745"/>
      <c r="AO120" s="3745"/>
      <c r="AP120" s="3745"/>
      <c r="AQ120" s="3745"/>
      <c r="AR120" s="3745"/>
      <c r="AS120" s="3745"/>
      <c r="AT120" s="3745"/>
      <c r="AU120" s="3745"/>
      <c r="AV120" s="3745"/>
      <c r="AW120" s="3745"/>
      <c r="AX120" s="3745"/>
      <c r="AY120" s="3745"/>
      <c r="AZ120" s="3751"/>
      <c r="BA120" s="3751"/>
      <c r="BB120" s="3751"/>
      <c r="BC120" s="3751"/>
      <c r="BD120" s="3751"/>
      <c r="BE120" s="3751"/>
      <c r="BF120" s="3663"/>
      <c r="BG120" s="3663"/>
      <c r="BH120" s="3663"/>
      <c r="BI120" s="3749"/>
      <c r="BJ120" s="3749"/>
      <c r="BK120" s="3750"/>
      <c r="BL120" s="3748"/>
      <c r="BM120" s="3748"/>
      <c r="BN120" s="3748"/>
      <c r="BO120" s="3748"/>
      <c r="BP120" s="3748"/>
      <c r="BQ120" s="3748"/>
      <c r="BR120" s="3622"/>
      <c r="BS120" s="440"/>
      <c r="BT120" s="440"/>
      <c r="BU120" s="2606"/>
      <c r="BV120" s="2606"/>
    </row>
    <row r="121" spans="1:74" s="438" customFormat="1" ht="30" customHeight="1" x14ac:dyDescent="0.2">
      <c r="A121" s="3854"/>
      <c r="B121" s="3858"/>
      <c r="C121" s="3859"/>
      <c r="D121" s="3739"/>
      <c r="E121" s="3739"/>
      <c r="F121" s="3739"/>
      <c r="G121" s="440"/>
      <c r="H121" s="3745"/>
      <c r="I121" s="3745"/>
      <c r="J121" s="3747"/>
      <c r="K121" s="3719"/>
      <c r="L121" s="3720"/>
      <c r="M121" s="3672"/>
      <c r="N121" s="3672"/>
      <c r="O121" s="2712"/>
      <c r="P121" s="3661"/>
      <c r="Q121" s="3648"/>
      <c r="R121" s="3669"/>
      <c r="S121" s="3644"/>
      <c r="T121" s="3752"/>
      <c r="U121" s="3754"/>
      <c r="V121" s="2514" t="s">
        <v>2572</v>
      </c>
      <c r="W121" s="2713">
        <v>0</v>
      </c>
      <c r="X121" s="2511">
        <v>0</v>
      </c>
      <c r="Y121" s="2511">
        <v>0</v>
      </c>
      <c r="Z121" s="2731">
        <v>20</v>
      </c>
      <c r="AA121" s="2636" t="s">
        <v>124</v>
      </c>
      <c r="AB121" s="3663"/>
      <c r="AC121" s="3663"/>
      <c r="AD121" s="3663"/>
      <c r="AE121" s="3663"/>
      <c r="AF121" s="3663"/>
      <c r="AG121" s="3663"/>
      <c r="AH121" s="3663"/>
      <c r="AI121" s="3663"/>
      <c r="AJ121" s="3663"/>
      <c r="AK121" s="3663"/>
      <c r="AL121" s="3663"/>
      <c r="AM121" s="3663"/>
      <c r="AN121" s="3745"/>
      <c r="AO121" s="3745"/>
      <c r="AP121" s="3745"/>
      <c r="AQ121" s="3745"/>
      <c r="AR121" s="3745"/>
      <c r="AS121" s="3745"/>
      <c r="AT121" s="3745"/>
      <c r="AU121" s="3745"/>
      <c r="AV121" s="3745"/>
      <c r="AW121" s="3745"/>
      <c r="AX121" s="3745"/>
      <c r="AY121" s="3745"/>
      <c r="AZ121" s="3751"/>
      <c r="BA121" s="3751"/>
      <c r="BB121" s="3751"/>
      <c r="BC121" s="3751"/>
      <c r="BD121" s="3751"/>
      <c r="BE121" s="3751"/>
      <c r="BF121" s="3663"/>
      <c r="BG121" s="3663"/>
      <c r="BH121" s="3663"/>
      <c r="BI121" s="3749"/>
      <c r="BJ121" s="3749"/>
      <c r="BK121" s="3750"/>
      <c r="BL121" s="3748"/>
      <c r="BM121" s="3748"/>
      <c r="BN121" s="3748"/>
      <c r="BO121" s="3748"/>
      <c r="BP121" s="3748"/>
      <c r="BQ121" s="3748"/>
      <c r="BR121" s="3622"/>
      <c r="BS121" s="440"/>
      <c r="BT121" s="440"/>
      <c r="BU121" s="2707"/>
      <c r="BV121" s="2606"/>
    </row>
    <row r="122" spans="1:74" s="438" customFormat="1" ht="21.75" customHeight="1" x14ac:dyDescent="0.2">
      <c r="A122" s="3854"/>
      <c r="B122" s="3858"/>
      <c r="C122" s="3859"/>
      <c r="D122" s="3739"/>
      <c r="E122" s="3739"/>
      <c r="F122" s="3739"/>
      <c r="G122" s="440"/>
      <c r="H122" s="3745"/>
      <c r="I122" s="3745"/>
      <c r="J122" s="3747"/>
      <c r="K122" s="3719"/>
      <c r="L122" s="3720"/>
      <c r="M122" s="3672"/>
      <c r="N122" s="3672"/>
      <c r="O122" s="2712"/>
      <c r="P122" s="3661"/>
      <c r="Q122" s="3648"/>
      <c r="R122" s="3669"/>
      <c r="S122" s="3644"/>
      <c r="T122" s="3752"/>
      <c r="U122" s="3754"/>
      <c r="V122" s="2645" t="s">
        <v>2573</v>
      </c>
      <c r="W122" s="2713">
        <v>1000000</v>
      </c>
      <c r="X122" s="2511">
        <v>1000000</v>
      </c>
      <c r="Y122" s="2511">
        <v>0</v>
      </c>
      <c r="Z122" s="2731">
        <v>20</v>
      </c>
      <c r="AA122" s="2636" t="s">
        <v>124</v>
      </c>
      <c r="AB122" s="3663"/>
      <c r="AC122" s="3663"/>
      <c r="AD122" s="3663"/>
      <c r="AE122" s="3663"/>
      <c r="AF122" s="3663"/>
      <c r="AG122" s="3663"/>
      <c r="AH122" s="3663"/>
      <c r="AI122" s="3663"/>
      <c r="AJ122" s="3663"/>
      <c r="AK122" s="3663"/>
      <c r="AL122" s="3663"/>
      <c r="AM122" s="3663"/>
      <c r="AN122" s="3745"/>
      <c r="AO122" s="3745"/>
      <c r="AP122" s="3745"/>
      <c r="AQ122" s="3745"/>
      <c r="AR122" s="3745"/>
      <c r="AS122" s="3745"/>
      <c r="AT122" s="3745"/>
      <c r="AU122" s="3745"/>
      <c r="AV122" s="3745"/>
      <c r="AW122" s="3745"/>
      <c r="AX122" s="3745"/>
      <c r="AY122" s="3745"/>
      <c r="AZ122" s="3751"/>
      <c r="BA122" s="3751"/>
      <c r="BB122" s="3751"/>
      <c r="BC122" s="3751"/>
      <c r="BD122" s="3751"/>
      <c r="BE122" s="3751"/>
      <c r="BF122" s="3663"/>
      <c r="BG122" s="3663"/>
      <c r="BH122" s="3663"/>
      <c r="BI122" s="3749"/>
      <c r="BJ122" s="3749"/>
      <c r="BK122" s="3750"/>
      <c r="BL122" s="3748"/>
      <c r="BM122" s="3748"/>
      <c r="BN122" s="3748"/>
      <c r="BO122" s="3748"/>
      <c r="BP122" s="3748"/>
      <c r="BQ122" s="3748"/>
      <c r="BR122" s="3622"/>
      <c r="BS122" s="440"/>
      <c r="BT122" s="440"/>
      <c r="BU122" s="2706"/>
      <c r="BV122" s="2606"/>
    </row>
    <row r="123" spans="1:74" s="438" customFormat="1" ht="27.75" customHeight="1" x14ac:dyDescent="0.2">
      <c r="A123" s="3854"/>
      <c r="B123" s="3858"/>
      <c r="C123" s="3859"/>
      <c r="D123" s="3739"/>
      <c r="E123" s="3739"/>
      <c r="F123" s="3739"/>
      <c r="G123" s="440"/>
      <c r="H123" s="3745"/>
      <c r="I123" s="3745"/>
      <c r="J123" s="3747"/>
      <c r="K123" s="3719"/>
      <c r="L123" s="3720"/>
      <c r="M123" s="3672"/>
      <c r="N123" s="3672"/>
      <c r="O123" s="2712"/>
      <c r="P123" s="3661"/>
      <c r="Q123" s="3648"/>
      <c r="R123" s="3669"/>
      <c r="S123" s="3644"/>
      <c r="T123" s="3752"/>
      <c r="U123" s="3754"/>
      <c r="V123" s="2645" t="s">
        <v>2574</v>
      </c>
      <c r="W123" s="2713">
        <v>1000000</v>
      </c>
      <c r="X123" s="2511">
        <v>1000000</v>
      </c>
      <c r="Y123" s="2511">
        <v>0</v>
      </c>
      <c r="Z123" s="2731">
        <v>20</v>
      </c>
      <c r="AA123" s="2636" t="s">
        <v>124</v>
      </c>
      <c r="AB123" s="3663"/>
      <c r="AC123" s="3663"/>
      <c r="AD123" s="3663"/>
      <c r="AE123" s="3663"/>
      <c r="AF123" s="3663"/>
      <c r="AG123" s="3663"/>
      <c r="AH123" s="3663"/>
      <c r="AI123" s="3663"/>
      <c r="AJ123" s="3663"/>
      <c r="AK123" s="3663"/>
      <c r="AL123" s="3663"/>
      <c r="AM123" s="3663"/>
      <c r="AN123" s="3745"/>
      <c r="AO123" s="3745"/>
      <c r="AP123" s="3745"/>
      <c r="AQ123" s="3745"/>
      <c r="AR123" s="3745"/>
      <c r="AS123" s="3745"/>
      <c r="AT123" s="3745"/>
      <c r="AU123" s="3745"/>
      <c r="AV123" s="3745"/>
      <c r="AW123" s="3745"/>
      <c r="AX123" s="3745"/>
      <c r="AY123" s="3745"/>
      <c r="AZ123" s="3751"/>
      <c r="BA123" s="3751"/>
      <c r="BB123" s="3751"/>
      <c r="BC123" s="3751"/>
      <c r="BD123" s="3751"/>
      <c r="BE123" s="3751"/>
      <c r="BF123" s="3663"/>
      <c r="BG123" s="3663"/>
      <c r="BH123" s="3663"/>
      <c r="BI123" s="3749"/>
      <c r="BJ123" s="3749"/>
      <c r="BK123" s="3750"/>
      <c r="BL123" s="3748"/>
      <c r="BM123" s="3748"/>
      <c r="BN123" s="3748"/>
      <c r="BO123" s="3748"/>
      <c r="BP123" s="3748"/>
      <c r="BQ123" s="3748"/>
      <c r="BR123" s="3622"/>
      <c r="BS123" s="440"/>
      <c r="BT123" s="440"/>
      <c r="BU123" s="2707"/>
      <c r="BV123" s="2606"/>
    </row>
    <row r="124" spans="1:74" s="438" customFormat="1" ht="27" customHeight="1" x14ac:dyDescent="0.2">
      <c r="A124" s="3854"/>
      <c r="B124" s="3858"/>
      <c r="C124" s="3859"/>
      <c r="D124" s="3739"/>
      <c r="E124" s="3739"/>
      <c r="F124" s="3739"/>
      <c r="G124" s="440"/>
      <c r="H124" s="3745"/>
      <c r="I124" s="3745"/>
      <c r="J124" s="3747"/>
      <c r="K124" s="3719"/>
      <c r="L124" s="3720"/>
      <c r="M124" s="3672"/>
      <c r="N124" s="3672"/>
      <c r="O124" s="2712"/>
      <c r="P124" s="3661"/>
      <c r="Q124" s="3648"/>
      <c r="R124" s="3669"/>
      <c r="S124" s="3644"/>
      <c r="T124" s="3752"/>
      <c r="U124" s="3754"/>
      <c r="V124" s="3223" t="s">
        <v>2575</v>
      </c>
      <c r="W124" s="2713">
        <v>2000000</v>
      </c>
      <c r="X124" s="1170">
        <v>2000000</v>
      </c>
      <c r="Y124" s="1170">
        <v>1500000</v>
      </c>
      <c r="Z124" s="2731">
        <v>20</v>
      </c>
      <c r="AA124" s="2636" t="s">
        <v>124</v>
      </c>
      <c r="AB124" s="3663"/>
      <c r="AC124" s="3663"/>
      <c r="AD124" s="3663"/>
      <c r="AE124" s="3663"/>
      <c r="AF124" s="3663"/>
      <c r="AG124" s="3663"/>
      <c r="AH124" s="3663"/>
      <c r="AI124" s="3663"/>
      <c r="AJ124" s="3663"/>
      <c r="AK124" s="3663"/>
      <c r="AL124" s="3663"/>
      <c r="AM124" s="3663"/>
      <c r="AN124" s="3745"/>
      <c r="AO124" s="3745"/>
      <c r="AP124" s="3745"/>
      <c r="AQ124" s="3745"/>
      <c r="AR124" s="3745"/>
      <c r="AS124" s="3745"/>
      <c r="AT124" s="3745"/>
      <c r="AU124" s="3745"/>
      <c r="AV124" s="3745"/>
      <c r="AW124" s="3745"/>
      <c r="AX124" s="3745"/>
      <c r="AY124" s="3745"/>
      <c r="AZ124" s="3751"/>
      <c r="BA124" s="3751"/>
      <c r="BB124" s="3751"/>
      <c r="BC124" s="3751"/>
      <c r="BD124" s="3751"/>
      <c r="BE124" s="3751"/>
      <c r="BF124" s="3663"/>
      <c r="BG124" s="3663"/>
      <c r="BH124" s="3663"/>
      <c r="BI124" s="3749"/>
      <c r="BJ124" s="3749"/>
      <c r="BK124" s="3750"/>
      <c r="BL124" s="3748"/>
      <c r="BM124" s="3748"/>
      <c r="BN124" s="3748"/>
      <c r="BO124" s="3748"/>
      <c r="BP124" s="3748"/>
      <c r="BQ124" s="3748"/>
      <c r="BR124" s="3622"/>
      <c r="BS124" s="440"/>
      <c r="BT124" s="440"/>
      <c r="BU124" s="2606"/>
      <c r="BV124" s="2606"/>
    </row>
    <row r="125" spans="1:74" s="438" customFormat="1" ht="28.5" customHeight="1" x14ac:dyDescent="0.2">
      <c r="A125" s="3854"/>
      <c r="B125" s="3858"/>
      <c r="C125" s="3859"/>
      <c r="D125" s="3739"/>
      <c r="E125" s="3739"/>
      <c r="F125" s="3739"/>
      <c r="G125" s="440"/>
      <c r="H125" s="3745"/>
      <c r="I125" s="3745"/>
      <c r="J125" s="3747"/>
      <c r="K125" s="3719"/>
      <c r="L125" s="3720"/>
      <c r="M125" s="3672"/>
      <c r="N125" s="3672"/>
      <c r="O125" s="2712"/>
      <c r="P125" s="3661"/>
      <c r="Q125" s="3648"/>
      <c r="R125" s="3669"/>
      <c r="S125" s="3644"/>
      <c r="T125" s="3752"/>
      <c r="U125" s="3754"/>
      <c r="V125" s="3224"/>
      <c r="W125" s="2713">
        <v>10000000</v>
      </c>
      <c r="X125" s="1170">
        <v>0</v>
      </c>
      <c r="Y125" s="1170">
        <v>0</v>
      </c>
      <c r="Z125" s="2731">
        <v>88</v>
      </c>
      <c r="AA125" s="2636" t="s">
        <v>2562</v>
      </c>
      <c r="AB125" s="3663"/>
      <c r="AC125" s="3663"/>
      <c r="AD125" s="3663"/>
      <c r="AE125" s="3663"/>
      <c r="AF125" s="3663"/>
      <c r="AG125" s="3663"/>
      <c r="AH125" s="3663"/>
      <c r="AI125" s="3663"/>
      <c r="AJ125" s="3663"/>
      <c r="AK125" s="3663"/>
      <c r="AL125" s="3663"/>
      <c r="AM125" s="3663"/>
      <c r="AN125" s="3745"/>
      <c r="AO125" s="3745"/>
      <c r="AP125" s="3745"/>
      <c r="AQ125" s="3745"/>
      <c r="AR125" s="3745"/>
      <c r="AS125" s="3745"/>
      <c r="AT125" s="3745"/>
      <c r="AU125" s="3745"/>
      <c r="AV125" s="3745"/>
      <c r="AW125" s="3745"/>
      <c r="AX125" s="3745"/>
      <c r="AY125" s="3745"/>
      <c r="AZ125" s="3751"/>
      <c r="BA125" s="3751"/>
      <c r="BB125" s="3751"/>
      <c r="BC125" s="3751"/>
      <c r="BD125" s="3751"/>
      <c r="BE125" s="3751"/>
      <c r="BF125" s="3663"/>
      <c r="BG125" s="3663"/>
      <c r="BH125" s="3663"/>
      <c r="BI125" s="3749"/>
      <c r="BJ125" s="3749"/>
      <c r="BK125" s="3750"/>
      <c r="BL125" s="3748"/>
      <c r="BM125" s="3748"/>
      <c r="BN125" s="3748"/>
      <c r="BO125" s="3748"/>
      <c r="BP125" s="3748"/>
      <c r="BQ125" s="3748"/>
      <c r="BR125" s="3622"/>
      <c r="BS125" s="440"/>
      <c r="BT125" s="440"/>
      <c r="BU125" s="2606"/>
      <c r="BV125" s="2606"/>
    </row>
    <row r="126" spans="1:74" s="438" customFormat="1" ht="30.75" customHeight="1" x14ac:dyDescent="0.2">
      <c r="A126" s="3854"/>
      <c r="B126" s="3858"/>
      <c r="C126" s="3859"/>
      <c r="D126" s="3739"/>
      <c r="E126" s="3739"/>
      <c r="F126" s="3739"/>
      <c r="G126" s="440"/>
      <c r="H126" s="3745"/>
      <c r="I126" s="3745"/>
      <c r="J126" s="3747"/>
      <c r="K126" s="3719"/>
      <c r="L126" s="3720"/>
      <c r="M126" s="3672"/>
      <c r="N126" s="3672"/>
      <c r="O126" s="2712"/>
      <c r="P126" s="3661"/>
      <c r="Q126" s="3648"/>
      <c r="R126" s="3669"/>
      <c r="S126" s="3644"/>
      <c r="T126" s="3752"/>
      <c r="U126" s="3754"/>
      <c r="V126" s="3223" t="s">
        <v>2576</v>
      </c>
      <c r="W126" s="2713">
        <v>3000000</v>
      </c>
      <c r="X126" s="1170">
        <v>3000000</v>
      </c>
      <c r="Y126" s="1170">
        <v>3000000</v>
      </c>
      <c r="Z126" s="2733">
        <v>20</v>
      </c>
      <c r="AA126" s="2734" t="s">
        <v>124</v>
      </c>
      <c r="AB126" s="3663"/>
      <c r="AC126" s="3663"/>
      <c r="AD126" s="3663"/>
      <c r="AE126" s="3663"/>
      <c r="AF126" s="3663"/>
      <c r="AG126" s="3663"/>
      <c r="AH126" s="3663"/>
      <c r="AI126" s="3663"/>
      <c r="AJ126" s="3663"/>
      <c r="AK126" s="3663"/>
      <c r="AL126" s="3663"/>
      <c r="AM126" s="3663"/>
      <c r="AN126" s="3745"/>
      <c r="AO126" s="3745"/>
      <c r="AP126" s="3745"/>
      <c r="AQ126" s="3745"/>
      <c r="AR126" s="3745"/>
      <c r="AS126" s="3745"/>
      <c r="AT126" s="3745"/>
      <c r="AU126" s="3745"/>
      <c r="AV126" s="3745"/>
      <c r="AW126" s="3745"/>
      <c r="AX126" s="3745"/>
      <c r="AY126" s="3745"/>
      <c r="AZ126" s="3751"/>
      <c r="BA126" s="3751"/>
      <c r="BB126" s="3751"/>
      <c r="BC126" s="3751"/>
      <c r="BD126" s="3751"/>
      <c r="BE126" s="3751"/>
      <c r="BF126" s="3663"/>
      <c r="BG126" s="3663"/>
      <c r="BH126" s="3663"/>
      <c r="BI126" s="3749"/>
      <c r="BJ126" s="3749"/>
      <c r="BK126" s="3750"/>
      <c r="BL126" s="3748"/>
      <c r="BM126" s="3748"/>
      <c r="BN126" s="3748"/>
      <c r="BO126" s="3748"/>
      <c r="BP126" s="3748"/>
      <c r="BQ126" s="3748"/>
      <c r="BR126" s="3622"/>
      <c r="BS126" s="440"/>
      <c r="BT126" s="440"/>
    </row>
    <row r="127" spans="1:74" s="438" customFormat="1" ht="31.5" customHeight="1" x14ac:dyDescent="0.2">
      <c r="A127" s="3854"/>
      <c r="B127" s="3858"/>
      <c r="C127" s="3859"/>
      <c r="D127" s="3739"/>
      <c r="E127" s="3739"/>
      <c r="F127" s="3739"/>
      <c r="G127" s="440"/>
      <c r="H127" s="3745"/>
      <c r="I127" s="3745"/>
      <c r="J127" s="3747"/>
      <c r="K127" s="3719"/>
      <c r="L127" s="3720"/>
      <c r="M127" s="3672"/>
      <c r="N127" s="3672"/>
      <c r="O127" s="2712"/>
      <c r="P127" s="3661"/>
      <c r="Q127" s="3648"/>
      <c r="R127" s="3669"/>
      <c r="S127" s="3645"/>
      <c r="T127" s="3753"/>
      <c r="U127" s="3755"/>
      <c r="V127" s="3224"/>
      <c r="W127" s="2713">
        <v>8000000</v>
      </c>
      <c r="X127" s="1170"/>
      <c r="Y127" s="1170"/>
      <c r="Z127" s="2733">
        <v>88</v>
      </c>
      <c r="AA127" s="2636" t="s">
        <v>2562</v>
      </c>
      <c r="AB127" s="3663"/>
      <c r="AC127" s="3663"/>
      <c r="AD127" s="3663"/>
      <c r="AE127" s="3663"/>
      <c r="AF127" s="3663"/>
      <c r="AG127" s="3663"/>
      <c r="AH127" s="3663"/>
      <c r="AI127" s="3663"/>
      <c r="AJ127" s="3663"/>
      <c r="AK127" s="3663"/>
      <c r="AL127" s="3663"/>
      <c r="AM127" s="3663"/>
      <c r="AN127" s="3745"/>
      <c r="AO127" s="3745"/>
      <c r="AP127" s="3745"/>
      <c r="AQ127" s="3745"/>
      <c r="AR127" s="3745"/>
      <c r="AS127" s="3745"/>
      <c r="AT127" s="3745"/>
      <c r="AU127" s="3745"/>
      <c r="AV127" s="3745"/>
      <c r="AW127" s="3745"/>
      <c r="AX127" s="3745"/>
      <c r="AY127" s="3745"/>
      <c r="AZ127" s="3751"/>
      <c r="BA127" s="3751"/>
      <c r="BB127" s="3751"/>
      <c r="BC127" s="3751"/>
      <c r="BD127" s="3751"/>
      <c r="BE127" s="3751"/>
      <c r="BF127" s="3663"/>
      <c r="BG127" s="3663"/>
      <c r="BH127" s="3663"/>
      <c r="BI127" s="3749"/>
      <c r="BJ127" s="3749"/>
      <c r="BK127" s="3750"/>
      <c r="BL127" s="3748"/>
      <c r="BM127" s="3748"/>
      <c r="BN127" s="3748"/>
      <c r="BO127" s="3748"/>
      <c r="BP127" s="3748"/>
      <c r="BQ127" s="3748"/>
      <c r="BR127" s="3622"/>
      <c r="BS127" s="440"/>
      <c r="BT127" s="440"/>
    </row>
    <row r="128" spans="1:74" s="440" customFormat="1" ht="15" customHeight="1" x14ac:dyDescent="0.2">
      <c r="A128" s="3854"/>
      <c r="B128" s="3858"/>
      <c r="C128" s="3859"/>
      <c r="D128" s="930">
        <v>25</v>
      </c>
      <c r="E128" s="931" t="s">
        <v>2577</v>
      </c>
      <c r="F128" s="931"/>
      <c r="G128" s="2608"/>
      <c r="H128" s="2608"/>
      <c r="I128" s="2608"/>
      <c r="J128" s="2686"/>
      <c r="K128" s="2687"/>
      <c r="L128" s="2688"/>
      <c r="M128" s="2689"/>
      <c r="N128" s="2689"/>
      <c r="O128" s="2612"/>
      <c r="P128" s="2609"/>
      <c r="Q128" s="2611"/>
      <c r="R128" s="2690"/>
      <c r="S128" s="2691"/>
      <c r="T128" s="2688"/>
      <c r="U128" s="2687"/>
      <c r="V128" s="2687"/>
      <c r="W128" s="2692"/>
      <c r="X128" s="2692"/>
      <c r="Y128" s="2693"/>
      <c r="Z128" s="2694"/>
      <c r="AA128" s="2694"/>
      <c r="AB128" s="2608"/>
      <c r="AC128" s="2608"/>
      <c r="AD128" s="2608"/>
      <c r="AE128" s="2608"/>
      <c r="AF128" s="2608"/>
      <c r="AG128" s="2608"/>
      <c r="AH128" s="2608"/>
      <c r="AI128" s="2608"/>
      <c r="AJ128" s="2608"/>
      <c r="AK128" s="2608"/>
      <c r="AL128" s="2608"/>
      <c r="AM128" s="2608"/>
      <c r="AN128" s="2608"/>
      <c r="AO128" s="2608"/>
      <c r="AP128" s="2608"/>
      <c r="AQ128" s="2608"/>
      <c r="AR128" s="2608"/>
      <c r="AS128" s="2608"/>
      <c r="AT128" s="2608"/>
      <c r="AU128" s="2608"/>
      <c r="AV128" s="2608"/>
      <c r="AW128" s="2608"/>
      <c r="AX128" s="2608"/>
      <c r="AY128" s="2608"/>
      <c r="AZ128" s="2608"/>
      <c r="BA128" s="2608"/>
      <c r="BB128" s="2617"/>
      <c r="BC128" s="2617"/>
      <c r="BD128" s="2611"/>
      <c r="BE128" s="2611"/>
      <c r="BF128" s="2611"/>
      <c r="BG128" s="2611"/>
      <c r="BH128" s="2611"/>
      <c r="BI128" s="2695"/>
      <c r="BJ128" s="2695"/>
      <c r="BK128" s="2611"/>
      <c r="BL128" s="2611"/>
      <c r="BM128" s="2611"/>
      <c r="BN128" s="2611"/>
      <c r="BO128" s="2611"/>
      <c r="BP128" s="2611"/>
      <c r="BQ128" s="2611"/>
      <c r="BR128" s="2618"/>
    </row>
    <row r="129" spans="1:72" s="440" customFormat="1" ht="15" customHeight="1" x14ac:dyDescent="0.2">
      <c r="A129" s="3854"/>
      <c r="B129" s="3858"/>
      <c r="C129" s="3859"/>
      <c r="D129" s="3739"/>
      <c r="E129" s="3739"/>
      <c r="F129" s="3739"/>
      <c r="G129" s="2619">
        <v>81</v>
      </c>
      <c r="H129" s="1109" t="s">
        <v>2578</v>
      </c>
      <c r="I129" s="1109"/>
      <c r="J129" s="2620"/>
      <c r="K129" s="2363"/>
      <c r="L129" s="2367"/>
      <c r="M129" s="1209"/>
      <c r="N129" s="1209"/>
      <c r="O129" s="1215"/>
      <c r="P129" s="1216"/>
      <c r="Q129" s="1111"/>
      <c r="R129" s="2621"/>
      <c r="S129" s="1234"/>
      <c r="T129" s="2367"/>
      <c r="U129" s="2363"/>
      <c r="V129" s="2363"/>
      <c r="W129" s="2660"/>
      <c r="X129" s="2660"/>
      <c r="Y129" s="2661"/>
      <c r="Z129" s="2696"/>
      <c r="AA129" s="2696"/>
      <c r="AB129" s="1114"/>
      <c r="AC129" s="1114"/>
      <c r="AD129" s="1114"/>
      <c r="AE129" s="1114"/>
      <c r="AF129" s="1114"/>
      <c r="AG129" s="1114"/>
      <c r="AH129" s="1114"/>
      <c r="AI129" s="1114"/>
      <c r="AJ129" s="1114"/>
      <c r="AK129" s="1114"/>
      <c r="AL129" s="1114"/>
      <c r="AM129" s="1114"/>
      <c r="AN129" s="1114"/>
      <c r="AO129" s="1114"/>
      <c r="AP129" s="1114"/>
      <c r="AQ129" s="1114"/>
      <c r="AR129" s="1114"/>
      <c r="AS129" s="1114"/>
      <c r="AT129" s="1114"/>
      <c r="AU129" s="1114"/>
      <c r="AV129" s="1114"/>
      <c r="AW129" s="1114"/>
      <c r="AX129" s="1114"/>
      <c r="AY129" s="1114"/>
      <c r="AZ129" s="1116"/>
      <c r="BA129" s="1116"/>
      <c r="BB129" s="1116"/>
      <c r="BC129" s="1116"/>
      <c r="BD129" s="1111"/>
      <c r="BE129" s="1111"/>
      <c r="BF129" s="1111"/>
      <c r="BG129" s="1111"/>
      <c r="BH129" s="1111"/>
      <c r="BI129" s="2735"/>
      <c r="BJ129" s="2735"/>
      <c r="BK129" s="1111"/>
      <c r="BL129" s="1111"/>
      <c r="BM129" s="1111"/>
      <c r="BN129" s="1111"/>
      <c r="BO129" s="1111"/>
      <c r="BP129" s="1111"/>
      <c r="BQ129" s="1111"/>
      <c r="BR129" s="1117"/>
    </row>
    <row r="130" spans="1:72" s="438" customFormat="1" ht="51" customHeight="1" x14ac:dyDescent="0.2">
      <c r="A130" s="3854"/>
      <c r="B130" s="3858"/>
      <c r="C130" s="3859"/>
      <c r="D130" s="3739"/>
      <c r="E130" s="3739"/>
      <c r="F130" s="3739"/>
      <c r="G130" s="440"/>
      <c r="H130" s="2626"/>
      <c r="I130" s="396"/>
      <c r="J130" s="3673">
        <v>236</v>
      </c>
      <c r="K130" s="3674" t="s">
        <v>2579</v>
      </c>
      <c r="L130" s="3674" t="s">
        <v>2580</v>
      </c>
      <c r="M130" s="3673">
        <v>7</v>
      </c>
      <c r="N130" s="3740">
        <v>5</v>
      </c>
      <c r="O130" s="3742" t="s">
        <v>2581</v>
      </c>
      <c r="P130" s="3661" t="s">
        <v>2582</v>
      </c>
      <c r="Q130" s="3648" t="s">
        <v>2583</v>
      </c>
      <c r="R130" s="2736">
        <f>SUM(W130)/S130</f>
        <v>9.6461025307242779E-2</v>
      </c>
      <c r="S130" s="3715">
        <f>SUM(W130:W159)</f>
        <v>1055866861</v>
      </c>
      <c r="T130" s="3665" t="s">
        <v>2584</v>
      </c>
      <c r="U130" s="3665" t="s">
        <v>2585</v>
      </c>
      <c r="V130" s="3708" t="s">
        <v>2586</v>
      </c>
      <c r="W130" s="2511">
        <v>101850000</v>
      </c>
      <c r="X130" s="2512">
        <v>96850000</v>
      </c>
      <c r="Y130" s="2512">
        <v>96850000</v>
      </c>
      <c r="Z130" s="2737" t="s">
        <v>123</v>
      </c>
      <c r="AA130" s="2636" t="s">
        <v>180</v>
      </c>
      <c r="AB130" s="3736">
        <v>9110</v>
      </c>
      <c r="AC130" s="3736">
        <v>5326</v>
      </c>
      <c r="AD130" s="3736">
        <v>8787</v>
      </c>
      <c r="AE130" s="3736">
        <v>3615</v>
      </c>
      <c r="AF130" s="3631">
        <v>4273</v>
      </c>
      <c r="AG130" s="3736">
        <v>1406</v>
      </c>
      <c r="AH130" s="3631">
        <v>3599</v>
      </c>
      <c r="AI130" s="3736">
        <v>1345</v>
      </c>
      <c r="AJ130" s="3736">
        <v>7463</v>
      </c>
      <c r="AK130" s="3736">
        <v>1850</v>
      </c>
      <c r="AL130" s="3736">
        <v>2562</v>
      </c>
      <c r="AM130" s="3736">
        <v>1005</v>
      </c>
      <c r="AN130" s="3733"/>
      <c r="AO130" s="3733"/>
      <c r="AP130" s="3733"/>
      <c r="AQ130" s="3733"/>
      <c r="AR130" s="3733"/>
      <c r="AS130" s="3733"/>
      <c r="AT130" s="3733"/>
      <c r="AU130" s="3733"/>
      <c r="AV130" s="3733"/>
      <c r="AW130" s="3733"/>
      <c r="AX130" s="3733"/>
      <c r="AY130" s="3733"/>
      <c r="AZ130" s="3733"/>
      <c r="BA130" s="3733"/>
      <c r="BB130" s="3733"/>
      <c r="BC130" s="3733"/>
      <c r="BD130" s="3733"/>
      <c r="BE130" s="3733"/>
      <c r="BF130" s="3631">
        <v>17897</v>
      </c>
      <c r="BG130" s="3631">
        <v>8941</v>
      </c>
      <c r="BH130" s="3730">
        <v>31</v>
      </c>
      <c r="BI130" s="3625">
        <f>SUM(X130:X159)</f>
        <v>624584095</v>
      </c>
      <c r="BJ130" s="3625">
        <f>SUM(Y130:Y159)</f>
        <v>368917460</v>
      </c>
      <c r="BK130" s="3628">
        <f>BJ130/BI130</f>
        <v>0.59066099017458973</v>
      </c>
      <c r="BL130" s="3631">
        <v>20</v>
      </c>
      <c r="BM130" s="3691" t="s">
        <v>2587</v>
      </c>
      <c r="BN130" s="3616">
        <v>43480</v>
      </c>
      <c r="BO130" s="3619">
        <v>43631</v>
      </c>
      <c r="BP130" s="3616">
        <v>43819</v>
      </c>
      <c r="BQ130" s="3619">
        <v>43819</v>
      </c>
      <c r="BR130" s="3622" t="s">
        <v>2456</v>
      </c>
      <c r="BS130" s="440"/>
      <c r="BT130" s="440"/>
    </row>
    <row r="131" spans="1:72" s="438" customFormat="1" ht="51" customHeight="1" x14ac:dyDescent="0.2">
      <c r="A131" s="3854"/>
      <c r="B131" s="3858"/>
      <c r="C131" s="3859"/>
      <c r="D131" s="3739"/>
      <c r="E131" s="3739"/>
      <c r="F131" s="3739"/>
      <c r="G131" s="440"/>
      <c r="H131" s="2631"/>
      <c r="I131" s="2632"/>
      <c r="J131" s="3655"/>
      <c r="K131" s="3647"/>
      <c r="L131" s="3647"/>
      <c r="M131" s="3655"/>
      <c r="N131" s="3741"/>
      <c r="O131" s="3743"/>
      <c r="P131" s="3661"/>
      <c r="Q131" s="3648"/>
      <c r="R131" s="2736">
        <f>SUM(W131)/S130</f>
        <v>8.338797366612305E-2</v>
      </c>
      <c r="S131" s="3716"/>
      <c r="T131" s="3665"/>
      <c r="U131" s="3665"/>
      <c r="V131" s="3709"/>
      <c r="W131" s="2511">
        <v>88046598</v>
      </c>
      <c r="X131" s="2512">
        <v>0</v>
      </c>
      <c r="Y131" s="2511">
        <v>0</v>
      </c>
      <c r="Z131" s="2737">
        <v>88</v>
      </c>
      <c r="AA131" s="2636" t="s">
        <v>2562</v>
      </c>
      <c r="AB131" s="3737"/>
      <c r="AC131" s="3737"/>
      <c r="AD131" s="3737"/>
      <c r="AE131" s="3737"/>
      <c r="AF131" s="3632"/>
      <c r="AG131" s="3737"/>
      <c r="AH131" s="3632"/>
      <c r="AI131" s="3737"/>
      <c r="AJ131" s="3737"/>
      <c r="AK131" s="3737"/>
      <c r="AL131" s="3737"/>
      <c r="AM131" s="3737"/>
      <c r="AN131" s="3734"/>
      <c r="AO131" s="3734"/>
      <c r="AP131" s="3734"/>
      <c r="AQ131" s="3734"/>
      <c r="AR131" s="3734"/>
      <c r="AS131" s="3734"/>
      <c r="AT131" s="3734"/>
      <c r="AU131" s="3734"/>
      <c r="AV131" s="3734"/>
      <c r="AW131" s="3734"/>
      <c r="AX131" s="3734"/>
      <c r="AY131" s="3734"/>
      <c r="AZ131" s="3734"/>
      <c r="BA131" s="3734"/>
      <c r="BB131" s="3734"/>
      <c r="BC131" s="3734"/>
      <c r="BD131" s="3734"/>
      <c r="BE131" s="3734"/>
      <c r="BF131" s="3632"/>
      <c r="BG131" s="3632"/>
      <c r="BH131" s="3731"/>
      <c r="BI131" s="3626"/>
      <c r="BJ131" s="3626"/>
      <c r="BK131" s="3629"/>
      <c r="BL131" s="3632"/>
      <c r="BM131" s="3712"/>
      <c r="BN131" s="3617"/>
      <c r="BO131" s="3620"/>
      <c r="BP131" s="3617"/>
      <c r="BQ131" s="3620"/>
      <c r="BR131" s="3622"/>
      <c r="BS131" s="440"/>
      <c r="BT131" s="440"/>
    </row>
    <row r="132" spans="1:72" s="438" customFormat="1" ht="40.5" customHeight="1" x14ac:dyDescent="0.2">
      <c r="A132" s="3854"/>
      <c r="B132" s="3858"/>
      <c r="C132" s="3859"/>
      <c r="D132" s="3739"/>
      <c r="E132" s="3739"/>
      <c r="F132" s="3739"/>
      <c r="G132" s="440"/>
      <c r="H132" s="2631"/>
      <c r="I132" s="2632"/>
      <c r="J132" s="3718">
        <v>237</v>
      </c>
      <c r="K132" s="3719" t="s">
        <v>2588</v>
      </c>
      <c r="L132" s="3720" t="s">
        <v>2589</v>
      </c>
      <c r="M132" s="3746">
        <v>5</v>
      </c>
      <c r="N132" s="3672">
        <v>12</v>
      </c>
      <c r="O132" s="3743"/>
      <c r="P132" s="3661"/>
      <c r="Q132" s="3648"/>
      <c r="R132" s="3711">
        <f>SUM(W132:W133)/S130</f>
        <v>1.8941782092732996E-2</v>
      </c>
      <c r="S132" s="3716"/>
      <c r="T132" s="3665"/>
      <c r="U132" s="3665"/>
      <c r="V132" s="2638" t="s">
        <v>2590</v>
      </c>
      <c r="W132" s="2511">
        <v>10000000</v>
      </c>
      <c r="X132" s="2511">
        <v>10000000</v>
      </c>
      <c r="Y132" s="2511">
        <f>5000000+3854600</f>
        <v>8854600</v>
      </c>
      <c r="Z132" s="2731">
        <v>20</v>
      </c>
      <c r="AA132" s="2636" t="s">
        <v>124</v>
      </c>
      <c r="AB132" s="3737"/>
      <c r="AC132" s="3737"/>
      <c r="AD132" s="3737"/>
      <c r="AE132" s="3737"/>
      <c r="AF132" s="3632"/>
      <c r="AG132" s="3737"/>
      <c r="AH132" s="3632"/>
      <c r="AI132" s="3737"/>
      <c r="AJ132" s="3737"/>
      <c r="AK132" s="3737"/>
      <c r="AL132" s="3737"/>
      <c r="AM132" s="3737"/>
      <c r="AN132" s="3734"/>
      <c r="AO132" s="3734"/>
      <c r="AP132" s="3734"/>
      <c r="AQ132" s="3734"/>
      <c r="AR132" s="3734"/>
      <c r="AS132" s="3734"/>
      <c r="AT132" s="3734"/>
      <c r="AU132" s="3734"/>
      <c r="AV132" s="3734"/>
      <c r="AW132" s="3734"/>
      <c r="AX132" s="3734"/>
      <c r="AY132" s="3734"/>
      <c r="AZ132" s="3734"/>
      <c r="BA132" s="3734"/>
      <c r="BB132" s="3734"/>
      <c r="BC132" s="3734"/>
      <c r="BD132" s="3734"/>
      <c r="BE132" s="3734"/>
      <c r="BF132" s="3632"/>
      <c r="BG132" s="3632"/>
      <c r="BH132" s="3731"/>
      <c r="BI132" s="3626"/>
      <c r="BJ132" s="3626"/>
      <c r="BK132" s="3629"/>
      <c r="BL132" s="3632"/>
      <c r="BM132" s="3712"/>
      <c r="BN132" s="3617"/>
      <c r="BO132" s="3620"/>
      <c r="BP132" s="3617"/>
      <c r="BQ132" s="3620"/>
      <c r="BR132" s="3729"/>
      <c r="BS132" s="3690"/>
      <c r="BT132" s="440"/>
    </row>
    <row r="133" spans="1:72" s="438" customFormat="1" ht="59.25" customHeight="1" x14ac:dyDescent="0.2">
      <c r="A133" s="3854"/>
      <c r="B133" s="3858"/>
      <c r="C133" s="3859"/>
      <c r="D133" s="3739"/>
      <c r="E133" s="3739"/>
      <c r="F133" s="3739"/>
      <c r="G133" s="440"/>
      <c r="H133" s="2631"/>
      <c r="I133" s="2632"/>
      <c r="J133" s="3718"/>
      <c r="K133" s="3719"/>
      <c r="L133" s="3720"/>
      <c r="M133" s="3746"/>
      <c r="N133" s="3672"/>
      <c r="O133" s="3743"/>
      <c r="P133" s="3661"/>
      <c r="Q133" s="3648"/>
      <c r="R133" s="3711"/>
      <c r="S133" s="3716"/>
      <c r="T133" s="3665"/>
      <c r="U133" s="3665"/>
      <c r="V133" s="2638" t="s">
        <v>2591</v>
      </c>
      <c r="W133" s="2511">
        <v>10000000</v>
      </c>
      <c r="X133" s="2511">
        <v>10000000</v>
      </c>
      <c r="Y133" s="2511">
        <v>10000000</v>
      </c>
      <c r="Z133" s="2731">
        <v>20</v>
      </c>
      <c r="AA133" s="2636" t="s">
        <v>124</v>
      </c>
      <c r="AB133" s="3737"/>
      <c r="AC133" s="3737"/>
      <c r="AD133" s="3737"/>
      <c r="AE133" s="3737"/>
      <c r="AF133" s="3632"/>
      <c r="AG133" s="3737"/>
      <c r="AH133" s="3632"/>
      <c r="AI133" s="3737"/>
      <c r="AJ133" s="3737"/>
      <c r="AK133" s="3737"/>
      <c r="AL133" s="3737"/>
      <c r="AM133" s="3737"/>
      <c r="AN133" s="3734"/>
      <c r="AO133" s="3734"/>
      <c r="AP133" s="3734"/>
      <c r="AQ133" s="3734"/>
      <c r="AR133" s="3734"/>
      <c r="AS133" s="3734"/>
      <c r="AT133" s="3734"/>
      <c r="AU133" s="3734"/>
      <c r="AV133" s="3734"/>
      <c r="AW133" s="3734"/>
      <c r="AX133" s="3734"/>
      <c r="AY133" s="3734"/>
      <c r="AZ133" s="3734"/>
      <c r="BA133" s="3734"/>
      <c r="BB133" s="3734"/>
      <c r="BC133" s="3734"/>
      <c r="BD133" s="3734"/>
      <c r="BE133" s="3734"/>
      <c r="BF133" s="3632"/>
      <c r="BG133" s="3632"/>
      <c r="BH133" s="3731"/>
      <c r="BI133" s="3626"/>
      <c r="BJ133" s="3626"/>
      <c r="BK133" s="3629"/>
      <c r="BL133" s="3632"/>
      <c r="BM133" s="3712"/>
      <c r="BN133" s="3617"/>
      <c r="BO133" s="3620"/>
      <c r="BP133" s="3617"/>
      <c r="BQ133" s="3620"/>
      <c r="BR133" s="3729"/>
      <c r="BS133" s="3690"/>
      <c r="BT133" s="440"/>
    </row>
    <row r="134" spans="1:72" s="438" customFormat="1" ht="35.25" customHeight="1" x14ac:dyDescent="0.2">
      <c r="A134" s="3854"/>
      <c r="B134" s="3858"/>
      <c r="C134" s="3859"/>
      <c r="D134" s="3739"/>
      <c r="E134" s="3739"/>
      <c r="F134" s="3739"/>
      <c r="G134" s="440"/>
      <c r="H134" s="2631"/>
      <c r="I134" s="2632"/>
      <c r="J134" s="3705">
        <v>238</v>
      </c>
      <c r="K134" s="3706" t="s">
        <v>2592</v>
      </c>
      <c r="L134" s="3708" t="s">
        <v>2593</v>
      </c>
      <c r="M134" s="3705">
        <v>12</v>
      </c>
      <c r="N134" s="3673">
        <v>12</v>
      </c>
      <c r="O134" s="3743"/>
      <c r="P134" s="3661"/>
      <c r="Q134" s="3648"/>
      <c r="R134" s="3703">
        <f>SUM(W134:W143)/S130</f>
        <v>0.11881031466523126</v>
      </c>
      <c r="S134" s="3716"/>
      <c r="T134" s="3665"/>
      <c r="U134" s="3665"/>
      <c r="V134" s="3708" t="s">
        <v>2594</v>
      </c>
      <c r="W134" s="2511">
        <v>18440166</v>
      </c>
      <c r="X134" s="2511">
        <v>18440166</v>
      </c>
      <c r="Y134" s="2511">
        <v>16214166</v>
      </c>
      <c r="Z134" s="2731">
        <v>20</v>
      </c>
      <c r="AA134" s="2636" t="s">
        <v>124</v>
      </c>
      <c r="AB134" s="3737"/>
      <c r="AC134" s="3737"/>
      <c r="AD134" s="3737"/>
      <c r="AE134" s="3737"/>
      <c r="AF134" s="3632"/>
      <c r="AG134" s="3737"/>
      <c r="AH134" s="3632"/>
      <c r="AI134" s="3737"/>
      <c r="AJ134" s="3737"/>
      <c r="AK134" s="3737"/>
      <c r="AL134" s="3737"/>
      <c r="AM134" s="3737"/>
      <c r="AN134" s="3734"/>
      <c r="AO134" s="3734"/>
      <c r="AP134" s="3734"/>
      <c r="AQ134" s="3734"/>
      <c r="AR134" s="3734"/>
      <c r="AS134" s="3734"/>
      <c r="AT134" s="3734"/>
      <c r="AU134" s="3734"/>
      <c r="AV134" s="3734"/>
      <c r="AW134" s="3734"/>
      <c r="AX134" s="3734"/>
      <c r="AY134" s="3734"/>
      <c r="AZ134" s="3734"/>
      <c r="BA134" s="3734"/>
      <c r="BB134" s="3734"/>
      <c r="BC134" s="3734"/>
      <c r="BD134" s="3734"/>
      <c r="BE134" s="3734"/>
      <c r="BF134" s="3632"/>
      <c r="BG134" s="3632"/>
      <c r="BH134" s="3731"/>
      <c r="BI134" s="3626"/>
      <c r="BJ134" s="3626"/>
      <c r="BK134" s="3629"/>
      <c r="BL134" s="3632"/>
      <c r="BM134" s="3712"/>
      <c r="BN134" s="3617"/>
      <c r="BO134" s="3620"/>
      <c r="BP134" s="3617"/>
      <c r="BQ134" s="3620"/>
      <c r="BR134" s="3729"/>
      <c r="BS134" s="3690"/>
      <c r="BT134" s="440"/>
    </row>
    <row r="135" spans="1:72" s="438" customFormat="1" ht="35.25" customHeight="1" x14ac:dyDescent="0.2">
      <c r="A135" s="3854"/>
      <c r="B135" s="3858"/>
      <c r="C135" s="3859"/>
      <c r="D135" s="3739"/>
      <c r="E135" s="3739"/>
      <c r="F135" s="3739"/>
      <c r="G135" s="440"/>
      <c r="H135" s="2631"/>
      <c r="I135" s="2632"/>
      <c r="J135" s="3652"/>
      <c r="K135" s="3724"/>
      <c r="L135" s="3728"/>
      <c r="M135" s="3652"/>
      <c r="N135" s="3654"/>
      <c r="O135" s="3743"/>
      <c r="P135" s="3661"/>
      <c r="Q135" s="3648"/>
      <c r="R135" s="3642"/>
      <c r="S135" s="3716"/>
      <c r="T135" s="3665"/>
      <c r="U135" s="3665"/>
      <c r="V135" s="3709"/>
      <c r="W135" s="2511">
        <v>31618000</v>
      </c>
      <c r="X135" s="2511">
        <v>0</v>
      </c>
      <c r="Y135" s="2511">
        <v>0</v>
      </c>
      <c r="Z135" s="2731">
        <v>88</v>
      </c>
      <c r="AA135" s="2636" t="s">
        <v>2562</v>
      </c>
      <c r="AB135" s="3737"/>
      <c r="AC135" s="3737"/>
      <c r="AD135" s="3737"/>
      <c r="AE135" s="3737"/>
      <c r="AF135" s="3632"/>
      <c r="AG135" s="3737"/>
      <c r="AH135" s="3632"/>
      <c r="AI135" s="3737"/>
      <c r="AJ135" s="3737"/>
      <c r="AK135" s="3737"/>
      <c r="AL135" s="3737"/>
      <c r="AM135" s="3737"/>
      <c r="AN135" s="3734"/>
      <c r="AO135" s="3734"/>
      <c r="AP135" s="3734"/>
      <c r="AQ135" s="3734"/>
      <c r="AR135" s="3734"/>
      <c r="AS135" s="3734"/>
      <c r="AT135" s="3734"/>
      <c r="AU135" s="3734"/>
      <c r="AV135" s="3734"/>
      <c r="AW135" s="3734"/>
      <c r="AX135" s="3734"/>
      <c r="AY135" s="3734"/>
      <c r="AZ135" s="3734"/>
      <c r="BA135" s="3734"/>
      <c r="BB135" s="3734"/>
      <c r="BC135" s="3734"/>
      <c r="BD135" s="3734"/>
      <c r="BE135" s="3734"/>
      <c r="BF135" s="3632"/>
      <c r="BG135" s="3632"/>
      <c r="BH135" s="3731"/>
      <c r="BI135" s="3626"/>
      <c r="BJ135" s="3626"/>
      <c r="BK135" s="3629"/>
      <c r="BL135" s="3632"/>
      <c r="BM135" s="3712"/>
      <c r="BN135" s="3617"/>
      <c r="BO135" s="3620"/>
      <c r="BP135" s="3617"/>
      <c r="BQ135" s="3620"/>
      <c r="BR135" s="3729"/>
      <c r="BS135" s="2640"/>
      <c r="BT135" s="440"/>
    </row>
    <row r="136" spans="1:72" s="438" customFormat="1" ht="33.75" customHeight="1" x14ac:dyDescent="0.2">
      <c r="A136" s="3854"/>
      <c r="B136" s="3858"/>
      <c r="C136" s="3859"/>
      <c r="D136" s="3739"/>
      <c r="E136" s="3739"/>
      <c r="F136" s="3739"/>
      <c r="G136" s="440"/>
      <c r="H136" s="2631"/>
      <c r="I136" s="2632"/>
      <c r="J136" s="3652"/>
      <c r="K136" s="3724"/>
      <c r="L136" s="3728"/>
      <c r="M136" s="3652"/>
      <c r="N136" s="3654"/>
      <c r="O136" s="3743"/>
      <c r="P136" s="3661"/>
      <c r="Q136" s="3648"/>
      <c r="R136" s="3642"/>
      <c r="S136" s="3716"/>
      <c r="T136" s="3665"/>
      <c r="U136" s="3665"/>
      <c r="V136" s="3708" t="s">
        <v>2595</v>
      </c>
      <c r="W136" s="2511">
        <v>0</v>
      </c>
      <c r="X136" s="2511">
        <v>0</v>
      </c>
      <c r="Y136" s="2511">
        <v>0</v>
      </c>
      <c r="Z136" s="2731">
        <v>20</v>
      </c>
      <c r="AA136" s="2636" t="s">
        <v>124</v>
      </c>
      <c r="AB136" s="3737"/>
      <c r="AC136" s="3737"/>
      <c r="AD136" s="3737"/>
      <c r="AE136" s="3737"/>
      <c r="AF136" s="3632"/>
      <c r="AG136" s="3737"/>
      <c r="AH136" s="3632"/>
      <c r="AI136" s="3737"/>
      <c r="AJ136" s="3737"/>
      <c r="AK136" s="3737"/>
      <c r="AL136" s="3737"/>
      <c r="AM136" s="3737"/>
      <c r="AN136" s="3734"/>
      <c r="AO136" s="3734"/>
      <c r="AP136" s="3734"/>
      <c r="AQ136" s="3734"/>
      <c r="AR136" s="3734"/>
      <c r="AS136" s="3734"/>
      <c r="AT136" s="3734"/>
      <c r="AU136" s="3734"/>
      <c r="AV136" s="3734"/>
      <c r="AW136" s="3734"/>
      <c r="AX136" s="3734"/>
      <c r="AY136" s="3734"/>
      <c r="AZ136" s="3734"/>
      <c r="BA136" s="3734"/>
      <c r="BB136" s="3734"/>
      <c r="BC136" s="3734"/>
      <c r="BD136" s="3734"/>
      <c r="BE136" s="3734"/>
      <c r="BF136" s="3632"/>
      <c r="BG136" s="3632"/>
      <c r="BH136" s="3731"/>
      <c r="BI136" s="3626"/>
      <c r="BJ136" s="3626"/>
      <c r="BK136" s="3629"/>
      <c r="BL136" s="3632"/>
      <c r="BM136" s="3712"/>
      <c r="BN136" s="3617"/>
      <c r="BO136" s="3620"/>
      <c r="BP136" s="3617"/>
      <c r="BQ136" s="3620"/>
      <c r="BR136" s="3729"/>
      <c r="BS136" s="440"/>
      <c r="BT136" s="440"/>
    </row>
    <row r="137" spans="1:72" s="438" customFormat="1" ht="33.75" customHeight="1" x14ac:dyDescent="0.2">
      <c r="A137" s="3854"/>
      <c r="B137" s="3858"/>
      <c r="C137" s="3859"/>
      <c r="D137" s="3739"/>
      <c r="E137" s="3739"/>
      <c r="F137" s="3739"/>
      <c r="G137" s="440"/>
      <c r="H137" s="2631"/>
      <c r="I137" s="2632"/>
      <c r="J137" s="3652"/>
      <c r="K137" s="3724"/>
      <c r="L137" s="3728"/>
      <c r="M137" s="3652"/>
      <c r="N137" s="3654"/>
      <c r="O137" s="3743"/>
      <c r="P137" s="3661"/>
      <c r="Q137" s="3648"/>
      <c r="R137" s="3642"/>
      <c r="S137" s="3716"/>
      <c r="T137" s="3665"/>
      <c r="U137" s="3665"/>
      <c r="V137" s="3709"/>
      <c r="W137" s="2511">
        <v>15000000</v>
      </c>
      <c r="X137" s="2511">
        <v>0</v>
      </c>
      <c r="Y137" s="2511">
        <v>0</v>
      </c>
      <c r="Z137" s="2731">
        <v>88</v>
      </c>
      <c r="AA137" s="2636" t="s">
        <v>2562</v>
      </c>
      <c r="AB137" s="3737"/>
      <c r="AC137" s="3737"/>
      <c r="AD137" s="3737"/>
      <c r="AE137" s="3737"/>
      <c r="AF137" s="3632"/>
      <c r="AG137" s="3737"/>
      <c r="AH137" s="3632"/>
      <c r="AI137" s="3737"/>
      <c r="AJ137" s="3737"/>
      <c r="AK137" s="3737"/>
      <c r="AL137" s="3737"/>
      <c r="AM137" s="3737"/>
      <c r="AN137" s="3734"/>
      <c r="AO137" s="3734"/>
      <c r="AP137" s="3734"/>
      <c r="AQ137" s="3734"/>
      <c r="AR137" s="3734"/>
      <c r="AS137" s="3734"/>
      <c r="AT137" s="3734"/>
      <c r="AU137" s="3734"/>
      <c r="AV137" s="3734"/>
      <c r="AW137" s="3734"/>
      <c r="AX137" s="3734"/>
      <c r="AY137" s="3734"/>
      <c r="AZ137" s="3734"/>
      <c r="BA137" s="3734"/>
      <c r="BB137" s="3734"/>
      <c r="BC137" s="3734"/>
      <c r="BD137" s="3734"/>
      <c r="BE137" s="3734"/>
      <c r="BF137" s="3632"/>
      <c r="BG137" s="3632"/>
      <c r="BH137" s="3731"/>
      <c r="BI137" s="3626"/>
      <c r="BJ137" s="3626"/>
      <c r="BK137" s="3629"/>
      <c r="BL137" s="3632"/>
      <c r="BM137" s="3712"/>
      <c r="BN137" s="3617"/>
      <c r="BO137" s="3620"/>
      <c r="BP137" s="3617"/>
      <c r="BQ137" s="3620"/>
      <c r="BR137" s="3729"/>
      <c r="BS137" s="440"/>
      <c r="BT137" s="440"/>
    </row>
    <row r="138" spans="1:72" s="438" customFormat="1" ht="32.25" customHeight="1" x14ac:dyDescent="0.2">
      <c r="A138" s="3854"/>
      <c r="B138" s="3858"/>
      <c r="C138" s="3859"/>
      <c r="D138" s="3739"/>
      <c r="E138" s="3739"/>
      <c r="F138" s="3739"/>
      <c r="G138" s="440"/>
      <c r="H138" s="2631"/>
      <c r="I138" s="2632"/>
      <c r="J138" s="3652"/>
      <c r="K138" s="3724"/>
      <c r="L138" s="3728"/>
      <c r="M138" s="3652"/>
      <c r="N138" s="3654"/>
      <c r="O138" s="3743"/>
      <c r="P138" s="3661"/>
      <c r="Q138" s="3648"/>
      <c r="R138" s="3642"/>
      <c r="S138" s="3716"/>
      <c r="T138" s="3665"/>
      <c r="U138" s="3665"/>
      <c r="V138" s="3708" t="s">
        <v>2596</v>
      </c>
      <c r="W138" s="2511">
        <v>13000000</v>
      </c>
      <c r="X138" s="2511">
        <v>0</v>
      </c>
      <c r="Y138" s="2511">
        <v>0</v>
      </c>
      <c r="Z138" s="2731">
        <v>20</v>
      </c>
      <c r="AA138" s="2636" t="s">
        <v>124</v>
      </c>
      <c r="AB138" s="3737"/>
      <c r="AC138" s="3737"/>
      <c r="AD138" s="3737"/>
      <c r="AE138" s="3737"/>
      <c r="AF138" s="3632"/>
      <c r="AG138" s="3737"/>
      <c r="AH138" s="3632"/>
      <c r="AI138" s="3737" t="s">
        <v>2597</v>
      </c>
      <c r="AJ138" s="3737"/>
      <c r="AK138" s="3737">
        <v>3335</v>
      </c>
      <c r="AL138" s="3737"/>
      <c r="AM138" s="3737"/>
      <c r="AN138" s="3734"/>
      <c r="AO138" s="3734"/>
      <c r="AP138" s="3734"/>
      <c r="AQ138" s="3734"/>
      <c r="AR138" s="3734"/>
      <c r="AS138" s="3734"/>
      <c r="AT138" s="3734"/>
      <c r="AU138" s="3734"/>
      <c r="AV138" s="3734"/>
      <c r="AW138" s="3734"/>
      <c r="AX138" s="3734"/>
      <c r="AY138" s="3734"/>
      <c r="AZ138" s="3734"/>
      <c r="BA138" s="3734"/>
      <c r="BB138" s="3734"/>
      <c r="BC138" s="3734"/>
      <c r="BD138" s="3734"/>
      <c r="BE138" s="3734"/>
      <c r="BF138" s="3632"/>
      <c r="BG138" s="3632"/>
      <c r="BH138" s="3731"/>
      <c r="BI138" s="3626"/>
      <c r="BJ138" s="3626"/>
      <c r="BK138" s="3629"/>
      <c r="BL138" s="3632"/>
      <c r="BM138" s="3712"/>
      <c r="BN138" s="3617"/>
      <c r="BO138" s="3620"/>
      <c r="BP138" s="3617"/>
      <c r="BQ138" s="3620"/>
      <c r="BR138" s="3729"/>
      <c r="BS138" s="440"/>
      <c r="BT138" s="440"/>
    </row>
    <row r="139" spans="1:72" s="438" customFormat="1" ht="34.5" customHeight="1" x14ac:dyDescent="0.2">
      <c r="A139" s="3854"/>
      <c r="B139" s="3858"/>
      <c r="C139" s="3859"/>
      <c r="D139" s="3739"/>
      <c r="E139" s="3739"/>
      <c r="F139" s="3739"/>
      <c r="G139" s="440"/>
      <c r="H139" s="2631"/>
      <c r="I139" s="2632"/>
      <c r="J139" s="3652"/>
      <c r="K139" s="3724"/>
      <c r="L139" s="3728"/>
      <c r="M139" s="3652"/>
      <c r="N139" s="3654"/>
      <c r="O139" s="3743"/>
      <c r="P139" s="3661"/>
      <c r="Q139" s="3648"/>
      <c r="R139" s="3642"/>
      <c r="S139" s="3716"/>
      <c r="T139" s="3665"/>
      <c r="U139" s="3665"/>
      <c r="V139" s="3709"/>
      <c r="W139" s="2511">
        <v>11000000</v>
      </c>
      <c r="X139" s="2511">
        <v>0</v>
      </c>
      <c r="Y139" s="2511"/>
      <c r="Z139" s="2731">
        <v>88</v>
      </c>
      <c r="AA139" s="2636" t="s">
        <v>2562</v>
      </c>
      <c r="AB139" s="3737"/>
      <c r="AC139" s="3737"/>
      <c r="AD139" s="3737"/>
      <c r="AE139" s="3737"/>
      <c r="AF139" s="3632"/>
      <c r="AG139" s="3737"/>
      <c r="AH139" s="3632"/>
      <c r="AI139" s="3737"/>
      <c r="AJ139" s="3737"/>
      <c r="AK139" s="3737"/>
      <c r="AL139" s="3737"/>
      <c r="AM139" s="3737"/>
      <c r="AN139" s="3734"/>
      <c r="AO139" s="3734"/>
      <c r="AP139" s="3734"/>
      <c r="AQ139" s="3734"/>
      <c r="AR139" s="3734"/>
      <c r="AS139" s="3734"/>
      <c r="AT139" s="3734"/>
      <c r="AU139" s="3734"/>
      <c r="AV139" s="3734"/>
      <c r="AW139" s="3734"/>
      <c r="AX139" s="3734"/>
      <c r="AY139" s="3734"/>
      <c r="AZ139" s="3734"/>
      <c r="BA139" s="3734"/>
      <c r="BB139" s="3734"/>
      <c r="BC139" s="3734"/>
      <c r="BD139" s="3734"/>
      <c r="BE139" s="3734"/>
      <c r="BF139" s="3632"/>
      <c r="BG139" s="3632"/>
      <c r="BH139" s="3731"/>
      <c r="BI139" s="3626"/>
      <c r="BJ139" s="3626"/>
      <c r="BK139" s="3629"/>
      <c r="BL139" s="3632"/>
      <c r="BM139" s="3712"/>
      <c r="BN139" s="3617"/>
      <c r="BO139" s="3620"/>
      <c r="BP139" s="3617"/>
      <c r="BQ139" s="3620"/>
      <c r="BR139" s="3729"/>
      <c r="BS139" s="440"/>
      <c r="BT139" s="440"/>
    </row>
    <row r="140" spans="1:72" s="438" customFormat="1" ht="27" customHeight="1" x14ac:dyDescent="0.2">
      <c r="A140" s="3854"/>
      <c r="B140" s="3858"/>
      <c r="C140" s="3859"/>
      <c r="D140" s="3739"/>
      <c r="E140" s="3739"/>
      <c r="F140" s="3739"/>
      <c r="G140" s="440"/>
      <c r="H140" s="2631"/>
      <c r="I140" s="2632"/>
      <c r="J140" s="3652"/>
      <c r="K140" s="3724"/>
      <c r="L140" s="3728"/>
      <c r="M140" s="3652"/>
      <c r="N140" s="3654"/>
      <c r="O140" s="3743"/>
      <c r="P140" s="3661"/>
      <c r="Q140" s="3648"/>
      <c r="R140" s="3642"/>
      <c r="S140" s="3716"/>
      <c r="T140" s="3665"/>
      <c r="U140" s="3665"/>
      <c r="V140" s="3708" t="s">
        <v>2598</v>
      </c>
      <c r="W140" s="2511">
        <v>1464118</v>
      </c>
      <c r="X140" s="2511">
        <v>0</v>
      </c>
      <c r="Y140" s="2511">
        <v>0</v>
      </c>
      <c r="Z140" s="2731">
        <v>20</v>
      </c>
      <c r="AA140" s="2636" t="s">
        <v>124</v>
      </c>
      <c r="AB140" s="3737"/>
      <c r="AC140" s="3737"/>
      <c r="AD140" s="3737"/>
      <c r="AE140" s="3737"/>
      <c r="AF140" s="3632"/>
      <c r="AG140" s="3737" t="s">
        <v>2599</v>
      </c>
      <c r="AH140" s="3632"/>
      <c r="AI140" s="3737"/>
      <c r="AJ140" s="3737"/>
      <c r="AK140" s="3737"/>
      <c r="AL140" s="3737"/>
      <c r="AM140" s="3737" t="s">
        <v>2600</v>
      </c>
      <c r="AN140" s="3734"/>
      <c r="AO140" s="3734"/>
      <c r="AP140" s="3734"/>
      <c r="AQ140" s="3734"/>
      <c r="AR140" s="3734"/>
      <c r="AS140" s="3734"/>
      <c r="AT140" s="3734"/>
      <c r="AU140" s="3734"/>
      <c r="AV140" s="3734"/>
      <c r="AW140" s="3734"/>
      <c r="AX140" s="3734"/>
      <c r="AY140" s="3734"/>
      <c r="AZ140" s="3734"/>
      <c r="BA140" s="3734"/>
      <c r="BB140" s="3734"/>
      <c r="BC140" s="3734"/>
      <c r="BD140" s="3734"/>
      <c r="BE140" s="3734"/>
      <c r="BF140" s="3632"/>
      <c r="BG140" s="3632"/>
      <c r="BH140" s="3731"/>
      <c r="BI140" s="3626"/>
      <c r="BJ140" s="3626"/>
      <c r="BK140" s="3629"/>
      <c r="BL140" s="3632"/>
      <c r="BM140" s="3712"/>
      <c r="BN140" s="3617"/>
      <c r="BO140" s="3620"/>
      <c r="BP140" s="3617"/>
      <c r="BQ140" s="3620"/>
      <c r="BR140" s="3729"/>
      <c r="BS140" s="440"/>
      <c r="BT140" s="440"/>
    </row>
    <row r="141" spans="1:72" s="438" customFormat="1" ht="27" customHeight="1" x14ac:dyDescent="0.2">
      <c r="A141" s="3854"/>
      <c r="B141" s="3858"/>
      <c r="C141" s="3859"/>
      <c r="D141" s="3739"/>
      <c r="E141" s="3739"/>
      <c r="F141" s="3739"/>
      <c r="G141" s="440"/>
      <c r="H141" s="2631"/>
      <c r="I141" s="2632"/>
      <c r="J141" s="3652"/>
      <c r="K141" s="3724"/>
      <c r="L141" s="3728"/>
      <c r="M141" s="3652"/>
      <c r="N141" s="3654"/>
      <c r="O141" s="3743"/>
      <c r="P141" s="3661"/>
      <c r="Q141" s="3648"/>
      <c r="R141" s="3642"/>
      <c r="S141" s="3716"/>
      <c r="T141" s="3665"/>
      <c r="U141" s="3665"/>
      <c r="V141" s="3709"/>
      <c r="W141" s="2511">
        <v>2035882</v>
      </c>
      <c r="X141" s="2511"/>
      <c r="Y141" s="2511"/>
      <c r="Z141" s="2731">
        <v>88</v>
      </c>
      <c r="AA141" s="2636" t="s">
        <v>2562</v>
      </c>
      <c r="AB141" s="3737"/>
      <c r="AC141" s="3737"/>
      <c r="AD141" s="3737"/>
      <c r="AE141" s="3737"/>
      <c r="AF141" s="3632"/>
      <c r="AG141" s="3737"/>
      <c r="AH141" s="3632"/>
      <c r="AI141" s="3737"/>
      <c r="AJ141" s="3737"/>
      <c r="AK141" s="3737"/>
      <c r="AL141" s="3737"/>
      <c r="AM141" s="3737"/>
      <c r="AN141" s="3734"/>
      <c r="AO141" s="3734"/>
      <c r="AP141" s="3734"/>
      <c r="AQ141" s="3734"/>
      <c r="AR141" s="3734"/>
      <c r="AS141" s="3734"/>
      <c r="AT141" s="3734"/>
      <c r="AU141" s="3734"/>
      <c r="AV141" s="3734"/>
      <c r="AW141" s="3734"/>
      <c r="AX141" s="3734"/>
      <c r="AY141" s="3734"/>
      <c r="AZ141" s="3734"/>
      <c r="BA141" s="3734"/>
      <c r="BB141" s="3734"/>
      <c r="BC141" s="3734"/>
      <c r="BD141" s="3734"/>
      <c r="BE141" s="3734"/>
      <c r="BF141" s="3632"/>
      <c r="BG141" s="3632"/>
      <c r="BH141" s="3731"/>
      <c r="BI141" s="3626"/>
      <c r="BJ141" s="3626"/>
      <c r="BK141" s="3629"/>
      <c r="BL141" s="3632"/>
      <c r="BM141" s="3712"/>
      <c r="BN141" s="3617"/>
      <c r="BO141" s="3620"/>
      <c r="BP141" s="3617"/>
      <c r="BQ141" s="3620"/>
      <c r="BR141" s="3729"/>
      <c r="BS141" s="440"/>
      <c r="BT141" s="440"/>
    </row>
    <row r="142" spans="1:72" s="438" customFormat="1" ht="31.5" customHeight="1" x14ac:dyDescent="0.2">
      <c r="A142" s="3854"/>
      <c r="B142" s="3858"/>
      <c r="C142" s="3859"/>
      <c r="D142" s="3739"/>
      <c r="E142" s="3739"/>
      <c r="F142" s="3739"/>
      <c r="G142" s="440"/>
      <c r="H142" s="2631"/>
      <c r="I142" s="2632"/>
      <c r="J142" s="3652"/>
      <c r="K142" s="3724"/>
      <c r="L142" s="3728"/>
      <c r="M142" s="3652"/>
      <c r="N142" s="3654"/>
      <c r="O142" s="3743"/>
      <c r="P142" s="3661"/>
      <c r="Q142" s="3648"/>
      <c r="R142" s="3642"/>
      <c r="S142" s="3716"/>
      <c r="T142" s="3665"/>
      <c r="U142" s="3665"/>
      <c r="V142" s="2643" t="s">
        <v>2601</v>
      </c>
      <c r="W142" s="2511">
        <v>22889708</v>
      </c>
      <c r="X142" s="2511"/>
      <c r="Y142" s="2511"/>
      <c r="Z142" s="2731">
        <v>88</v>
      </c>
      <c r="AA142" s="2636" t="s">
        <v>2562</v>
      </c>
      <c r="AB142" s="3737"/>
      <c r="AC142" s="3737"/>
      <c r="AD142" s="3737"/>
      <c r="AE142" s="3737"/>
      <c r="AF142" s="3632"/>
      <c r="AG142" s="3737"/>
      <c r="AH142" s="3632"/>
      <c r="AI142" s="3737"/>
      <c r="AJ142" s="3737"/>
      <c r="AK142" s="3737"/>
      <c r="AL142" s="3737"/>
      <c r="AM142" s="3737"/>
      <c r="AN142" s="3734"/>
      <c r="AO142" s="3734"/>
      <c r="AP142" s="3734"/>
      <c r="AQ142" s="3734"/>
      <c r="AR142" s="3734"/>
      <c r="AS142" s="3734"/>
      <c r="AT142" s="3734"/>
      <c r="AU142" s="3734"/>
      <c r="AV142" s="3734"/>
      <c r="AW142" s="3734"/>
      <c r="AX142" s="3734"/>
      <c r="AY142" s="3734"/>
      <c r="AZ142" s="3734"/>
      <c r="BA142" s="3734"/>
      <c r="BB142" s="3734"/>
      <c r="BC142" s="3734"/>
      <c r="BD142" s="3734"/>
      <c r="BE142" s="3734"/>
      <c r="BF142" s="3632"/>
      <c r="BG142" s="3632"/>
      <c r="BH142" s="3731"/>
      <c r="BI142" s="3626"/>
      <c r="BJ142" s="3626"/>
      <c r="BK142" s="3629"/>
      <c r="BL142" s="3632"/>
      <c r="BM142" s="3712"/>
      <c r="BN142" s="3617"/>
      <c r="BO142" s="3620"/>
      <c r="BP142" s="3617"/>
      <c r="BQ142" s="3620"/>
      <c r="BR142" s="3729"/>
      <c r="BS142" s="440"/>
      <c r="BT142" s="440"/>
    </row>
    <row r="143" spans="1:72" s="438" customFormat="1" ht="40.5" customHeight="1" x14ac:dyDescent="0.2">
      <c r="A143" s="3854"/>
      <c r="B143" s="3858"/>
      <c r="C143" s="3859"/>
      <c r="D143" s="3739"/>
      <c r="E143" s="3739"/>
      <c r="F143" s="3739"/>
      <c r="G143" s="440"/>
      <c r="H143" s="2631"/>
      <c r="I143" s="2632"/>
      <c r="J143" s="3652"/>
      <c r="K143" s="3724"/>
      <c r="L143" s="3728"/>
      <c r="M143" s="3652"/>
      <c r="N143" s="3654"/>
      <c r="O143" s="3743"/>
      <c r="P143" s="3661"/>
      <c r="Q143" s="3648"/>
      <c r="R143" s="3642"/>
      <c r="S143" s="3716"/>
      <c r="T143" s="3665"/>
      <c r="U143" s="3665"/>
      <c r="V143" s="3708" t="s">
        <v>2602</v>
      </c>
      <c r="W143" s="2511">
        <f>8800000+1200000</f>
        <v>10000000</v>
      </c>
      <c r="X143" s="2511">
        <v>10000000</v>
      </c>
      <c r="Y143" s="2511">
        <f>7929166+583000</f>
        <v>8512166</v>
      </c>
      <c r="Z143" s="2731">
        <v>20</v>
      </c>
      <c r="AA143" s="2636" t="s">
        <v>124</v>
      </c>
      <c r="AB143" s="3737"/>
      <c r="AC143" s="3737"/>
      <c r="AD143" s="3737"/>
      <c r="AE143" s="3737"/>
      <c r="AF143" s="3632"/>
      <c r="AG143" s="3737"/>
      <c r="AH143" s="3632"/>
      <c r="AI143" s="3737"/>
      <c r="AJ143" s="3737"/>
      <c r="AK143" s="3737"/>
      <c r="AL143" s="3737"/>
      <c r="AM143" s="3737"/>
      <c r="AN143" s="3734"/>
      <c r="AO143" s="3734"/>
      <c r="AP143" s="3734"/>
      <c r="AQ143" s="3734"/>
      <c r="AR143" s="3734"/>
      <c r="AS143" s="3734"/>
      <c r="AT143" s="3734"/>
      <c r="AU143" s="3734"/>
      <c r="AV143" s="3734"/>
      <c r="AW143" s="3734"/>
      <c r="AX143" s="3734"/>
      <c r="AY143" s="3734"/>
      <c r="AZ143" s="3734"/>
      <c r="BA143" s="3734"/>
      <c r="BB143" s="3734"/>
      <c r="BC143" s="3734"/>
      <c r="BD143" s="3734"/>
      <c r="BE143" s="3734"/>
      <c r="BF143" s="3632"/>
      <c r="BG143" s="3632"/>
      <c r="BH143" s="3731"/>
      <c r="BI143" s="3626"/>
      <c r="BJ143" s="3626"/>
      <c r="BK143" s="3629"/>
      <c r="BL143" s="3632"/>
      <c r="BM143" s="3712"/>
      <c r="BN143" s="3617"/>
      <c r="BO143" s="3620"/>
      <c r="BP143" s="3617"/>
      <c r="BQ143" s="3620"/>
      <c r="BR143" s="3729"/>
      <c r="BS143" s="440"/>
      <c r="BT143" s="440"/>
    </row>
    <row r="144" spans="1:72" s="438" customFormat="1" ht="27" customHeight="1" x14ac:dyDescent="0.2">
      <c r="A144" s="3854"/>
      <c r="B144" s="3858"/>
      <c r="C144" s="3859"/>
      <c r="D144" s="3739"/>
      <c r="E144" s="3739"/>
      <c r="F144" s="3739"/>
      <c r="G144" s="440"/>
      <c r="H144" s="2631"/>
      <c r="I144" s="2632"/>
      <c r="J144" s="3653"/>
      <c r="K144" s="3707"/>
      <c r="L144" s="3709"/>
      <c r="M144" s="3653"/>
      <c r="N144" s="3655"/>
      <c r="O144" s="3743"/>
      <c r="P144" s="3661"/>
      <c r="Q144" s="3648"/>
      <c r="R144" s="3643"/>
      <c r="S144" s="3716"/>
      <c r="T144" s="3665"/>
      <c r="U144" s="3665"/>
      <c r="V144" s="3709"/>
      <c r="W144" s="2511">
        <v>3583000</v>
      </c>
      <c r="X144" s="2511"/>
      <c r="Y144" s="2511"/>
      <c r="Z144" s="2731">
        <v>88</v>
      </c>
      <c r="AA144" s="2636" t="s">
        <v>2562</v>
      </c>
      <c r="AB144" s="3737"/>
      <c r="AC144" s="3737"/>
      <c r="AD144" s="3737"/>
      <c r="AE144" s="3737"/>
      <c r="AF144" s="3632"/>
      <c r="AG144" s="3737"/>
      <c r="AH144" s="3632"/>
      <c r="AI144" s="3737"/>
      <c r="AJ144" s="3737"/>
      <c r="AK144" s="3737"/>
      <c r="AL144" s="3737"/>
      <c r="AM144" s="3737"/>
      <c r="AN144" s="3734"/>
      <c r="AO144" s="3734"/>
      <c r="AP144" s="3734"/>
      <c r="AQ144" s="3734"/>
      <c r="AR144" s="3734"/>
      <c r="AS144" s="3734"/>
      <c r="AT144" s="3734"/>
      <c r="AU144" s="3734"/>
      <c r="AV144" s="3734"/>
      <c r="AW144" s="3734"/>
      <c r="AX144" s="3734"/>
      <c r="AY144" s="3734"/>
      <c r="AZ144" s="3734"/>
      <c r="BA144" s="3734"/>
      <c r="BB144" s="3734"/>
      <c r="BC144" s="3734"/>
      <c r="BD144" s="3734"/>
      <c r="BE144" s="3734"/>
      <c r="BF144" s="3632"/>
      <c r="BG144" s="3632"/>
      <c r="BH144" s="3731"/>
      <c r="BI144" s="3626"/>
      <c r="BJ144" s="3626"/>
      <c r="BK144" s="3629"/>
      <c r="BL144" s="3632"/>
      <c r="BM144" s="3712"/>
      <c r="BN144" s="3617"/>
      <c r="BO144" s="3620"/>
      <c r="BP144" s="3617"/>
      <c r="BQ144" s="3620"/>
      <c r="BR144" s="3729"/>
      <c r="BS144" s="440"/>
      <c r="BT144" s="440"/>
    </row>
    <row r="145" spans="1:72" s="438" customFormat="1" ht="27" customHeight="1" x14ac:dyDescent="0.2">
      <c r="A145" s="3854"/>
      <c r="B145" s="3858"/>
      <c r="C145" s="3859"/>
      <c r="D145" s="3739"/>
      <c r="E145" s="3739"/>
      <c r="F145" s="3739"/>
      <c r="G145" s="440"/>
      <c r="H145" s="2631"/>
      <c r="I145" s="2632"/>
      <c r="J145" s="3705">
        <v>239</v>
      </c>
      <c r="K145" s="3706" t="s">
        <v>2603</v>
      </c>
      <c r="L145" s="3706" t="s">
        <v>2604</v>
      </c>
      <c r="M145" s="3725">
        <v>1.98</v>
      </c>
      <c r="N145" s="3656">
        <v>1.98</v>
      </c>
      <c r="O145" s="3743"/>
      <c r="P145" s="3661"/>
      <c r="Q145" s="3648"/>
      <c r="R145" s="2738">
        <f>SUM(W145)/S130</f>
        <v>7.0842265026821408E-2</v>
      </c>
      <c r="S145" s="3716"/>
      <c r="T145" s="3665"/>
      <c r="U145" s="3665"/>
      <c r="V145" s="3708" t="s">
        <v>2605</v>
      </c>
      <c r="W145" s="2511">
        <v>74800000</v>
      </c>
      <c r="X145" s="2511">
        <v>32670000</v>
      </c>
      <c r="Y145" s="2511">
        <f>4170000+4000000+3000000+3000000+3000000+3000000+3000000</f>
        <v>23170000</v>
      </c>
      <c r="Z145" s="2731">
        <v>20</v>
      </c>
      <c r="AA145" s="2716" t="s">
        <v>124</v>
      </c>
      <c r="AB145" s="3737"/>
      <c r="AC145" s="3737"/>
      <c r="AD145" s="3737"/>
      <c r="AE145" s="3737"/>
      <c r="AF145" s="3632"/>
      <c r="AG145" s="3737"/>
      <c r="AH145" s="3632"/>
      <c r="AI145" s="3737"/>
      <c r="AJ145" s="3737"/>
      <c r="AK145" s="3737"/>
      <c r="AL145" s="3737"/>
      <c r="AM145" s="3737"/>
      <c r="AN145" s="3734"/>
      <c r="AO145" s="3734"/>
      <c r="AP145" s="3734"/>
      <c r="AQ145" s="3734"/>
      <c r="AR145" s="3734"/>
      <c r="AS145" s="3734"/>
      <c r="AT145" s="3734"/>
      <c r="AU145" s="3734"/>
      <c r="AV145" s="3734"/>
      <c r="AW145" s="3734"/>
      <c r="AX145" s="3734"/>
      <c r="AY145" s="3734"/>
      <c r="AZ145" s="3734"/>
      <c r="BA145" s="3734"/>
      <c r="BB145" s="3734"/>
      <c r="BC145" s="3734"/>
      <c r="BD145" s="3734"/>
      <c r="BE145" s="3734"/>
      <c r="BF145" s="3632"/>
      <c r="BG145" s="3632"/>
      <c r="BH145" s="3731"/>
      <c r="BI145" s="3626"/>
      <c r="BJ145" s="3626"/>
      <c r="BK145" s="3629"/>
      <c r="BL145" s="3632"/>
      <c r="BM145" s="3712"/>
      <c r="BN145" s="3617"/>
      <c r="BO145" s="3620"/>
      <c r="BP145" s="3617"/>
      <c r="BQ145" s="3620"/>
      <c r="BR145" s="3729"/>
      <c r="BS145" s="440"/>
      <c r="BT145" s="440"/>
    </row>
    <row r="146" spans="1:72" s="438" customFormat="1" ht="24.75" customHeight="1" x14ac:dyDescent="0.2">
      <c r="A146" s="3854"/>
      <c r="B146" s="3858"/>
      <c r="C146" s="3859"/>
      <c r="D146" s="3739"/>
      <c r="E146" s="3739"/>
      <c r="F146" s="3739"/>
      <c r="G146" s="440"/>
      <c r="H146" s="2631"/>
      <c r="I146" s="2632"/>
      <c r="J146" s="3652"/>
      <c r="K146" s="3724"/>
      <c r="L146" s="3724"/>
      <c r="M146" s="3726"/>
      <c r="N146" s="3657"/>
      <c r="O146" s="3743"/>
      <c r="P146" s="3661"/>
      <c r="Q146" s="3648"/>
      <c r="R146" s="2738">
        <f>SUM(W146)/S130</f>
        <v>1.8941782092732996E-2</v>
      </c>
      <c r="S146" s="3716"/>
      <c r="T146" s="3665"/>
      <c r="U146" s="3665"/>
      <c r="V146" s="3728"/>
      <c r="W146" s="2511">
        <v>20000000</v>
      </c>
      <c r="X146" s="2511">
        <v>0</v>
      </c>
      <c r="Y146" s="2511">
        <v>0</v>
      </c>
      <c r="Z146" s="2731">
        <v>88</v>
      </c>
      <c r="AA146" s="2716" t="s">
        <v>2562</v>
      </c>
      <c r="AB146" s="3737"/>
      <c r="AC146" s="3737"/>
      <c r="AD146" s="3737"/>
      <c r="AE146" s="3737"/>
      <c r="AF146" s="3632"/>
      <c r="AG146" s="3737"/>
      <c r="AH146" s="3632"/>
      <c r="AI146" s="3737"/>
      <c r="AJ146" s="3737"/>
      <c r="AK146" s="3737"/>
      <c r="AL146" s="3737"/>
      <c r="AM146" s="3737"/>
      <c r="AN146" s="3734"/>
      <c r="AO146" s="3734"/>
      <c r="AP146" s="3734"/>
      <c r="AQ146" s="3734"/>
      <c r="AR146" s="3734"/>
      <c r="AS146" s="3734"/>
      <c r="AT146" s="3734"/>
      <c r="AU146" s="3734"/>
      <c r="AV146" s="3734"/>
      <c r="AW146" s="3734"/>
      <c r="AX146" s="3734"/>
      <c r="AY146" s="3734"/>
      <c r="AZ146" s="3734"/>
      <c r="BA146" s="3734"/>
      <c r="BB146" s="3734"/>
      <c r="BC146" s="3734"/>
      <c r="BD146" s="3734"/>
      <c r="BE146" s="3734"/>
      <c r="BF146" s="3632"/>
      <c r="BG146" s="3632"/>
      <c r="BH146" s="3731"/>
      <c r="BI146" s="3626"/>
      <c r="BJ146" s="3626"/>
      <c r="BK146" s="3629"/>
      <c r="BL146" s="3632"/>
      <c r="BM146" s="3712"/>
      <c r="BN146" s="3617"/>
      <c r="BO146" s="3620"/>
      <c r="BP146" s="3617"/>
      <c r="BQ146" s="3620"/>
      <c r="BR146" s="3729"/>
      <c r="BS146" s="440"/>
      <c r="BT146" s="440"/>
    </row>
    <row r="147" spans="1:72" s="438" customFormat="1" ht="35.25" customHeight="1" x14ac:dyDescent="0.2">
      <c r="A147" s="3854"/>
      <c r="B147" s="3858"/>
      <c r="C147" s="3859"/>
      <c r="D147" s="3739"/>
      <c r="E147" s="3739"/>
      <c r="F147" s="3739"/>
      <c r="G147" s="440"/>
      <c r="H147" s="2631"/>
      <c r="I147" s="2632"/>
      <c r="J147" s="3653"/>
      <c r="K147" s="3707"/>
      <c r="L147" s="3707"/>
      <c r="M147" s="3727"/>
      <c r="N147" s="3658"/>
      <c r="O147" s="3743"/>
      <c r="P147" s="3661"/>
      <c r="Q147" s="3648"/>
      <c r="R147" s="2738">
        <f>SUM(W147)/S130</f>
        <v>0.16099119053609545</v>
      </c>
      <c r="S147" s="3716"/>
      <c r="T147" s="3665"/>
      <c r="U147" s="3665"/>
      <c r="V147" s="3709"/>
      <c r="W147" s="2511">
        <v>169985263</v>
      </c>
      <c r="X147" s="2511">
        <v>169985263</v>
      </c>
      <c r="Y147" s="2511">
        <v>0</v>
      </c>
      <c r="Z147" s="2731">
        <v>163</v>
      </c>
      <c r="AA147" s="2716" t="s">
        <v>2606</v>
      </c>
      <c r="AB147" s="3737"/>
      <c r="AC147" s="3737"/>
      <c r="AD147" s="3737"/>
      <c r="AE147" s="3737"/>
      <c r="AF147" s="3632"/>
      <c r="AG147" s="3737"/>
      <c r="AH147" s="3632"/>
      <c r="AI147" s="3737"/>
      <c r="AJ147" s="3737"/>
      <c r="AK147" s="3737"/>
      <c r="AL147" s="3737"/>
      <c r="AM147" s="3737"/>
      <c r="AN147" s="3734"/>
      <c r="AO147" s="3734"/>
      <c r="AP147" s="3734"/>
      <c r="AQ147" s="3734"/>
      <c r="AR147" s="3734"/>
      <c r="AS147" s="3734"/>
      <c r="AT147" s="3734"/>
      <c r="AU147" s="3734"/>
      <c r="AV147" s="3734"/>
      <c r="AW147" s="3734"/>
      <c r="AX147" s="3734"/>
      <c r="AY147" s="3734"/>
      <c r="AZ147" s="3734"/>
      <c r="BA147" s="3734"/>
      <c r="BB147" s="3734"/>
      <c r="BC147" s="3734"/>
      <c r="BD147" s="3734"/>
      <c r="BE147" s="3734"/>
      <c r="BF147" s="3632"/>
      <c r="BG147" s="3632"/>
      <c r="BH147" s="3731"/>
      <c r="BI147" s="3626"/>
      <c r="BJ147" s="3626"/>
      <c r="BK147" s="3629"/>
      <c r="BL147" s="3632"/>
      <c r="BM147" s="3712"/>
      <c r="BN147" s="3617"/>
      <c r="BO147" s="3620"/>
      <c r="BP147" s="3617"/>
      <c r="BQ147" s="3620"/>
      <c r="BR147" s="3729"/>
      <c r="BS147" s="440"/>
      <c r="BT147" s="440"/>
    </row>
    <row r="148" spans="1:72" s="438" customFormat="1" ht="38.25" customHeight="1" x14ac:dyDescent="0.2">
      <c r="A148" s="3854"/>
      <c r="B148" s="3858"/>
      <c r="C148" s="3859"/>
      <c r="D148" s="3739"/>
      <c r="E148" s="3739"/>
      <c r="F148" s="3739"/>
      <c r="G148" s="440"/>
      <c r="H148" s="2631"/>
      <c r="I148" s="2632"/>
      <c r="J148" s="3718">
        <v>240</v>
      </c>
      <c r="K148" s="3719" t="s">
        <v>2607</v>
      </c>
      <c r="L148" s="3721" t="s">
        <v>2608</v>
      </c>
      <c r="M148" s="3722">
        <v>1</v>
      </c>
      <c r="N148" s="3723">
        <v>0.85</v>
      </c>
      <c r="O148" s="3743"/>
      <c r="P148" s="3661"/>
      <c r="Q148" s="3648"/>
      <c r="R148" s="3669">
        <f>SUM(W148:W159)/S130</f>
        <v>0.42823024635110696</v>
      </c>
      <c r="S148" s="3716"/>
      <c r="T148" s="3665"/>
      <c r="U148" s="3665"/>
      <c r="V148" s="2638" t="s">
        <v>2609</v>
      </c>
      <c r="W148" s="2511">
        <v>6819300</v>
      </c>
      <c r="X148" s="2511">
        <v>6819300</v>
      </c>
      <c r="Y148" s="2511">
        <v>3788500</v>
      </c>
      <c r="Z148" s="2731">
        <v>20</v>
      </c>
      <c r="AA148" s="2716" t="s">
        <v>124</v>
      </c>
      <c r="AB148" s="3737"/>
      <c r="AC148" s="3737"/>
      <c r="AD148" s="3737"/>
      <c r="AE148" s="3737"/>
      <c r="AF148" s="3632"/>
      <c r="AG148" s="3737"/>
      <c r="AH148" s="3632"/>
      <c r="AI148" s="3737"/>
      <c r="AJ148" s="3737"/>
      <c r="AK148" s="3737"/>
      <c r="AL148" s="3737"/>
      <c r="AM148" s="3737"/>
      <c r="AN148" s="3734"/>
      <c r="AO148" s="3734"/>
      <c r="AP148" s="3734"/>
      <c r="AQ148" s="3734"/>
      <c r="AR148" s="3734"/>
      <c r="AS148" s="3734"/>
      <c r="AT148" s="3734"/>
      <c r="AU148" s="3734"/>
      <c r="AV148" s="3734"/>
      <c r="AW148" s="3734"/>
      <c r="AX148" s="3734"/>
      <c r="AY148" s="3734"/>
      <c r="AZ148" s="3734"/>
      <c r="BA148" s="3734"/>
      <c r="BB148" s="3734"/>
      <c r="BC148" s="3734"/>
      <c r="BD148" s="3734"/>
      <c r="BE148" s="3734"/>
      <c r="BF148" s="3632"/>
      <c r="BG148" s="3632"/>
      <c r="BH148" s="3731"/>
      <c r="BI148" s="3626"/>
      <c r="BJ148" s="3626"/>
      <c r="BK148" s="3629"/>
      <c r="BL148" s="3632"/>
      <c r="BM148" s="3712"/>
      <c r="BN148" s="3617"/>
      <c r="BO148" s="3620"/>
      <c r="BP148" s="3617"/>
      <c r="BQ148" s="3620"/>
      <c r="BR148" s="3729"/>
      <c r="BS148" s="440"/>
      <c r="BT148" s="440"/>
    </row>
    <row r="149" spans="1:72" s="438" customFormat="1" ht="38.25" customHeight="1" x14ac:dyDescent="0.2">
      <c r="A149" s="3854"/>
      <c r="B149" s="3858"/>
      <c r="C149" s="3859"/>
      <c r="D149" s="3739"/>
      <c r="E149" s="3739"/>
      <c r="F149" s="3739"/>
      <c r="G149" s="440"/>
      <c r="H149" s="2631"/>
      <c r="I149" s="2632"/>
      <c r="J149" s="3718"/>
      <c r="K149" s="3719"/>
      <c r="L149" s="3721"/>
      <c r="M149" s="3722"/>
      <c r="N149" s="3723"/>
      <c r="O149" s="3743"/>
      <c r="P149" s="3661"/>
      <c r="Q149" s="3648"/>
      <c r="R149" s="3669"/>
      <c r="S149" s="3716"/>
      <c r="T149" s="3665"/>
      <c r="U149" s="3665"/>
      <c r="V149" s="3708" t="s">
        <v>2610</v>
      </c>
      <c r="W149" s="2511">
        <v>69987918</v>
      </c>
      <c r="X149" s="2511">
        <v>69271318</v>
      </c>
      <c r="Y149" s="2511">
        <f>17078959+17078959+10749000+10749000</f>
        <v>55655918</v>
      </c>
      <c r="Z149" s="2731">
        <v>20</v>
      </c>
      <c r="AA149" s="2716" t="s">
        <v>124</v>
      </c>
      <c r="AB149" s="3737"/>
      <c r="AC149" s="3737"/>
      <c r="AD149" s="3737"/>
      <c r="AE149" s="3737"/>
      <c r="AF149" s="3632"/>
      <c r="AG149" s="3737"/>
      <c r="AH149" s="3632"/>
      <c r="AI149" s="3737"/>
      <c r="AJ149" s="3737"/>
      <c r="AK149" s="3737"/>
      <c r="AL149" s="3737"/>
      <c r="AM149" s="3737"/>
      <c r="AN149" s="3734"/>
      <c r="AO149" s="3734"/>
      <c r="AP149" s="3734"/>
      <c r="AQ149" s="3734"/>
      <c r="AR149" s="3734"/>
      <c r="AS149" s="3734"/>
      <c r="AT149" s="3734"/>
      <c r="AU149" s="3734"/>
      <c r="AV149" s="3734"/>
      <c r="AW149" s="3734"/>
      <c r="AX149" s="3734"/>
      <c r="AY149" s="3734"/>
      <c r="AZ149" s="3734"/>
      <c r="BA149" s="3734"/>
      <c r="BB149" s="3734"/>
      <c r="BC149" s="3734"/>
      <c r="BD149" s="3734"/>
      <c r="BE149" s="3734"/>
      <c r="BF149" s="3632"/>
      <c r="BG149" s="3632"/>
      <c r="BH149" s="3731"/>
      <c r="BI149" s="3626"/>
      <c r="BJ149" s="3626"/>
      <c r="BK149" s="3629"/>
      <c r="BL149" s="3632"/>
      <c r="BM149" s="3712"/>
      <c r="BN149" s="3617"/>
      <c r="BO149" s="3620"/>
      <c r="BP149" s="3617"/>
      <c r="BQ149" s="3620"/>
      <c r="BR149" s="3729"/>
      <c r="BS149" s="440"/>
      <c r="BT149" s="440"/>
    </row>
    <row r="150" spans="1:72" s="438" customFormat="1" ht="38.25" customHeight="1" x14ac:dyDescent="0.2">
      <c r="A150" s="3854"/>
      <c r="B150" s="3858"/>
      <c r="C150" s="3859"/>
      <c r="D150" s="3739"/>
      <c r="E150" s="3739"/>
      <c r="F150" s="3739"/>
      <c r="G150" s="440"/>
      <c r="H150" s="2631"/>
      <c r="I150" s="2632"/>
      <c r="J150" s="3718"/>
      <c r="K150" s="3719"/>
      <c r="L150" s="3721"/>
      <c r="M150" s="3722"/>
      <c r="N150" s="3723"/>
      <c r="O150" s="3743"/>
      <c r="P150" s="3661"/>
      <c r="Q150" s="3648"/>
      <c r="R150" s="3669"/>
      <c r="S150" s="3716"/>
      <c r="T150" s="3665"/>
      <c r="U150" s="3665"/>
      <c r="V150" s="3709"/>
      <c r="W150" s="2511">
        <v>50574277</v>
      </c>
      <c r="X150" s="2511">
        <v>0</v>
      </c>
      <c r="Y150" s="2511">
        <v>0</v>
      </c>
      <c r="Z150" s="2731">
        <v>88</v>
      </c>
      <c r="AA150" s="2716" t="s">
        <v>2562</v>
      </c>
      <c r="AB150" s="3737"/>
      <c r="AC150" s="3737"/>
      <c r="AD150" s="3737"/>
      <c r="AE150" s="3737"/>
      <c r="AF150" s="3632"/>
      <c r="AG150" s="3737"/>
      <c r="AH150" s="3632"/>
      <c r="AI150" s="3737"/>
      <c r="AJ150" s="3737"/>
      <c r="AK150" s="3737"/>
      <c r="AL150" s="3737"/>
      <c r="AM150" s="3737"/>
      <c r="AN150" s="3734"/>
      <c r="AO150" s="3734"/>
      <c r="AP150" s="3734"/>
      <c r="AQ150" s="3734"/>
      <c r="AR150" s="3734"/>
      <c r="AS150" s="3734"/>
      <c r="AT150" s="3734"/>
      <c r="AU150" s="3734"/>
      <c r="AV150" s="3734"/>
      <c r="AW150" s="3734"/>
      <c r="AX150" s="3734"/>
      <c r="AY150" s="3734"/>
      <c r="AZ150" s="3734"/>
      <c r="BA150" s="3734"/>
      <c r="BB150" s="3734"/>
      <c r="BC150" s="3734"/>
      <c r="BD150" s="3734"/>
      <c r="BE150" s="3734"/>
      <c r="BF150" s="3632"/>
      <c r="BG150" s="3632"/>
      <c r="BH150" s="3731"/>
      <c r="BI150" s="3626"/>
      <c r="BJ150" s="3626"/>
      <c r="BK150" s="3629"/>
      <c r="BL150" s="3632"/>
      <c r="BM150" s="3712"/>
      <c r="BN150" s="3617"/>
      <c r="BO150" s="3620"/>
      <c r="BP150" s="3617"/>
      <c r="BQ150" s="3620"/>
      <c r="BR150" s="3729"/>
      <c r="BS150" s="440"/>
      <c r="BT150" s="440"/>
    </row>
    <row r="151" spans="1:72" s="438" customFormat="1" ht="30.75" customHeight="1" x14ac:dyDescent="0.2">
      <c r="A151" s="3854"/>
      <c r="B151" s="3858"/>
      <c r="C151" s="3859"/>
      <c r="D151" s="3739"/>
      <c r="E151" s="3739"/>
      <c r="F151" s="3739"/>
      <c r="G151" s="440"/>
      <c r="H151" s="2631"/>
      <c r="I151" s="2632"/>
      <c r="J151" s="3718"/>
      <c r="K151" s="3719"/>
      <c r="L151" s="3721"/>
      <c r="M151" s="3722"/>
      <c r="N151" s="3723"/>
      <c r="O151" s="3743"/>
      <c r="P151" s="3661"/>
      <c r="Q151" s="3648"/>
      <c r="R151" s="3669"/>
      <c r="S151" s="3716"/>
      <c r="T151" s="3665"/>
      <c r="U151" s="3665"/>
      <c r="V151" s="3708" t="s">
        <v>2611</v>
      </c>
      <c r="W151" s="2511">
        <v>23969533</v>
      </c>
      <c r="X151" s="2511">
        <v>23969533</v>
      </c>
      <c r="Y151" s="2511">
        <f>12777533+8394000</f>
        <v>21171533</v>
      </c>
      <c r="Z151" s="2731">
        <v>20</v>
      </c>
      <c r="AA151" s="2716" t="s">
        <v>124</v>
      </c>
      <c r="AB151" s="3737"/>
      <c r="AC151" s="3737"/>
      <c r="AD151" s="3737"/>
      <c r="AE151" s="3737"/>
      <c r="AF151" s="3632"/>
      <c r="AG151" s="3737"/>
      <c r="AH151" s="3632"/>
      <c r="AI151" s="3737"/>
      <c r="AJ151" s="3737"/>
      <c r="AK151" s="3737"/>
      <c r="AL151" s="3737"/>
      <c r="AM151" s="3737"/>
      <c r="AN151" s="3734"/>
      <c r="AO151" s="3734"/>
      <c r="AP151" s="3734"/>
      <c r="AQ151" s="3734"/>
      <c r="AR151" s="3734"/>
      <c r="AS151" s="3734"/>
      <c r="AT151" s="3734"/>
      <c r="AU151" s="3734"/>
      <c r="AV151" s="3734"/>
      <c r="AW151" s="3734"/>
      <c r="AX151" s="3734"/>
      <c r="AY151" s="3734"/>
      <c r="AZ151" s="3734"/>
      <c r="BA151" s="3734"/>
      <c r="BB151" s="3734"/>
      <c r="BC151" s="3734"/>
      <c r="BD151" s="3734"/>
      <c r="BE151" s="3734"/>
      <c r="BF151" s="3632"/>
      <c r="BG151" s="3632"/>
      <c r="BH151" s="3731"/>
      <c r="BI151" s="3626"/>
      <c r="BJ151" s="3626"/>
      <c r="BK151" s="3629"/>
      <c r="BL151" s="3632"/>
      <c r="BM151" s="3712"/>
      <c r="BN151" s="3617"/>
      <c r="BO151" s="3620"/>
      <c r="BP151" s="3617"/>
      <c r="BQ151" s="3620"/>
      <c r="BR151" s="3729"/>
      <c r="BS151" s="440"/>
      <c r="BT151" s="440"/>
    </row>
    <row r="152" spans="1:72" s="438" customFormat="1" ht="30.75" customHeight="1" x14ac:dyDescent="0.2">
      <c r="A152" s="3854"/>
      <c r="B152" s="3858"/>
      <c r="C152" s="3859"/>
      <c r="D152" s="3739"/>
      <c r="E152" s="3739"/>
      <c r="F152" s="3739"/>
      <c r="G152" s="440"/>
      <c r="H152" s="2631"/>
      <c r="I152" s="2632"/>
      <c r="J152" s="3718"/>
      <c r="K152" s="3719"/>
      <c r="L152" s="3721"/>
      <c r="M152" s="3722"/>
      <c r="N152" s="3723"/>
      <c r="O152" s="3743"/>
      <c r="P152" s="3661"/>
      <c r="Q152" s="3648"/>
      <c r="R152" s="3669"/>
      <c r="S152" s="3716"/>
      <c r="T152" s="3665"/>
      <c r="U152" s="3665"/>
      <c r="V152" s="3709"/>
      <c r="W152" s="2511">
        <v>22384000</v>
      </c>
      <c r="X152" s="2511">
        <v>0</v>
      </c>
      <c r="Y152" s="2511">
        <v>0</v>
      </c>
      <c r="Z152" s="2731">
        <v>88</v>
      </c>
      <c r="AA152" s="2716" t="s">
        <v>2562</v>
      </c>
      <c r="AB152" s="3737"/>
      <c r="AC152" s="3737"/>
      <c r="AD152" s="3737"/>
      <c r="AE152" s="3737"/>
      <c r="AF152" s="3632"/>
      <c r="AG152" s="3737"/>
      <c r="AH152" s="3632"/>
      <c r="AI152" s="3737"/>
      <c r="AJ152" s="3737"/>
      <c r="AK152" s="3737"/>
      <c r="AL152" s="3737"/>
      <c r="AM152" s="3737"/>
      <c r="AN152" s="3734"/>
      <c r="AO152" s="3734"/>
      <c r="AP152" s="3734"/>
      <c r="AQ152" s="3734"/>
      <c r="AR152" s="3734"/>
      <c r="AS152" s="3734"/>
      <c r="AT152" s="3734"/>
      <c r="AU152" s="3734"/>
      <c r="AV152" s="3734"/>
      <c r="AW152" s="3734"/>
      <c r="AX152" s="3734"/>
      <c r="AY152" s="3734"/>
      <c r="AZ152" s="3734"/>
      <c r="BA152" s="3734"/>
      <c r="BB152" s="3734"/>
      <c r="BC152" s="3734"/>
      <c r="BD152" s="3734"/>
      <c r="BE152" s="3734"/>
      <c r="BF152" s="3632"/>
      <c r="BG152" s="3632"/>
      <c r="BH152" s="3731"/>
      <c r="BI152" s="3626"/>
      <c r="BJ152" s="3626"/>
      <c r="BK152" s="3629"/>
      <c r="BL152" s="3632"/>
      <c r="BM152" s="3712"/>
      <c r="BN152" s="3617"/>
      <c r="BO152" s="3620"/>
      <c r="BP152" s="3617"/>
      <c r="BQ152" s="3620"/>
      <c r="BR152" s="3729"/>
      <c r="BS152" s="440"/>
      <c r="BT152" s="440"/>
    </row>
    <row r="153" spans="1:72" s="438" customFormat="1" ht="35.25" customHeight="1" x14ac:dyDescent="0.2">
      <c r="A153" s="3854"/>
      <c r="B153" s="3858"/>
      <c r="C153" s="3859"/>
      <c r="D153" s="3739"/>
      <c r="E153" s="3739"/>
      <c r="F153" s="3739"/>
      <c r="G153" s="440"/>
      <c r="H153" s="2631"/>
      <c r="I153" s="2632"/>
      <c r="J153" s="3718"/>
      <c r="K153" s="3719"/>
      <c r="L153" s="3721"/>
      <c r="M153" s="3722"/>
      <c r="N153" s="3723"/>
      <c r="O153" s="3743"/>
      <c r="P153" s="3661"/>
      <c r="Q153" s="3648"/>
      <c r="R153" s="3669"/>
      <c r="S153" s="3716"/>
      <c r="T153" s="3665"/>
      <c r="U153" s="3665"/>
      <c r="V153" s="3708" t="s">
        <v>2612</v>
      </c>
      <c r="W153" s="2511">
        <v>53000000</v>
      </c>
      <c r="X153" s="2511">
        <v>51630533</v>
      </c>
      <c r="Y153" s="2511">
        <f>6417000+4780435+3099565+8394000+4000000</f>
        <v>26691000</v>
      </c>
      <c r="Z153" s="2731">
        <v>20</v>
      </c>
      <c r="AA153" s="2716" t="s">
        <v>124</v>
      </c>
      <c r="AB153" s="3737"/>
      <c r="AC153" s="3737"/>
      <c r="AD153" s="3737"/>
      <c r="AE153" s="3737"/>
      <c r="AF153" s="3632"/>
      <c r="AG153" s="3737"/>
      <c r="AH153" s="3632"/>
      <c r="AI153" s="3737"/>
      <c r="AJ153" s="3737"/>
      <c r="AK153" s="3737"/>
      <c r="AL153" s="3737"/>
      <c r="AM153" s="3737"/>
      <c r="AN153" s="3734"/>
      <c r="AO153" s="3734"/>
      <c r="AP153" s="3734"/>
      <c r="AQ153" s="3734"/>
      <c r="AR153" s="3734"/>
      <c r="AS153" s="3734"/>
      <c r="AT153" s="3734"/>
      <c r="AU153" s="3734"/>
      <c r="AV153" s="3734"/>
      <c r="AW153" s="3734"/>
      <c r="AX153" s="3734"/>
      <c r="AY153" s="3734"/>
      <c r="AZ153" s="3734"/>
      <c r="BA153" s="3734"/>
      <c r="BB153" s="3734"/>
      <c r="BC153" s="3734"/>
      <c r="BD153" s="3734"/>
      <c r="BE153" s="3734"/>
      <c r="BF153" s="3632"/>
      <c r="BG153" s="3632"/>
      <c r="BH153" s="3731"/>
      <c r="BI153" s="3626"/>
      <c r="BJ153" s="3626"/>
      <c r="BK153" s="3629"/>
      <c r="BL153" s="3632"/>
      <c r="BM153" s="3712"/>
      <c r="BN153" s="3617"/>
      <c r="BO153" s="3620"/>
      <c r="BP153" s="3617"/>
      <c r="BQ153" s="3620"/>
      <c r="BR153" s="3729"/>
      <c r="BS153" s="440"/>
      <c r="BT153" s="440"/>
    </row>
    <row r="154" spans="1:72" s="438" customFormat="1" ht="37.5" customHeight="1" x14ac:dyDescent="0.2">
      <c r="A154" s="3854"/>
      <c r="B154" s="3858"/>
      <c r="C154" s="3859"/>
      <c r="D154" s="3739"/>
      <c r="E154" s="3739"/>
      <c r="F154" s="3739"/>
      <c r="G154" s="440"/>
      <c r="H154" s="2631"/>
      <c r="I154" s="2632"/>
      <c r="J154" s="3718"/>
      <c r="K154" s="3719"/>
      <c r="L154" s="3721"/>
      <c r="M154" s="3722"/>
      <c r="N154" s="3723"/>
      <c r="O154" s="3743"/>
      <c r="P154" s="3661"/>
      <c r="Q154" s="3648"/>
      <c r="R154" s="3669"/>
      <c r="S154" s="3716"/>
      <c r="T154" s="3665"/>
      <c r="U154" s="3665"/>
      <c r="V154" s="3709"/>
      <c r="W154" s="2511">
        <v>1428533</v>
      </c>
      <c r="X154" s="2511"/>
      <c r="Y154" s="2511"/>
      <c r="Z154" s="2731">
        <v>88</v>
      </c>
      <c r="AA154" s="2716" t="s">
        <v>2562</v>
      </c>
      <c r="AB154" s="3737"/>
      <c r="AC154" s="3737"/>
      <c r="AD154" s="3737"/>
      <c r="AE154" s="3737"/>
      <c r="AF154" s="3632"/>
      <c r="AG154" s="3737"/>
      <c r="AH154" s="3632"/>
      <c r="AI154" s="3737"/>
      <c r="AJ154" s="3737"/>
      <c r="AK154" s="3737"/>
      <c r="AL154" s="3737"/>
      <c r="AM154" s="3737"/>
      <c r="AN154" s="3734"/>
      <c r="AO154" s="3734"/>
      <c r="AP154" s="3734"/>
      <c r="AQ154" s="3734"/>
      <c r="AR154" s="3734"/>
      <c r="AS154" s="3734"/>
      <c r="AT154" s="3734"/>
      <c r="AU154" s="3734"/>
      <c r="AV154" s="3734"/>
      <c r="AW154" s="3734"/>
      <c r="AX154" s="3734"/>
      <c r="AY154" s="3734"/>
      <c r="AZ154" s="3734"/>
      <c r="BA154" s="3734"/>
      <c r="BB154" s="3734"/>
      <c r="BC154" s="3734"/>
      <c r="BD154" s="3734"/>
      <c r="BE154" s="3734"/>
      <c r="BF154" s="3632"/>
      <c r="BG154" s="3632"/>
      <c r="BH154" s="3731"/>
      <c r="BI154" s="3626"/>
      <c r="BJ154" s="3626"/>
      <c r="BK154" s="3629"/>
      <c r="BL154" s="3632"/>
      <c r="BM154" s="3712"/>
      <c r="BN154" s="3617"/>
      <c r="BO154" s="3620"/>
      <c r="BP154" s="3617"/>
      <c r="BQ154" s="3620"/>
      <c r="BR154" s="3729"/>
      <c r="BS154" s="440"/>
      <c r="BT154" s="440"/>
    </row>
    <row r="155" spans="1:72" s="438" customFormat="1" ht="22.5" customHeight="1" x14ac:dyDescent="0.2">
      <c r="A155" s="3854"/>
      <c r="B155" s="3858"/>
      <c r="C155" s="3859"/>
      <c r="D155" s="3739"/>
      <c r="E155" s="3739"/>
      <c r="F155" s="3739"/>
      <c r="G155" s="440"/>
      <c r="H155" s="2631"/>
      <c r="I155" s="2632"/>
      <c r="J155" s="3718"/>
      <c r="K155" s="3719"/>
      <c r="L155" s="3721"/>
      <c r="M155" s="3722"/>
      <c r="N155" s="3723"/>
      <c r="O155" s="3743"/>
      <c r="P155" s="3661"/>
      <c r="Q155" s="3648"/>
      <c r="R155" s="3669"/>
      <c r="S155" s="3716"/>
      <c r="T155" s="3665"/>
      <c r="U155" s="3665"/>
      <c r="V155" s="3708" t="s">
        <v>2613</v>
      </c>
      <c r="W155" s="2511">
        <v>61788000</v>
      </c>
      <c r="X155" s="2511">
        <v>59489600</v>
      </c>
      <c r="Y155" s="2511">
        <f>26340000+4707000+6360000+3394000+6678000</f>
        <v>47479000</v>
      </c>
      <c r="Z155" s="2731">
        <v>20</v>
      </c>
      <c r="AA155" s="2716" t="s">
        <v>124</v>
      </c>
      <c r="AB155" s="3737"/>
      <c r="AC155" s="3737"/>
      <c r="AD155" s="3737"/>
      <c r="AE155" s="3737"/>
      <c r="AF155" s="3632"/>
      <c r="AG155" s="3737"/>
      <c r="AH155" s="3632"/>
      <c r="AI155" s="3737"/>
      <c r="AJ155" s="3737"/>
      <c r="AK155" s="3737"/>
      <c r="AL155" s="3737"/>
      <c r="AM155" s="3737"/>
      <c r="AN155" s="3734"/>
      <c r="AO155" s="3734"/>
      <c r="AP155" s="3734"/>
      <c r="AQ155" s="3734"/>
      <c r="AR155" s="3734"/>
      <c r="AS155" s="3734"/>
      <c r="AT155" s="3734"/>
      <c r="AU155" s="3734"/>
      <c r="AV155" s="3734"/>
      <c r="AW155" s="3734"/>
      <c r="AX155" s="3734"/>
      <c r="AY155" s="3734"/>
      <c r="AZ155" s="3734"/>
      <c r="BA155" s="3734"/>
      <c r="BB155" s="3734"/>
      <c r="BC155" s="3734"/>
      <c r="BD155" s="3734"/>
      <c r="BE155" s="3734"/>
      <c r="BF155" s="3632"/>
      <c r="BG155" s="3632"/>
      <c r="BH155" s="3731"/>
      <c r="BI155" s="3626"/>
      <c r="BJ155" s="3626"/>
      <c r="BK155" s="3629"/>
      <c r="BL155" s="3632"/>
      <c r="BM155" s="3712"/>
      <c r="BN155" s="3617"/>
      <c r="BO155" s="3620"/>
      <c r="BP155" s="3617"/>
      <c r="BQ155" s="3620"/>
      <c r="BR155" s="3729"/>
      <c r="BS155" s="440"/>
      <c r="BT155" s="440"/>
    </row>
    <row r="156" spans="1:72" s="438" customFormat="1" ht="24" customHeight="1" x14ac:dyDescent="0.2">
      <c r="A156" s="3854"/>
      <c r="B156" s="3858"/>
      <c r="C156" s="3859"/>
      <c r="D156" s="3739"/>
      <c r="E156" s="3739"/>
      <c r="F156" s="3739"/>
      <c r="G156" s="440"/>
      <c r="H156" s="2631"/>
      <c r="I156" s="2632"/>
      <c r="J156" s="3718"/>
      <c r="K156" s="3719"/>
      <c r="L156" s="3721"/>
      <c r="M156" s="3722"/>
      <c r="N156" s="3723"/>
      <c r="O156" s="3743"/>
      <c r="P156" s="3661"/>
      <c r="Q156" s="3648"/>
      <c r="R156" s="3669"/>
      <c r="S156" s="3716"/>
      <c r="T156" s="3665"/>
      <c r="U156" s="3665"/>
      <c r="V156" s="3709"/>
      <c r="W156" s="2511">
        <v>46353600</v>
      </c>
      <c r="X156" s="2511">
        <v>0</v>
      </c>
      <c r="Y156" s="2511">
        <v>0</v>
      </c>
      <c r="Z156" s="2731">
        <v>88</v>
      </c>
      <c r="AA156" s="2716" t="s">
        <v>2562</v>
      </c>
      <c r="AB156" s="3737"/>
      <c r="AC156" s="3737"/>
      <c r="AD156" s="3737"/>
      <c r="AE156" s="3737"/>
      <c r="AF156" s="3632"/>
      <c r="AG156" s="3737"/>
      <c r="AH156" s="3632"/>
      <c r="AI156" s="3737"/>
      <c r="AJ156" s="3737"/>
      <c r="AK156" s="3737"/>
      <c r="AL156" s="3737"/>
      <c r="AM156" s="3737"/>
      <c r="AN156" s="3734"/>
      <c r="AO156" s="3734"/>
      <c r="AP156" s="3734"/>
      <c r="AQ156" s="3734"/>
      <c r="AR156" s="3734"/>
      <c r="AS156" s="3734"/>
      <c r="AT156" s="3734"/>
      <c r="AU156" s="3734"/>
      <c r="AV156" s="3734"/>
      <c r="AW156" s="3734"/>
      <c r="AX156" s="3734"/>
      <c r="AY156" s="3734"/>
      <c r="AZ156" s="3734"/>
      <c r="BA156" s="3734"/>
      <c r="BB156" s="3734"/>
      <c r="BC156" s="3734"/>
      <c r="BD156" s="3734"/>
      <c r="BE156" s="3734"/>
      <c r="BF156" s="3632"/>
      <c r="BG156" s="3632"/>
      <c r="BH156" s="3731"/>
      <c r="BI156" s="3626"/>
      <c r="BJ156" s="3626"/>
      <c r="BK156" s="3629"/>
      <c r="BL156" s="3632"/>
      <c r="BM156" s="3712"/>
      <c r="BN156" s="3617"/>
      <c r="BO156" s="3620"/>
      <c r="BP156" s="3617"/>
      <c r="BQ156" s="3620"/>
      <c r="BR156" s="3729"/>
      <c r="BS156" s="440"/>
      <c r="BT156" s="440"/>
    </row>
    <row r="157" spans="1:72" s="438" customFormat="1" ht="27.75" customHeight="1" x14ac:dyDescent="0.2">
      <c r="A157" s="3854"/>
      <c r="B157" s="3858"/>
      <c r="C157" s="3859"/>
      <c r="D157" s="3739"/>
      <c r="E157" s="3739"/>
      <c r="F157" s="3739"/>
      <c r="G157" s="440"/>
      <c r="H157" s="2631"/>
      <c r="I157" s="2632"/>
      <c r="J157" s="3718"/>
      <c r="K157" s="3719"/>
      <c r="L157" s="3721"/>
      <c r="M157" s="3722"/>
      <c r="N157" s="3723"/>
      <c r="O157" s="3743"/>
      <c r="P157" s="3661"/>
      <c r="Q157" s="3648"/>
      <c r="R157" s="3669"/>
      <c r="S157" s="3716"/>
      <c r="T157" s="3665"/>
      <c r="U157" s="3665"/>
      <c r="V157" s="3708" t="s">
        <v>2614</v>
      </c>
      <c r="W157" s="2511">
        <v>51681882</v>
      </c>
      <c r="X157" s="2511">
        <v>51681882</v>
      </c>
      <c r="Y157" s="2511">
        <f>40489882+8394000</f>
        <v>48883882</v>
      </c>
      <c r="Z157" s="2731">
        <v>20</v>
      </c>
      <c r="AA157" s="2716" t="s">
        <v>124</v>
      </c>
      <c r="AB157" s="3737"/>
      <c r="AC157" s="3737"/>
      <c r="AD157" s="3737"/>
      <c r="AE157" s="3737"/>
      <c r="AF157" s="3632"/>
      <c r="AG157" s="3737"/>
      <c r="AH157" s="3632"/>
      <c r="AI157" s="3737"/>
      <c r="AJ157" s="3737"/>
      <c r="AK157" s="3737"/>
      <c r="AL157" s="3737"/>
      <c r="AM157" s="3737"/>
      <c r="AN157" s="3734"/>
      <c r="AO157" s="3734"/>
      <c r="AP157" s="3734"/>
      <c r="AQ157" s="3734"/>
      <c r="AR157" s="3734"/>
      <c r="AS157" s="3734"/>
      <c r="AT157" s="3734"/>
      <c r="AU157" s="3734"/>
      <c r="AV157" s="3734"/>
      <c r="AW157" s="3734"/>
      <c r="AX157" s="3734"/>
      <c r="AY157" s="3734"/>
      <c r="AZ157" s="3734"/>
      <c r="BA157" s="3734"/>
      <c r="BB157" s="3734"/>
      <c r="BC157" s="3734"/>
      <c r="BD157" s="3734"/>
      <c r="BE157" s="3734"/>
      <c r="BF157" s="3632"/>
      <c r="BG157" s="3632"/>
      <c r="BH157" s="3731"/>
      <c r="BI157" s="3626"/>
      <c r="BJ157" s="3626"/>
      <c r="BK157" s="3629"/>
      <c r="BL157" s="3632"/>
      <c r="BM157" s="3712"/>
      <c r="BN157" s="3617"/>
      <c r="BO157" s="3620"/>
      <c r="BP157" s="3617"/>
      <c r="BQ157" s="3620"/>
      <c r="BR157" s="3729"/>
      <c r="BS157" s="440"/>
      <c r="BT157" s="440"/>
    </row>
    <row r="158" spans="1:72" s="438" customFormat="1" ht="30" customHeight="1" x14ac:dyDescent="0.2">
      <c r="A158" s="3854"/>
      <c r="B158" s="3858"/>
      <c r="C158" s="3859"/>
      <c r="D158" s="3739"/>
      <c r="E158" s="3739"/>
      <c r="F158" s="3739"/>
      <c r="G158" s="440"/>
      <c r="H158" s="2631"/>
      <c r="I158" s="2632"/>
      <c r="J158" s="3718"/>
      <c r="K158" s="3719"/>
      <c r="L158" s="3721"/>
      <c r="M158" s="3722"/>
      <c r="N158" s="3723"/>
      <c r="O158" s="3743"/>
      <c r="P158" s="3661"/>
      <c r="Q158" s="3648"/>
      <c r="R158" s="3669"/>
      <c r="S158" s="3716"/>
      <c r="T158" s="3665"/>
      <c r="U158" s="3665"/>
      <c r="V158" s="3709"/>
      <c r="W158" s="2511">
        <v>53268000</v>
      </c>
      <c r="X158" s="2511">
        <v>5776500</v>
      </c>
      <c r="Y158" s="2511">
        <v>0</v>
      </c>
      <c r="Z158" s="2731">
        <v>88</v>
      </c>
      <c r="AA158" s="2716" t="s">
        <v>2562</v>
      </c>
      <c r="AB158" s="3737"/>
      <c r="AC158" s="3737"/>
      <c r="AD158" s="3737"/>
      <c r="AE158" s="3737"/>
      <c r="AF158" s="3632"/>
      <c r="AG158" s="3737"/>
      <c r="AH158" s="3632"/>
      <c r="AI158" s="3737"/>
      <c r="AJ158" s="3737"/>
      <c r="AK158" s="3737"/>
      <c r="AL158" s="3737"/>
      <c r="AM158" s="3737"/>
      <c r="AN158" s="3734"/>
      <c r="AO158" s="3734"/>
      <c r="AP158" s="3734"/>
      <c r="AQ158" s="3734"/>
      <c r="AR158" s="3734"/>
      <c r="AS158" s="3734"/>
      <c r="AT158" s="3734"/>
      <c r="AU158" s="3734"/>
      <c r="AV158" s="3734"/>
      <c r="AW158" s="3734"/>
      <c r="AX158" s="3734"/>
      <c r="AY158" s="3734"/>
      <c r="AZ158" s="3734"/>
      <c r="BA158" s="3734"/>
      <c r="BB158" s="3734"/>
      <c r="BC158" s="3734"/>
      <c r="BD158" s="3734"/>
      <c r="BE158" s="3734"/>
      <c r="BF158" s="3632"/>
      <c r="BG158" s="3632"/>
      <c r="BH158" s="3731"/>
      <c r="BI158" s="3626"/>
      <c r="BJ158" s="3626"/>
      <c r="BK158" s="3629"/>
      <c r="BL158" s="3632"/>
      <c r="BM158" s="3712"/>
      <c r="BN158" s="3617"/>
      <c r="BO158" s="3620"/>
      <c r="BP158" s="3617"/>
      <c r="BQ158" s="3620"/>
      <c r="BR158" s="3729"/>
      <c r="BS158" s="440"/>
      <c r="BT158" s="440"/>
    </row>
    <row r="159" spans="1:72" s="438" customFormat="1" ht="31.5" customHeight="1" x14ac:dyDescent="0.2">
      <c r="A159" s="3854"/>
      <c r="B159" s="3858"/>
      <c r="C159" s="3859"/>
      <c r="D159" s="3739"/>
      <c r="E159" s="3739"/>
      <c r="F159" s="3739"/>
      <c r="G159" s="440"/>
      <c r="H159" s="2650"/>
      <c r="I159" s="2651"/>
      <c r="J159" s="3718"/>
      <c r="K159" s="3719"/>
      <c r="L159" s="3721"/>
      <c r="M159" s="3722"/>
      <c r="N159" s="3723"/>
      <c r="O159" s="3744"/>
      <c r="P159" s="3661"/>
      <c r="Q159" s="3648"/>
      <c r="R159" s="3669"/>
      <c r="S159" s="3717"/>
      <c r="T159" s="3665"/>
      <c r="U159" s="3665"/>
      <c r="V159" s="2638" t="s">
        <v>2424</v>
      </c>
      <c r="W159" s="2511">
        <v>10899083</v>
      </c>
      <c r="X159" s="2511">
        <v>8000000</v>
      </c>
      <c r="Y159" s="2511">
        <v>1646695</v>
      </c>
      <c r="Z159" s="2731">
        <v>20</v>
      </c>
      <c r="AA159" s="2716" t="s">
        <v>124</v>
      </c>
      <c r="AB159" s="3738"/>
      <c r="AC159" s="3738"/>
      <c r="AD159" s="3738"/>
      <c r="AE159" s="3738"/>
      <c r="AF159" s="3633"/>
      <c r="AG159" s="3738"/>
      <c r="AH159" s="3633"/>
      <c r="AI159" s="3738"/>
      <c r="AJ159" s="3738"/>
      <c r="AK159" s="3738"/>
      <c r="AL159" s="3738"/>
      <c r="AM159" s="3738"/>
      <c r="AN159" s="3735"/>
      <c r="AO159" s="3735"/>
      <c r="AP159" s="3735"/>
      <c r="AQ159" s="3735"/>
      <c r="AR159" s="3735"/>
      <c r="AS159" s="3735"/>
      <c r="AT159" s="3735"/>
      <c r="AU159" s="3735"/>
      <c r="AV159" s="3735"/>
      <c r="AW159" s="3735"/>
      <c r="AX159" s="3735"/>
      <c r="AY159" s="3735"/>
      <c r="AZ159" s="3735"/>
      <c r="BA159" s="3735"/>
      <c r="BB159" s="3735"/>
      <c r="BC159" s="3735"/>
      <c r="BD159" s="3735"/>
      <c r="BE159" s="3735"/>
      <c r="BF159" s="3633"/>
      <c r="BG159" s="3633"/>
      <c r="BH159" s="3732"/>
      <c r="BI159" s="3627"/>
      <c r="BJ159" s="3627"/>
      <c r="BK159" s="3630"/>
      <c r="BL159" s="3633"/>
      <c r="BM159" s="3713"/>
      <c r="BN159" s="3618"/>
      <c r="BO159" s="3621"/>
      <c r="BP159" s="3618"/>
      <c r="BQ159" s="3621"/>
      <c r="BR159" s="3729"/>
      <c r="BS159" s="440"/>
      <c r="BT159" s="440"/>
    </row>
    <row r="160" spans="1:72" s="440" customFormat="1" ht="15" customHeight="1" x14ac:dyDescent="0.2">
      <c r="A160" s="3854"/>
      <c r="B160" s="3858"/>
      <c r="C160" s="3859"/>
      <c r="D160" s="3739"/>
      <c r="E160" s="3739"/>
      <c r="F160" s="3739"/>
      <c r="G160" s="2619">
        <v>82</v>
      </c>
      <c r="H160" s="1109" t="s">
        <v>2615</v>
      </c>
      <c r="I160" s="1109"/>
      <c r="J160" s="2655"/>
      <c r="K160" s="2656"/>
      <c r="L160" s="2657"/>
      <c r="M160" s="2710"/>
      <c r="N160" s="1210"/>
      <c r="O160" s="1215"/>
      <c r="P160" s="1216"/>
      <c r="Q160" s="1111"/>
      <c r="R160" s="2658"/>
      <c r="S160" s="2659"/>
      <c r="T160" s="2657"/>
      <c r="U160" s="2656"/>
      <c r="V160" s="2656"/>
      <c r="W160" s="2660"/>
      <c r="X160" s="2660"/>
      <c r="Y160" s="2661"/>
      <c r="Z160" s="2696"/>
      <c r="AA160" s="2696"/>
      <c r="AB160" s="1114"/>
      <c r="AC160" s="1114"/>
      <c r="AD160" s="1114"/>
      <c r="AE160" s="1114"/>
      <c r="AF160" s="1114"/>
      <c r="AG160" s="1114"/>
      <c r="AH160" s="1114"/>
      <c r="AI160" s="1114"/>
      <c r="AJ160" s="1114"/>
      <c r="AK160" s="1114"/>
      <c r="AL160" s="1114"/>
      <c r="AM160" s="1114"/>
      <c r="AN160" s="1114"/>
      <c r="AO160" s="1114"/>
      <c r="AP160" s="1114"/>
      <c r="AQ160" s="1114"/>
      <c r="AR160" s="1114"/>
      <c r="AS160" s="1114"/>
      <c r="AT160" s="1114"/>
      <c r="AU160" s="1114"/>
      <c r="AV160" s="1114"/>
      <c r="AW160" s="1114"/>
      <c r="AX160" s="1114"/>
      <c r="AY160" s="1114"/>
      <c r="AZ160" s="1114"/>
      <c r="BA160" s="1114"/>
      <c r="BB160" s="1114"/>
      <c r="BC160" s="1114"/>
      <c r="BD160" s="1111"/>
      <c r="BE160" s="1111"/>
      <c r="BF160" s="1111"/>
      <c r="BG160" s="1111"/>
      <c r="BH160" s="1111"/>
      <c r="BI160" s="2735"/>
      <c r="BJ160" s="2735"/>
      <c r="BK160" s="1111"/>
      <c r="BL160" s="1111"/>
      <c r="BM160" s="1111"/>
      <c r="BN160" s="1111"/>
      <c r="BO160" s="1111"/>
      <c r="BP160" s="1111"/>
      <c r="BQ160" s="1111"/>
      <c r="BR160" s="1117"/>
    </row>
    <row r="161" spans="1:72" s="438" customFormat="1" ht="42" customHeight="1" x14ac:dyDescent="0.2">
      <c r="A161" s="3854"/>
      <c r="B161" s="3858"/>
      <c r="C161" s="3859"/>
      <c r="D161" s="3739"/>
      <c r="E161" s="3739"/>
      <c r="F161" s="3739"/>
      <c r="G161" s="440"/>
      <c r="H161" s="2626"/>
      <c r="I161" s="396"/>
      <c r="J161" s="3718">
        <v>241</v>
      </c>
      <c r="K161" s="3719" t="s">
        <v>2616</v>
      </c>
      <c r="L161" s="3720" t="s">
        <v>2617</v>
      </c>
      <c r="M161" s="3672">
        <v>1</v>
      </c>
      <c r="N161" s="3687">
        <v>0.75</v>
      </c>
      <c r="O161" s="3668" t="s">
        <v>2618</v>
      </c>
      <c r="P161" s="3661" t="s">
        <v>2619</v>
      </c>
      <c r="Q161" s="3648" t="s">
        <v>2620</v>
      </c>
      <c r="R161" s="3711">
        <f>SUM(W161:W162)/S161</f>
        <v>0.43641444500979354</v>
      </c>
      <c r="S161" s="3704">
        <f>SUM(W161:W164)</f>
        <v>84323515</v>
      </c>
      <c r="T161" s="3665" t="s">
        <v>2621</v>
      </c>
      <c r="U161" s="3665" t="s">
        <v>2622</v>
      </c>
      <c r="V161" s="2638" t="s">
        <v>2623</v>
      </c>
      <c r="W161" s="2511">
        <v>8540200</v>
      </c>
      <c r="X161" s="2739"/>
      <c r="Y161" s="2739"/>
      <c r="Z161" s="2737" t="s">
        <v>123</v>
      </c>
      <c r="AA161" s="2716" t="s">
        <v>180</v>
      </c>
      <c r="AB161" s="3666">
        <v>1632</v>
      </c>
      <c r="AC161" s="3631">
        <v>800</v>
      </c>
      <c r="AD161" s="3663">
        <v>1568</v>
      </c>
      <c r="AE161" s="3631">
        <v>768</v>
      </c>
      <c r="AF161" s="3663">
        <v>974</v>
      </c>
      <c r="AG161" s="3631">
        <v>329</v>
      </c>
      <c r="AH161" s="3663">
        <v>718</v>
      </c>
      <c r="AI161" s="3631">
        <v>332</v>
      </c>
      <c r="AJ161" s="3663">
        <v>410</v>
      </c>
      <c r="AK161" s="3631">
        <v>328</v>
      </c>
      <c r="AL161" s="3663">
        <v>1098</v>
      </c>
      <c r="AM161" s="3631">
        <v>579</v>
      </c>
      <c r="AN161" s="3663"/>
      <c r="AO161" s="3631"/>
      <c r="AP161" s="3663"/>
      <c r="AQ161" s="3631"/>
      <c r="AR161" s="3663"/>
      <c r="AS161" s="3631"/>
      <c r="AT161" s="3663"/>
      <c r="AU161" s="3631"/>
      <c r="AV161" s="3663"/>
      <c r="AW161" s="3631"/>
      <c r="AX161" s="3663"/>
      <c r="AY161" s="3631"/>
      <c r="AZ161" s="3663"/>
      <c r="BA161" s="3631"/>
      <c r="BB161" s="3663"/>
      <c r="BC161" s="3631"/>
      <c r="BD161" s="3663"/>
      <c r="BE161" s="3631"/>
      <c r="BF161" s="3631">
        <v>3200</v>
      </c>
      <c r="BG161" s="3631">
        <v>1568</v>
      </c>
      <c r="BH161" s="3631">
        <v>2</v>
      </c>
      <c r="BI161" s="3625">
        <f>SUM(X161:X164)</f>
        <v>24962200</v>
      </c>
      <c r="BJ161" s="3625">
        <f>SUM(Y160:Y164)</f>
        <v>20705200</v>
      </c>
      <c r="BK161" s="3628">
        <f>BJ161/BI161</f>
        <v>0.82946214676591001</v>
      </c>
      <c r="BL161" s="3631">
        <v>20</v>
      </c>
      <c r="BM161" s="3691" t="s">
        <v>2587</v>
      </c>
      <c r="BN161" s="3692">
        <v>43480</v>
      </c>
      <c r="BO161" s="3692">
        <v>43480</v>
      </c>
      <c r="BP161" s="3692">
        <v>43819</v>
      </c>
      <c r="BQ161" s="3692">
        <v>43809</v>
      </c>
      <c r="BR161" s="3622" t="s">
        <v>2407</v>
      </c>
      <c r="BS161" s="440"/>
      <c r="BT161" s="440"/>
    </row>
    <row r="162" spans="1:72" s="438" customFormat="1" ht="45.75" customHeight="1" x14ac:dyDescent="0.2">
      <c r="A162" s="3854"/>
      <c r="B162" s="3858"/>
      <c r="C162" s="3859"/>
      <c r="D162" s="3739"/>
      <c r="E162" s="3739"/>
      <c r="F162" s="3739"/>
      <c r="G162" s="440"/>
      <c r="H162" s="2631"/>
      <c r="I162" s="2632"/>
      <c r="J162" s="3718"/>
      <c r="K162" s="3719"/>
      <c r="L162" s="3720"/>
      <c r="M162" s="3672"/>
      <c r="N162" s="3687"/>
      <c r="O162" s="3668"/>
      <c r="P162" s="3661"/>
      <c r="Q162" s="3648"/>
      <c r="R162" s="3711"/>
      <c r="S162" s="3644"/>
      <c r="T162" s="3665"/>
      <c r="U162" s="3665"/>
      <c r="V162" s="2638" t="s">
        <v>2624</v>
      </c>
      <c r="W162" s="2511">
        <v>28259800</v>
      </c>
      <c r="X162" s="2512">
        <v>24962200</v>
      </c>
      <c r="Y162" s="2512">
        <f>12311200+8394000</f>
        <v>20705200</v>
      </c>
      <c r="Z162" s="2731">
        <v>20</v>
      </c>
      <c r="AA162" s="2716" t="s">
        <v>124</v>
      </c>
      <c r="AB162" s="3667"/>
      <c r="AC162" s="3632"/>
      <c r="AD162" s="3664"/>
      <c r="AE162" s="3632"/>
      <c r="AF162" s="3664"/>
      <c r="AG162" s="3632"/>
      <c r="AH162" s="3664"/>
      <c r="AI162" s="3632"/>
      <c r="AJ162" s="3664"/>
      <c r="AK162" s="3632"/>
      <c r="AL162" s="3664"/>
      <c r="AM162" s="3632"/>
      <c r="AN162" s="3664"/>
      <c r="AO162" s="3632"/>
      <c r="AP162" s="3664"/>
      <c r="AQ162" s="3632"/>
      <c r="AR162" s="3664"/>
      <c r="AS162" s="3632"/>
      <c r="AT162" s="3664"/>
      <c r="AU162" s="3632"/>
      <c r="AV162" s="3664"/>
      <c r="AW162" s="3632"/>
      <c r="AX162" s="3664"/>
      <c r="AY162" s="3632"/>
      <c r="AZ162" s="3664"/>
      <c r="BA162" s="3632"/>
      <c r="BB162" s="3664"/>
      <c r="BC162" s="3632"/>
      <c r="BD162" s="3664"/>
      <c r="BE162" s="3632"/>
      <c r="BF162" s="3632"/>
      <c r="BG162" s="3632"/>
      <c r="BH162" s="3632"/>
      <c r="BI162" s="3626"/>
      <c r="BJ162" s="3626"/>
      <c r="BK162" s="3629"/>
      <c r="BL162" s="3632"/>
      <c r="BM162" s="3712"/>
      <c r="BN162" s="3693"/>
      <c r="BO162" s="3693"/>
      <c r="BP162" s="3693"/>
      <c r="BQ162" s="3693"/>
      <c r="BR162" s="3623"/>
      <c r="BS162" s="3690"/>
      <c r="BT162" s="440"/>
    </row>
    <row r="163" spans="1:72" s="438" customFormat="1" ht="40.5" customHeight="1" x14ac:dyDescent="0.2">
      <c r="A163" s="3854"/>
      <c r="B163" s="3858"/>
      <c r="C163" s="3859"/>
      <c r="D163" s="3739"/>
      <c r="E163" s="3739"/>
      <c r="F163" s="3739"/>
      <c r="G163" s="440"/>
      <c r="H163" s="2631"/>
      <c r="I163" s="2632"/>
      <c r="J163" s="3705">
        <v>242</v>
      </c>
      <c r="K163" s="3706" t="s">
        <v>2625</v>
      </c>
      <c r="L163" s="3708" t="s">
        <v>2626</v>
      </c>
      <c r="M163" s="3673">
        <v>1</v>
      </c>
      <c r="N163" s="3710">
        <v>0.5</v>
      </c>
      <c r="O163" s="3668"/>
      <c r="P163" s="3661"/>
      <c r="Q163" s="3648"/>
      <c r="R163" s="3711">
        <f>SUM(W163:W164)/S161</f>
        <v>0.56358555499020646</v>
      </c>
      <c r="S163" s="3644"/>
      <c r="T163" s="3665"/>
      <c r="U163" s="3665"/>
      <c r="V163" s="2638" t="s">
        <v>2627</v>
      </c>
      <c r="W163" s="2511">
        <v>3000000</v>
      </c>
      <c r="X163" s="2511">
        <v>0</v>
      </c>
      <c r="Y163" s="2511">
        <v>0</v>
      </c>
      <c r="Z163" s="2731">
        <v>20</v>
      </c>
      <c r="AA163" s="2716" t="s">
        <v>124</v>
      </c>
      <c r="AB163" s="3667"/>
      <c r="AC163" s="3632"/>
      <c r="AD163" s="3664"/>
      <c r="AE163" s="3632"/>
      <c r="AF163" s="3664"/>
      <c r="AG163" s="3632"/>
      <c r="AH163" s="3664"/>
      <c r="AI163" s="3632"/>
      <c r="AJ163" s="3664"/>
      <c r="AK163" s="3632"/>
      <c r="AL163" s="3664"/>
      <c r="AM163" s="3632"/>
      <c r="AN163" s="3664"/>
      <c r="AO163" s="3632"/>
      <c r="AP163" s="3664"/>
      <c r="AQ163" s="3632"/>
      <c r="AR163" s="3664"/>
      <c r="AS163" s="3632"/>
      <c r="AT163" s="3664"/>
      <c r="AU163" s="3632"/>
      <c r="AV163" s="3664"/>
      <c r="AW163" s="3632"/>
      <c r="AX163" s="3664"/>
      <c r="AY163" s="3632"/>
      <c r="AZ163" s="3664"/>
      <c r="BA163" s="3632"/>
      <c r="BB163" s="3664"/>
      <c r="BC163" s="3632"/>
      <c r="BD163" s="3664"/>
      <c r="BE163" s="3632"/>
      <c r="BF163" s="3632"/>
      <c r="BG163" s="3632"/>
      <c r="BH163" s="3632"/>
      <c r="BI163" s="3626"/>
      <c r="BJ163" s="3626"/>
      <c r="BK163" s="3629"/>
      <c r="BL163" s="3632"/>
      <c r="BM163" s="3712"/>
      <c r="BN163" s="3693"/>
      <c r="BO163" s="3693"/>
      <c r="BP163" s="3693"/>
      <c r="BQ163" s="3693"/>
      <c r="BR163" s="3623"/>
      <c r="BS163" s="3690"/>
      <c r="BT163" s="440"/>
    </row>
    <row r="164" spans="1:72" s="438" customFormat="1" ht="36.75" customHeight="1" x14ac:dyDescent="0.2">
      <c r="A164" s="3854"/>
      <c r="B164" s="3858"/>
      <c r="C164" s="3859"/>
      <c r="D164" s="3739"/>
      <c r="E164" s="3739"/>
      <c r="F164" s="3739"/>
      <c r="G164" s="440"/>
      <c r="H164" s="2650"/>
      <c r="I164" s="2651"/>
      <c r="J164" s="3653"/>
      <c r="K164" s="3707"/>
      <c r="L164" s="3709"/>
      <c r="M164" s="3655"/>
      <c r="N164" s="3710"/>
      <c r="O164" s="3668"/>
      <c r="P164" s="3661"/>
      <c r="Q164" s="3648"/>
      <c r="R164" s="3711"/>
      <c r="S164" s="3645"/>
      <c r="T164" s="3665"/>
      <c r="U164" s="3665"/>
      <c r="V164" s="2638" t="s">
        <v>2628</v>
      </c>
      <c r="W164" s="2511">
        <v>44523515</v>
      </c>
      <c r="X164" s="2511">
        <v>0</v>
      </c>
      <c r="Y164" s="2511">
        <v>0</v>
      </c>
      <c r="Z164" s="2731">
        <v>20</v>
      </c>
      <c r="AA164" s="2716" t="s">
        <v>124</v>
      </c>
      <c r="AB164" s="3667"/>
      <c r="AC164" s="3633"/>
      <c r="AD164" s="3664"/>
      <c r="AE164" s="3633"/>
      <c r="AF164" s="3664"/>
      <c r="AG164" s="3633"/>
      <c r="AH164" s="3664"/>
      <c r="AI164" s="3633"/>
      <c r="AJ164" s="3664"/>
      <c r="AK164" s="3633"/>
      <c r="AL164" s="3664"/>
      <c r="AM164" s="3633"/>
      <c r="AN164" s="3664"/>
      <c r="AO164" s="3633"/>
      <c r="AP164" s="3664"/>
      <c r="AQ164" s="3633"/>
      <c r="AR164" s="3664"/>
      <c r="AS164" s="3633"/>
      <c r="AT164" s="3664"/>
      <c r="AU164" s="3633"/>
      <c r="AV164" s="3664"/>
      <c r="AW164" s="3633"/>
      <c r="AX164" s="3664"/>
      <c r="AY164" s="3633"/>
      <c r="AZ164" s="3664"/>
      <c r="BA164" s="3633"/>
      <c r="BB164" s="3664"/>
      <c r="BC164" s="3633"/>
      <c r="BD164" s="3664"/>
      <c r="BE164" s="3633"/>
      <c r="BF164" s="3633"/>
      <c r="BG164" s="3633"/>
      <c r="BH164" s="3633"/>
      <c r="BI164" s="3627"/>
      <c r="BJ164" s="3627"/>
      <c r="BK164" s="3630"/>
      <c r="BL164" s="3633"/>
      <c r="BM164" s="3713"/>
      <c r="BN164" s="3714"/>
      <c r="BO164" s="3714"/>
      <c r="BP164" s="3714"/>
      <c r="BQ164" s="3714"/>
      <c r="BR164" s="3623"/>
      <c r="BS164" s="3690"/>
      <c r="BT164" s="440"/>
    </row>
    <row r="165" spans="1:72" s="440" customFormat="1" ht="15" customHeight="1" x14ac:dyDescent="0.2">
      <c r="A165" s="3854"/>
      <c r="B165" s="3858"/>
      <c r="C165" s="3859"/>
      <c r="D165" s="930">
        <v>27</v>
      </c>
      <c r="E165" s="2740" t="s">
        <v>2629</v>
      </c>
      <c r="F165" s="2740"/>
      <c r="G165" s="2741"/>
      <c r="H165" s="2741"/>
      <c r="I165" s="2608"/>
      <c r="J165" s="2686"/>
      <c r="K165" s="2687"/>
      <c r="L165" s="2688"/>
      <c r="M165" s="2689"/>
      <c r="N165" s="2689"/>
      <c r="O165" s="2612"/>
      <c r="P165" s="2609"/>
      <c r="Q165" s="2611"/>
      <c r="R165" s="2690"/>
      <c r="S165" s="2691"/>
      <c r="T165" s="2688"/>
      <c r="U165" s="2687"/>
      <c r="V165" s="2687"/>
      <c r="W165" s="2692"/>
      <c r="X165" s="2693"/>
      <c r="Y165" s="2693"/>
      <c r="Z165" s="932"/>
      <c r="AA165" s="932"/>
      <c r="AB165" s="2611"/>
      <c r="AC165" s="2611"/>
      <c r="AD165" s="2611"/>
      <c r="AE165" s="2611"/>
      <c r="AF165" s="2611"/>
      <c r="AG165" s="2611"/>
      <c r="AH165" s="2611"/>
      <c r="AI165" s="2611"/>
      <c r="AJ165" s="2611"/>
      <c r="AK165" s="2611"/>
      <c r="AL165" s="2611"/>
      <c r="AM165" s="2611"/>
      <c r="AN165" s="2611"/>
      <c r="AO165" s="2611"/>
      <c r="AP165" s="2611"/>
      <c r="AQ165" s="2611"/>
      <c r="AR165" s="2611"/>
      <c r="AS165" s="2611"/>
      <c r="AT165" s="2611"/>
      <c r="AU165" s="2611"/>
      <c r="AV165" s="2611"/>
      <c r="AW165" s="2611"/>
      <c r="AX165" s="2611"/>
      <c r="AY165" s="2611"/>
      <c r="AZ165" s="2611"/>
      <c r="BA165" s="2611"/>
      <c r="BB165" s="2611"/>
      <c r="BC165" s="2611"/>
      <c r="BD165" s="2611"/>
      <c r="BE165" s="2611"/>
      <c r="BF165" s="2611"/>
      <c r="BG165" s="2611"/>
      <c r="BH165" s="2611"/>
      <c r="BI165" s="2695"/>
      <c r="BJ165" s="2695"/>
      <c r="BK165" s="2611"/>
      <c r="BL165" s="2611"/>
      <c r="BM165" s="2611"/>
      <c r="BN165" s="2611"/>
      <c r="BO165" s="2611"/>
      <c r="BP165" s="2611"/>
      <c r="BQ165" s="2611"/>
      <c r="BR165" s="2618"/>
    </row>
    <row r="166" spans="1:72" s="440" customFormat="1" ht="15" customHeight="1" x14ac:dyDescent="0.2">
      <c r="A166" s="3854"/>
      <c r="B166" s="3858"/>
      <c r="C166" s="3859"/>
      <c r="D166" s="3675"/>
      <c r="E166" s="3676"/>
      <c r="F166" s="3676"/>
      <c r="G166" s="2619">
        <v>85</v>
      </c>
      <c r="H166" s="1109" t="s">
        <v>2630</v>
      </c>
      <c r="I166" s="1109"/>
      <c r="J166" s="2620"/>
      <c r="K166" s="2363"/>
      <c r="L166" s="2367"/>
      <c r="M166" s="1209"/>
      <c r="N166" s="1209"/>
      <c r="O166" s="1215"/>
      <c r="P166" s="1216"/>
      <c r="Q166" s="1111"/>
      <c r="R166" s="2621"/>
      <c r="S166" s="1234"/>
      <c r="T166" s="2367"/>
      <c r="U166" s="2363"/>
      <c r="V166" s="2363"/>
      <c r="W166" s="2660"/>
      <c r="X166" s="2660"/>
      <c r="Y166" s="2661"/>
      <c r="Z166" s="2696"/>
      <c r="AA166" s="2696"/>
      <c r="AB166" s="1114"/>
      <c r="AC166" s="1114"/>
      <c r="AD166" s="1114"/>
      <c r="AE166" s="1114"/>
      <c r="AF166" s="1114"/>
      <c r="AG166" s="1114"/>
      <c r="AH166" s="1114"/>
      <c r="AI166" s="1114"/>
      <c r="AJ166" s="1114"/>
      <c r="AK166" s="1114"/>
      <c r="AL166" s="1114"/>
      <c r="AM166" s="1114"/>
      <c r="AN166" s="1114"/>
      <c r="AO166" s="1114"/>
      <c r="AP166" s="1114"/>
      <c r="AQ166" s="1114"/>
      <c r="AR166" s="1114"/>
      <c r="AS166" s="1114"/>
      <c r="AT166" s="1114"/>
      <c r="AU166" s="1114"/>
      <c r="AV166" s="1114"/>
      <c r="AW166" s="1114"/>
      <c r="AX166" s="1114"/>
      <c r="AY166" s="1114"/>
      <c r="AZ166" s="1114"/>
      <c r="BA166" s="1114"/>
      <c r="BB166" s="1114"/>
      <c r="BC166" s="1114"/>
      <c r="BD166" s="1114"/>
      <c r="BE166" s="1114"/>
      <c r="BF166" s="1114"/>
      <c r="BG166" s="1114"/>
      <c r="BH166" s="1114"/>
      <c r="BI166" s="2395"/>
      <c r="BJ166" s="2395"/>
      <c r="BK166" s="1114"/>
      <c r="BL166" s="1114"/>
      <c r="BM166" s="1114"/>
      <c r="BN166" s="1114"/>
      <c r="BO166" s="1114"/>
      <c r="BP166" s="1114"/>
      <c r="BQ166" s="1114"/>
      <c r="BR166" s="2697"/>
    </row>
    <row r="167" spans="1:72" s="438" customFormat="1" ht="27.75" customHeight="1" x14ac:dyDescent="0.2">
      <c r="A167" s="3854"/>
      <c r="B167" s="3858"/>
      <c r="C167" s="3859"/>
      <c r="D167" s="3677"/>
      <c r="E167" s="3678"/>
      <c r="F167" s="3678"/>
      <c r="G167" s="440"/>
      <c r="H167" s="2626"/>
      <c r="I167" s="396"/>
      <c r="J167" s="3673">
        <v>250</v>
      </c>
      <c r="K167" s="3674" t="s">
        <v>2631</v>
      </c>
      <c r="L167" s="3681" t="s">
        <v>2632</v>
      </c>
      <c r="M167" s="3673">
        <v>3</v>
      </c>
      <c r="N167" s="3672">
        <v>3</v>
      </c>
      <c r="O167" s="3702" t="s">
        <v>2633</v>
      </c>
      <c r="P167" s="3661" t="s">
        <v>2634</v>
      </c>
      <c r="Q167" s="3648" t="s">
        <v>2635</v>
      </c>
      <c r="R167" s="3703">
        <f>SUM(W167:W180)/S167</f>
        <v>0.50827490823121779</v>
      </c>
      <c r="S167" s="3704">
        <f>SUM(W167:W193)</f>
        <v>700271633</v>
      </c>
      <c r="T167" s="3665" t="s">
        <v>2636</v>
      </c>
      <c r="U167" s="3665" t="s">
        <v>2637</v>
      </c>
      <c r="V167" s="3223" t="s">
        <v>2638</v>
      </c>
      <c r="W167" s="2511">
        <v>65420000</v>
      </c>
      <c r="X167" s="1170">
        <v>63867366</v>
      </c>
      <c r="Y167" s="1170">
        <v>63867366</v>
      </c>
      <c r="Z167" s="2742">
        <v>20</v>
      </c>
      <c r="AA167" s="2743" t="s">
        <v>180</v>
      </c>
      <c r="AB167" s="3699">
        <v>5202</v>
      </c>
      <c r="AC167" s="3631">
        <v>2081</v>
      </c>
      <c r="AD167" s="3694">
        <v>4998</v>
      </c>
      <c r="AE167" s="3631">
        <v>2000</v>
      </c>
      <c r="AF167" s="3694">
        <v>3103</v>
      </c>
      <c r="AG167" s="3631">
        <v>1000</v>
      </c>
      <c r="AH167" s="3694">
        <v>2288</v>
      </c>
      <c r="AI167" s="3631">
        <v>1754</v>
      </c>
      <c r="AJ167" s="3694">
        <v>1306</v>
      </c>
      <c r="AK167" s="3631">
        <v>648</v>
      </c>
      <c r="AL167" s="3694">
        <v>3503</v>
      </c>
      <c r="AM167" s="3631">
        <v>679</v>
      </c>
      <c r="AN167" s="3694"/>
      <c r="AO167" s="3631"/>
      <c r="AP167" s="3694"/>
      <c r="AQ167" s="3631"/>
      <c r="AR167" s="3694"/>
      <c r="AS167" s="3631"/>
      <c r="AT167" s="3694"/>
      <c r="AU167" s="3631"/>
      <c r="AV167" s="3694"/>
      <c r="AW167" s="3631"/>
      <c r="AX167" s="3694"/>
      <c r="AY167" s="3631"/>
      <c r="AZ167" s="3694"/>
      <c r="BA167" s="3631"/>
      <c r="BB167" s="3694"/>
      <c r="BC167" s="3631"/>
      <c r="BD167" s="3694"/>
      <c r="BE167" s="3631"/>
      <c r="BF167" s="3631">
        <v>10200</v>
      </c>
      <c r="BG167" s="3631">
        <v>4081</v>
      </c>
      <c r="BH167" s="3631">
        <v>22</v>
      </c>
      <c r="BI167" s="3625">
        <f>SUM(X167:X193)</f>
        <v>618823454</v>
      </c>
      <c r="BJ167" s="3625">
        <f>SUM(Y167:Y193)</f>
        <v>445995890</v>
      </c>
      <c r="BK167" s="3628">
        <f>BJ167/BI167</f>
        <v>0.72071587965377926</v>
      </c>
      <c r="BL167" s="3691" t="s">
        <v>2639</v>
      </c>
      <c r="BM167" s="2715"/>
      <c r="BN167" s="3692">
        <v>43753</v>
      </c>
      <c r="BO167" s="3692">
        <v>43671</v>
      </c>
      <c r="BP167" s="3616">
        <v>43758</v>
      </c>
      <c r="BQ167" s="3616">
        <v>43819</v>
      </c>
      <c r="BR167" s="3622" t="s">
        <v>2456</v>
      </c>
      <c r="BS167" s="440"/>
      <c r="BT167" s="440"/>
    </row>
    <row r="168" spans="1:72" s="438" customFormat="1" ht="24.75" customHeight="1" x14ac:dyDescent="0.2">
      <c r="A168" s="3854"/>
      <c r="B168" s="3858"/>
      <c r="C168" s="3859"/>
      <c r="D168" s="3677"/>
      <c r="E168" s="3678"/>
      <c r="F168" s="3678"/>
      <c r="G168" s="440"/>
      <c r="H168" s="2631"/>
      <c r="I168" s="2632"/>
      <c r="J168" s="3654"/>
      <c r="K168" s="3646"/>
      <c r="L168" s="3682"/>
      <c r="M168" s="3654"/>
      <c r="N168" s="3672"/>
      <c r="O168" s="3668"/>
      <c r="P168" s="3661"/>
      <c r="Q168" s="3648"/>
      <c r="R168" s="3642"/>
      <c r="S168" s="3644"/>
      <c r="T168" s="3665"/>
      <c r="U168" s="3665"/>
      <c r="V168" s="3224"/>
      <c r="W168" s="2511">
        <v>62420000</v>
      </c>
      <c r="X168" s="1170">
        <v>62420000</v>
      </c>
      <c r="Y168" s="1170">
        <v>22179535</v>
      </c>
      <c r="Z168" s="2742">
        <v>88</v>
      </c>
      <c r="AA168" s="2743" t="s">
        <v>2562</v>
      </c>
      <c r="AB168" s="3699"/>
      <c r="AC168" s="3632"/>
      <c r="AD168" s="3694"/>
      <c r="AE168" s="3632"/>
      <c r="AF168" s="3694"/>
      <c r="AG168" s="3632"/>
      <c r="AH168" s="3694"/>
      <c r="AI168" s="3632"/>
      <c r="AJ168" s="3694"/>
      <c r="AK168" s="3632"/>
      <c r="AL168" s="3694"/>
      <c r="AM168" s="3632"/>
      <c r="AN168" s="3694"/>
      <c r="AO168" s="3632"/>
      <c r="AP168" s="3694"/>
      <c r="AQ168" s="3632"/>
      <c r="AR168" s="3694"/>
      <c r="AS168" s="3632"/>
      <c r="AT168" s="3694"/>
      <c r="AU168" s="3632"/>
      <c r="AV168" s="3694"/>
      <c r="AW168" s="3632"/>
      <c r="AX168" s="3694"/>
      <c r="AY168" s="3632"/>
      <c r="AZ168" s="3694"/>
      <c r="BA168" s="3632"/>
      <c r="BB168" s="3694"/>
      <c r="BC168" s="3632"/>
      <c r="BD168" s="3694"/>
      <c r="BE168" s="3632"/>
      <c r="BF168" s="3632"/>
      <c r="BG168" s="3632"/>
      <c r="BH168" s="3632"/>
      <c r="BI168" s="3626"/>
      <c r="BJ168" s="3626"/>
      <c r="BK168" s="3629"/>
      <c r="BL168" s="3632"/>
      <c r="BM168" s="2718"/>
      <c r="BN168" s="3693"/>
      <c r="BO168" s="3693"/>
      <c r="BP168" s="3617"/>
      <c r="BQ168" s="3617"/>
      <c r="BR168" s="3622"/>
      <c r="BS168" s="440"/>
      <c r="BT168" s="440"/>
    </row>
    <row r="169" spans="1:72" s="438" customFormat="1" ht="29.25" customHeight="1" x14ac:dyDescent="0.2">
      <c r="A169" s="3854"/>
      <c r="B169" s="3858"/>
      <c r="C169" s="3859"/>
      <c r="D169" s="3677"/>
      <c r="E169" s="3678"/>
      <c r="F169" s="3678"/>
      <c r="G169" s="440"/>
      <c r="H169" s="2631"/>
      <c r="I169" s="2632"/>
      <c r="J169" s="3654"/>
      <c r="K169" s="3646"/>
      <c r="L169" s="3682"/>
      <c r="M169" s="3654"/>
      <c r="N169" s="3672"/>
      <c r="O169" s="3668"/>
      <c r="P169" s="3661"/>
      <c r="Q169" s="3648"/>
      <c r="R169" s="3642"/>
      <c r="S169" s="3644"/>
      <c r="T169" s="3665"/>
      <c r="U169" s="3665"/>
      <c r="V169" s="3223" t="s">
        <v>2640</v>
      </c>
      <c r="W169" s="2511">
        <v>28000000</v>
      </c>
      <c r="X169" s="1170">
        <v>28000000</v>
      </c>
      <c r="Y169" s="1170">
        <v>28000000</v>
      </c>
      <c r="Z169" s="2731">
        <v>20</v>
      </c>
      <c r="AA169" s="2716" t="s">
        <v>124</v>
      </c>
      <c r="AB169" s="3700"/>
      <c r="AC169" s="3632"/>
      <c r="AD169" s="3695"/>
      <c r="AE169" s="3632"/>
      <c r="AF169" s="3695"/>
      <c r="AG169" s="3632"/>
      <c r="AH169" s="3695"/>
      <c r="AI169" s="3632"/>
      <c r="AJ169" s="3695"/>
      <c r="AK169" s="3632"/>
      <c r="AL169" s="3695"/>
      <c r="AM169" s="3632"/>
      <c r="AN169" s="3695"/>
      <c r="AO169" s="3632"/>
      <c r="AP169" s="3695"/>
      <c r="AQ169" s="3632"/>
      <c r="AR169" s="3695"/>
      <c r="AS169" s="3632"/>
      <c r="AT169" s="3695"/>
      <c r="AU169" s="3632"/>
      <c r="AV169" s="3695"/>
      <c r="AW169" s="3632"/>
      <c r="AX169" s="3695"/>
      <c r="AY169" s="3632"/>
      <c r="AZ169" s="3695"/>
      <c r="BA169" s="3632"/>
      <c r="BB169" s="3695"/>
      <c r="BC169" s="3632"/>
      <c r="BD169" s="3695"/>
      <c r="BE169" s="3632"/>
      <c r="BF169" s="3632"/>
      <c r="BG169" s="3632"/>
      <c r="BH169" s="3632"/>
      <c r="BI169" s="3626"/>
      <c r="BJ169" s="3626"/>
      <c r="BK169" s="3629"/>
      <c r="BL169" s="3632"/>
      <c r="BM169" s="2718"/>
      <c r="BN169" s="3693"/>
      <c r="BO169" s="3693"/>
      <c r="BP169" s="3617"/>
      <c r="BQ169" s="3617"/>
      <c r="BR169" s="3688"/>
      <c r="BS169" s="3690"/>
      <c r="BT169" s="440"/>
    </row>
    <row r="170" spans="1:72" s="438" customFormat="1" ht="27.75" customHeight="1" x14ac:dyDescent="0.2">
      <c r="A170" s="3854"/>
      <c r="B170" s="3858"/>
      <c r="C170" s="3859"/>
      <c r="D170" s="3677"/>
      <c r="E170" s="3678"/>
      <c r="F170" s="3678"/>
      <c r="G170" s="440"/>
      <c r="H170" s="2631"/>
      <c r="I170" s="2632"/>
      <c r="J170" s="3654"/>
      <c r="K170" s="3646"/>
      <c r="L170" s="3682"/>
      <c r="M170" s="3654"/>
      <c r="N170" s="3672"/>
      <c r="O170" s="3668"/>
      <c r="P170" s="3661"/>
      <c r="Q170" s="3648"/>
      <c r="R170" s="3642"/>
      <c r="S170" s="3644"/>
      <c r="T170" s="3665"/>
      <c r="U170" s="3665"/>
      <c r="V170" s="3224"/>
      <c r="W170" s="2511">
        <v>28000000</v>
      </c>
      <c r="X170" s="2511">
        <v>28000000</v>
      </c>
      <c r="Y170" s="2511">
        <v>28000000</v>
      </c>
      <c r="Z170" s="2731">
        <v>88</v>
      </c>
      <c r="AA170" s="2743" t="s">
        <v>2562</v>
      </c>
      <c r="AB170" s="3700"/>
      <c r="AC170" s="3632"/>
      <c r="AD170" s="3695"/>
      <c r="AE170" s="3632"/>
      <c r="AF170" s="3695"/>
      <c r="AG170" s="3632"/>
      <c r="AH170" s="3695"/>
      <c r="AI170" s="3632"/>
      <c r="AJ170" s="3695"/>
      <c r="AK170" s="3632"/>
      <c r="AL170" s="3695"/>
      <c r="AM170" s="3632"/>
      <c r="AN170" s="3695"/>
      <c r="AO170" s="3632"/>
      <c r="AP170" s="3695"/>
      <c r="AQ170" s="3632"/>
      <c r="AR170" s="3695"/>
      <c r="AS170" s="3632"/>
      <c r="AT170" s="3695"/>
      <c r="AU170" s="3632"/>
      <c r="AV170" s="3695"/>
      <c r="AW170" s="3632"/>
      <c r="AX170" s="3695"/>
      <c r="AY170" s="3632"/>
      <c r="AZ170" s="3695"/>
      <c r="BA170" s="3632"/>
      <c r="BB170" s="3695"/>
      <c r="BC170" s="3632"/>
      <c r="BD170" s="3695"/>
      <c r="BE170" s="3632"/>
      <c r="BF170" s="3632"/>
      <c r="BG170" s="3632"/>
      <c r="BH170" s="3632"/>
      <c r="BI170" s="3626"/>
      <c r="BJ170" s="3626"/>
      <c r="BK170" s="3629"/>
      <c r="BL170" s="3632"/>
      <c r="BM170" s="2718"/>
      <c r="BN170" s="3693"/>
      <c r="BO170" s="3693"/>
      <c r="BP170" s="3617"/>
      <c r="BQ170" s="3617"/>
      <c r="BR170" s="3688"/>
      <c r="BS170" s="3690"/>
      <c r="BT170" s="440"/>
    </row>
    <row r="171" spans="1:72" s="438" customFormat="1" ht="30" customHeight="1" x14ac:dyDescent="0.2">
      <c r="A171" s="3854"/>
      <c r="B171" s="3858"/>
      <c r="C171" s="3859"/>
      <c r="D171" s="3677"/>
      <c r="E171" s="3678"/>
      <c r="F171" s="3678"/>
      <c r="G171" s="440"/>
      <c r="H171" s="2631"/>
      <c r="I171" s="2632"/>
      <c r="J171" s="3654"/>
      <c r="K171" s="3646"/>
      <c r="L171" s="3682"/>
      <c r="M171" s="3654"/>
      <c r="N171" s="3672"/>
      <c r="O171" s="3668"/>
      <c r="P171" s="3661"/>
      <c r="Q171" s="3648"/>
      <c r="R171" s="3642"/>
      <c r="S171" s="3644"/>
      <c r="T171" s="3665"/>
      <c r="U171" s="3665"/>
      <c r="V171" s="3223" t="s">
        <v>2641</v>
      </c>
      <c r="W171" s="1170">
        <v>5000000</v>
      </c>
      <c r="X171" s="1170">
        <v>5000000</v>
      </c>
      <c r="Y171" s="1170">
        <v>5000000</v>
      </c>
      <c r="Z171" s="2731">
        <v>20</v>
      </c>
      <c r="AA171" s="2716" t="s">
        <v>124</v>
      </c>
      <c r="AB171" s="3700"/>
      <c r="AC171" s="3632"/>
      <c r="AD171" s="3695"/>
      <c r="AE171" s="3632"/>
      <c r="AF171" s="3695"/>
      <c r="AG171" s="3632"/>
      <c r="AH171" s="3695"/>
      <c r="AI171" s="3632"/>
      <c r="AJ171" s="3695"/>
      <c r="AK171" s="3632"/>
      <c r="AL171" s="3695"/>
      <c r="AM171" s="3632"/>
      <c r="AN171" s="3695"/>
      <c r="AO171" s="3632"/>
      <c r="AP171" s="3695"/>
      <c r="AQ171" s="3632"/>
      <c r="AR171" s="3695"/>
      <c r="AS171" s="3632"/>
      <c r="AT171" s="3695"/>
      <c r="AU171" s="3632"/>
      <c r="AV171" s="3695"/>
      <c r="AW171" s="3632"/>
      <c r="AX171" s="3695"/>
      <c r="AY171" s="3632"/>
      <c r="AZ171" s="3695"/>
      <c r="BA171" s="3632"/>
      <c r="BB171" s="3695"/>
      <c r="BC171" s="3632"/>
      <c r="BD171" s="3695"/>
      <c r="BE171" s="3632"/>
      <c r="BF171" s="3632"/>
      <c r="BG171" s="3632"/>
      <c r="BH171" s="3632"/>
      <c r="BI171" s="3626"/>
      <c r="BJ171" s="3626"/>
      <c r="BK171" s="3629"/>
      <c r="BL171" s="3632"/>
      <c r="BM171" s="2718"/>
      <c r="BN171" s="3693"/>
      <c r="BO171" s="3693"/>
      <c r="BP171" s="3617"/>
      <c r="BQ171" s="3617"/>
      <c r="BR171" s="3688"/>
      <c r="BS171" s="3690"/>
      <c r="BT171" s="440"/>
    </row>
    <row r="172" spans="1:72" s="438" customFormat="1" ht="30.75" customHeight="1" x14ac:dyDescent="0.2">
      <c r="A172" s="3854"/>
      <c r="B172" s="3858"/>
      <c r="C172" s="3859"/>
      <c r="D172" s="3677"/>
      <c r="E172" s="3678"/>
      <c r="F172" s="3678"/>
      <c r="G172" s="440"/>
      <c r="H172" s="2631"/>
      <c r="I172" s="2632"/>
      <c r="J172" s="3654"/>
      <c r="K172" s="3646"/>
      <c r="L172" s="3682"/>
      <c r="M172" s="3654"/>
      <c r="N172" s="3672"/>
      <c r="O172" s="3668"/>
      <c r="P172" s="3661"/>
      <c r="Q172" s="3648"/>
      <c r="R172" s="3642"/>
      <c r="S172" s="3644"/>
      <c r="T172" s="3665"/>
      <c r="U172" s="3665"/>
      <c r="V172" s="3224"/>
      <c r="W172" s="1170">
        <v>5000000</v>
      </c>
      <c r="X172" s="1170">
        <v>5000000</v>
      </c>
      <c r="Y172" s="1170">
        <v>5000000</v>
      </c>
      <c r="Z172" s="2731">
        <v>88</v>
      </c>
      <c r="AA172" s="2743" t="s">
        <v>2562</v>
      </c>
      <c r="AB172" s="3700"/>
      <c r="AC172" s="3632"/>
      <c r="AD172" s="3695"/>
      <c r="AE172" s="3632"/>
      <c r="AF172" s="3695"/>
      <c r="AG172" s="3632"/>
      <c r="AH172" s="3695"/>
      <c r="AI172" s="3632"/>
      <c r="AJ172" s="3695"/>
      <c r="AK172" s="3632"/>
      <c r="AL172" s="3695"/>
      <c r="AM172" s="3632"/>
      <c r="AN172" s="3695"/>
      <c r="AO172" s="3632"/>
      <c r="AP172" s="3695"/>
      <c r="AQ172" s="3632"/>
      <c r="AR172" s="3695"/>
      <c r="AS172" s="3632"/>
      <c r="AT172" s="3695"/>
      <c r="AU172" s="3632"/>
      <c r="AV172" s="3695"/>
      <c r="AW172" s="3632"/>
      <c r="AX172" s="3695"/>
      <c r="AY172" s="3632"/>
      <c r="AZ172" s="3695"/>
      <c r="BA172" s="3632"/>
      <c r="BB172" s="3695"/>
      <c r="BC172" s="3632"/>
      <c r="BD172" s="3695"/>
      <c r="BE172" s="3632"/>
      <c r="BF172" s="3632"/>
      <c r="BG172" s="3632"/>
      <c r="BH172" s="3632"/>
      <c r="BI172" s="3626"/>
      <c r="BJ172" s="3626"/>
      <c r="BK172" s="3629"/>
      <c r="BL172" s="3632"/>
      <c r="BM172" s="2718"/>
      <c r="BN172" s="3693"/>
      <c r="BO172" s="3693"/>
      <c r="BP172" s="3617"/>
      <c r="BQ172" s="3617"/>
      <c r="BR172" s="3688"/>
      <c r="BS172" s="3690"/>
      <c r="BT172" s="440"/>
    </row>
    <row r="173" spans="1:72" s="438" customFormat="1" ht="28.5" customHeight="1" x14ac:dyDescent="0.2">
      <c r="A173" s="3854"/>
      <c r="B173" s="3858"/>
      <c r="C173" s="3859"/>
      <c r="D173" s="3677"/>
      <c r="E173" s="3678"/>
      <c r="F173" s="3678"/>
      <c r="G173" s="440"/>
      <c r="H173" s="2631"/>
      <c r="I173" s="2632"/>
      <c r="J173" s="3654"/>
      <c r="K173" s="3646"/>
      <c r="L173" s="3682"/>
      <c r="M173" s="3654"/>
      <c r="N173" s="3672"/>
      <c r="O173" s="3668"/>
      <c r="P173" s="3661"/>
      <c r="Q173" s="3648"/>
      <c r="R173" s="3642"/>
      <c r="S173" s="3644"/>
      <c r="T173" s="3665"/>
      <c r="U173" s="3665"/>
      <c r="V173" s="3223" t="s">
        <v>2642</v>
      </c>
      <c r="W173" s="2511">
        <v>11400000</v>
      </c>
      <c r="X173" s="1170">
        <v>10690500</v>
      </c>
      <c r="Y173" s="1170">
        <v>10690500</v>
      </c>
      <c r="Z173" s="2731">
        <v>20</v>
      </c>
      <c r="AA173" s="2716" t="s">
        <v>124</v>
      </c>
      <c r="AB173" s="3700"/>
      <c r="AC173" s="3632"/>
      <c r="AD173" s="3695"/>
      <c r="AE173" s="3632"/>
      <c r="AF173" s="3695"/>
      <c r="AG173" s="3632"/>
      <c r="AH173" s="3695"/>
      <c r="AI173" s="3632"/>
      <c r="AJ173" s="3695"/>
      <c r="AK173" s="3632"/>
      <c r="AL173" s="3695"/>
      <c r="AM173" s="3632"/>
      <c r="AN173" s="3695"/>
      <c r="AO173" s="3632"/>
      <c r="AP173" s="3695"/>
      <c r="AQ173" s="3632"/>
      <c r="AR173" s="3695"/>
      <c r="AS173" s="3632"/>
      <c r="AT173" s="3695"/>
      <c r="AU173" s="3632"/>
      <c r="AV173" s="3695"/>
      <c r="AW173" s="3632"/>
      <c r="AX173" s="3695"/>
      <c r="AY173" s="3632"/>
      <c r="AZ173" s="3695"/>
      <c r="BA173" s="3632"/>
      <c r="BB173" s="3695"/>
      <c r="BC173" s="3632"/>
      <c r="BD173" s="3695"/>
      <c r="BE173" s="3632"/>
      <c r="BF173" s="3632"/>
      <c r="BG173" s="3632"/>
      <c r="BH173" s="3632"/>
      <c r="BI173" s="3626"/>
      <c r="BJ173" s="3626"/>
      <c r="BK173" s="3629"/>
      <c r="BL173" s="3632"/>
      <c r="BM173" s="2718"/>
      <c r="BN173" s="3693"/>
      <c r="BO173" s="3693"/>
      <c r="BP173" s="3617"/>
      <c r="BQ173" s="3617"/>
      <c r="BR173" s="3688"/>
      <c r="BS173" s="3690"/>
      <c r="BT173" s="440"/>
    </row>
    <row r="174" spans="1:72" s="438" customFormat="1" ht="30.75" customHeight="1" x14ac:dyDescent="0.2">
      <c r="A174" s="3854"/>
      <c r="B174" s="3858"/>
      <c r="C174" s="3859"/>
      <c r="D174" s="3677"/>
      <c r="E174" s="3678"/>
      <c r="F174" s="3678"/>
      <c r="G174" s="440"/>
      <c r="H174" s="2631"/>
      <c r="I174" s="2632"/>
      <c r="J174" s="3654"/>
      <c r="K174" s="3646"/>
      <c r="L174" s="3682"/>
      <c r="M174" s="3654"/>
      <c r="N174" s="3672"/>
      <c r="O174" s="3668"/>
      <c r="P174" s="3661"/>
      <c r="Q174" s="3648"/>
      <c r="R174" s="3642"/>
      <c r="S174" s="3644"/>
      <c r="T174" s="3665"/>
      <c r="U174" s="3665"/>
      <c r="V174" s="3224"/>
      <c r="W174" s="2511">
        <v>10000000</v>
      </c>
      <c r="X174" s="1170">
        <v>9000000</v>
      </c>
      <c r="Y174" s="1170">
        <v>0</v>
      </c>
      <c r="Z174" s="2731">
        <v>88</v>
      </c>
      <c r="AA174" s="2743" t="s">
        <v>2562</v>
      </c>
      <c r="AB174" s="3700"/>
      <c r="AC174" s="3632"/>
      <c r="AD174" s="3695"/>
      <c r="AE174" s="3632"/>
      <c r="AF174" s="3695"/>
      <c r="AG174" s="3632"/>
      <c r="AH174" s="3695"/>
      <c r="AI174" s="3632"/>
      <c r="AJ174" s="3695"/>
      <c r="AK174" s="3632"/>
      <c r="AL174" s="3695"/>
      <c r="AM174" s="3632"/>
      <c r="AN174" s="3695"/>
      <c r="AO174" s="3632"/>
      <c r="AP174" s="3695"/>
      <c r="AQ174" s="3632"/>
      <c r="AR174" s="3695"/>
      <c r="AS174" s="3632"/>
      <c r="AT174" s="3695"/>
      <c r="AU174" s="3632"/>
      <c r="AV174" s="3695"/>
      <c r="AW174" s="3632"/>
      <c r="AX174" s="3695"/>
      <c r="AY174" s="3632"/>
      <c r="AZ174" s="3695"/>
      <c r="BA174" s="3632"/>
      <c r="BB174" s="3695"/>
      <c r="BC174" s="3632"/>
      <c r="BD174" s="3695"/>
      <c r="BE174" s="3632"/>
      <c r="BF174" s="3632"/>
      <c r="BG174" s="3632"/>
      <c r="BH174" s="3632"/>
      <c r="BI174" s="3626"/>
      <c r="BJ174" s="3626"/>
      <c r="BK174" s="3629"/>
      <c r="BL174" s="3632"/>
      <c r="BM174" s="2718"/>
      <c r="BN174" s="3693"/>
      <c r="BO174" s="3693"/>
      <c r="BP174" s="3617"/>
      <c r="BQ174" s="3617"/>
      <c r="BR174" s="3688"/>
      <c r="BS174" s="3690"/>
      <c r="BT174" s="440"/>
    </row>
    <row r="175" spans="1:72" s="438" customFormat="1" ht="35.25" customHeight="1" x14ac:dyDescent="0.2">
      <c r="A175" s="3854"/>
      <c r="B175" s="3858"/>
      <c r="C175" s="3859"/>
      <c r="D175" s="3677"/>
      <c r="E175" s="3678"/>
      <c r="F175" s="3678"/>
      <c r="G175" s="440"/>
      <c r="H175" s="2631"/>
      <c r="I175" s="2632"/>
      <c r="J175" s="3654"/>
      <c r="K175" s="3646"/>
      <c r="L175" s="3682"/>
      <c r="M175" s="3654"/>
      <c r="N175" s="3672"/>
      <c r="O175" s="3668"/>
      <c r="P175" s="3661"/>
      <c r="Q175" s="3648"/>
      <c r="R175" s="3642"/>
      <c r="S175" s="3644"/>
      <c r="T175" s="3665"/>
      <c r="U175" s="3665"/>
      <c r="V175" s="2645" t="s">
        <v>2643</v>
      </c>
      <c r="W175" s="2511">
        <v>5000000</v>
      </c>
      <c r="X175" s="2511">
        <v>5000000</v>
      </c>
      <c r="Y175" s="2511">
        <v>0</v>
      </c>
      <c r="Z175" s="2731">
        <v>20</v>
      </c>
      <c r="AA175" s="2716" t="s">
        <v>124</v>
      </c>
      <c r="AB175" s="3700"/>
      <c r="AC175" s="3632"/>
      <c r="AD175" s="3695"/>
      <c r="AE175" s="3632"/>
      <c r="AF175" s="3695"/>
      <c r="AG175" s="3632"/>
      <c r="AH175" s="3695"/>
      <c r="AI175" s="3632"/>
      <c r="AJ175" s="3695"/>
      <c r="AK175" s="3632"/>
      <c r="AL175" s="3695"/>
      <c r="AM175" s="3632"/>
      <c r="AN175" s="3695"/>
      <c r="AO175" s="3632"/>
      <c r="AP175" s="3695"/>
      <c r="AQ175" s="3632"/>
      <c r="AR175" s="3695"/>
      <c r="AS175" s="3632"/>
      <c r="AT175" s="3695"/>
      <c r="AU175" s="3632"/>
      <c r="AV175" s="3695"/>
      <c r="AW175" s="3632"/>
      <c r="AX175" s="3695"/>
      <c r="AY175" s="3632"/>
      <c r="AZ175" s="3695"/>
      <c r="BA175" s="3632"/>
      <c r="BB175" s="3695"/>
      <c r="BC175" s="3632"/>
      <c r="BD175" s="3695"/>
      <c r="BE175" s="3632"/>
      <c r="BF175" s="3632"/>
      <c r="BG175" s="3632"/>
      <c r="BH175" s="3632"/>
      <c r="BI175" s="3626"/>
      <c r="BJ175" s="3626"/>
      <c r="BK175" s="3629"/>
      <c r="BL175" s="3632"/>
      <c r="BM175" s="2718"/>
      <c r="BN175" s="3693"/>
      <c r="BO175" s="3693"/>
      <c r="BP175" s="3617"/>
      <c r="BQ175" s="3617"/>
      <c r="BR175" s="3688"/>
      <c r="BS175" s="3690"/>
      <c r="BT175" s="440"/>
    </row>
    <row r="176" spans="1:72" s="438" customFormat="1" ht="41.25" customHeight="1" x14ac:dyDescent="0.2">
      <c r="A176" s="3854"/>
      <c r="B176" s="3858"/>
      <c r="C176" s="3859"/>
      <c r="D176" s="3677"/>
      <c r="E176" s="3678"/>
      <c r="F176" s="3678"/>
      <c r="G176" s="440"/>
      <c r="H176" s="2631"/>
      <c r="I176" s="2632"/>
      <c r="J176" s="3654"/>
      <c r="K176" s="3646"/>
      <c r="L176" s="3682"/>
      <c r="M176" s="3654"/>
      <c r="N176" s="3672"/>
      <c r="O176" s="3668"/>
      <c r="P176" s="3661"/>
      <c r="Q176" s="3648"/>
      <c r="R176" s="3642"/>
      <c r="S176" s="3644"/>
      <c r="T176" s="3665"/>
      <c r="U176" s="3665"/>
      <c r="V176" s="2645" t="s">
        <v>2644</v>
      </c>
      <c r="W176" s="2511">
        <v>12000000</v>
      </c>
      <c r="X176" s="2511">
        <v>12000000</v>
      </c>
      <c r="Y176" s="2511">
        <v>12000000</v>
      </c>
      <c r="Z176" s="2731">
        <v>20</v>
      </c>
      <c r="AA176" s="2716" t="s">
        <v>124</v>
      </c>
      <c r="AB176" s="3700"/>
      <c r="AC176" s="3632"/>
      <c r="AD176" s="3695"/>
      <c r="AE176" s="3632"/>
      <c r="AF176" s="3695"/>
      <c r="AG176" s="3632"/>
      <c r="AH176" s="3695"/>
      <c r="AI176" s="3632"/>
      <c r="AJ176" s="3695"/>
      <c r="AK176" s="3632"/>
      <c r="AL176" s="3695"/>
      <c r="AM176" s="3632"/>
      <c r="AN176" s="3695"/>
      <c r="AO176" s="3632"/>
      <c r="AP176" s="3695"/>
      <c r="AQ176" s="3632"/>
      <c r="AR176" s="3695"/>
      <c r="AS176" s="3632"/>
      <c r="AT176" s="3695"/>
      <c r="AU176" s="3632"/>
      <c r="AV176" s="3695"/>
      <c r="AW176" s="3632"/>
      <c r="AX176" s="3695"/>
      <c r="AY176" s="3632"/>
      <c r="AZ176" s="3695"/>
      <c r="BA176" s="3632"/>
      <c r="BB176" s="3695"/>
      <c r="BC176" s="3632"/>
      <c r="BD176" s="3695"/>
      <c r="BE176" s="3632"/>
      <c r="BF176" s="3632"/>
      <c r="BG176" s="3632"/>
      <c r="BH176" s="3632"/>
      <c r="BI176" s="3626"/>
      <c r="BJ176" s="3626"/>
      <c r="BK176" s="3629"/>
      <c r="BL176" s="3632"/>
      <c r="BM176" s="2718"/>
      <c r="BN176" s="3693"/>
      <c r="BO176" s="3693"/>
      <c r="BP176" s="3617"/>
      <c r="BQ176" s="3617"/>
      <c r="BR176" s="3688"/>
      <c r="BS176" s="3690"/>
      <c r="BT176" s="440"/>
    </row>
    <row r="177" spans="1:72" s="438" customFormat="1" ht="30" customHeight="1" x14ac:dyDescent="0.2">
      <c r="A177" s="3854"/>
      <c r="B177" s="3858"/>
      <c r="C177" s="3859"/>
      <c r="D177" s="3677"/>
      <c r="E177" s="3678"/>
      <c r="F177" s="3678"/>
      <c r="G177" s="440"/>
      <c r="H177" s="2631"/>
      <c r="I177" s="2632"/>
      <c r="J177" s="3654"/>
      <c r="K177" s="3646"/>
      <c r="L177" s="3682"/>
      <c r="M177" s="3654"/>
      <c r="N177" s="3672"/>
      <c r="O177" s="3668"/>
      <c r="P177" s="3661"/>
      <c r="Q177" s="3648"/>
      <c r="R177" s="3642"/>
      <c r="S177" s="3644"/>
      <c r="T177" s="3665"/>
      <c r="U177" s="3665"/>
      <c r="V177" s="3223" t="s">
        <v>2645</v>
      </c>
      <c r="W177" s="2818">
        <f>40000000+366848</f>
        <v>40366848</v>
      </c>
      <c r="X177" s="2819">
        <v>40000000</v>
      </c>
      <c r="Y177" s="2819">
        <v>40000000</v>
      </c>
      <c r="Z177" s="2731">
        <v>20</v>
      </c>
      <c r="AA177" s="2716" t="s">
        <v>124</v>
      </c>
      <c r="AB177" s="3700"/>
      <c r="AC177" s="3632"/>
      <c r="AD177" s="3695"/>
      <c r="AE177" s="3632"/>
      <c r="AF177" s="3695"/>
      <c r="AG177" s="3632"/>
      <c r="AH177" s="3695"/>
      <c r="AI177" s="3632"/>
      <c r="AJ177" s="3695"/>
      <c r="AK177" s="3632"/>
      <c r="AL177" s="3695"/>
      <c r="AM177" s="3632"/>
      <c r="AN177" s="3695"/>
      <c r="AO177" s="3632"/>
      <c r="AP177" s="3695"/>
      <c r="AQ177" s="3632"/>
      <c r="AR177" s="3695"/>
      <c r="AS177" s="3632"/>
      <c r="AT177" s="3695"/>
      <c r="AU177" s="3632"/>
      <c r="AV177" s="3695"/>
      <c r="AW177" s="3632"/>
      <c r="AX177" s="3695"/>
      <c r="AY177" s="3632"/>
      <c r="AZ177" s="3695"/>
      <c r="BA177" s="3632"/>
      <c r="BB177" s="3695"/>
      <c r="BC177" s="3632"/>
      <c r="BD177" s="3695"/>
      <c r="BE177" s="3632"/>
      <c r="BF177" s="3632"/>
      <c r="BG177" s="3632"/>
      <c r="BH177" s="3632"/>
      <c r="BI177" s="3626"/>
      <c r="BJ177" s="3626"/>
      <c r="BK177" s="3629"/>
      <c r="BL177" s="3632"/>
      <c r="BM177" s="2718"/>
      <c r="BN177" s="3693"/>
      <c r="BO177" s="3693"/>
      <c r="BP177" s="3617"/>
      <c r="BQ177" s="3617"/>
      <c r="BR177" s="3688"/>
      <c r="BS177" s="440"/>
      <c r="BT177" s="440"/>
    </row>
    <row r="178" spans="1:72" s="438" customFormat="1" ht="27.75" customHeight="1" x14ac:dyDescent="0.2">
      <c r="A178" s="3854"/>
      <c r="B178" s="3858"/>
      <c r="C178" s="3859"/>
      <c r="D178" s="3677"/>
      <c r="E178" s="3678"/>
      <c r="F178" s="3678"/>
      <c r="G178" s="440"/>
      <c r="H178" s="2631"/>
      <c r="I178" s="2632"/>
      <c r="J178" s="3654"/>
      <c r="K178" s="3646"/>
      <c r="L178" s="3682"/>
      <c r="M178" s="3654"/>
      <c r="N178" s="3672"/>
      <c r="O178" s="3668"/>
      <c r="P178" s="3661"/>
      <c r="Q178" s="3648"/>
      <c r="R178" s="3642"/>
      <c r="S178" s="3644"/>
      <c r="T178" s="3665"/>
      <c r="U178" s="3665"/>
      <c r="V178" s="3224"/>
      <c r="W178" s="2818">
        <f>43690500-366848</f>
        <v>43323652</v>
      </c>
      <c r="X178" s="2819">
        <v>37074828</v>
      </c>
      <c r="Y178" s="2819">
        <f>13500000+8877757</f>
        <v>22377757</v>
      </c>
      <c r="Z178" s="2731">
        <v>88</v>
      </c>
      <c r="AA178" s="2743" t="s">
        <v>2562</v>
      </c>
      <c r="AB178" s="3700"/>
      <c r="AC178" s="3632"/>
      <c r="AD178" s="3695"/>
      <c r="AE178" s="3632"/>
      <c r="AF178" s="3695"/>
      <c r="AG178" s="3632"/>
      <c r="AH178" s="3695"/>
      <c r="AI178" s="3632"/>
      <c r="AJ178" s="3695"/>
      <c r="AK178" s="3632"/>
      <c r="AL178" s="3695"/>
      <c r="AM178" s="3632"/>
      <c r="AN178" s="3695"/>
      <c r="AO178" s="3632"/>
      <c r="AP178" s="3695"/>
      <c r="AQ178" s="3632"/>
      <c r="AR178" s="3695"/>
      <c r="AS178" s="3632"/>
      <c r="AT178" s="3695"/>
      <c r="AU178" s="3632"/>
      <c r="AV178" s="3695"/>
      <c r="AW178" s="3632"/>
      <c r="AX178" s="3695"/>
      <c r="AY178" s="3632"/>
      <c r="AZ178" s="3695"/>
      <c r="BA178" s="3632"/>
      <c r="BB178" s="3695"/>
      <c r="BC178" s="3632"/>
      <c r="BD178" s="3695"/>
      <c r="BE178" s="3632"/>
      <c r="BF178" s="3632"/>
      <c r="BG178" s="3632"/>
      <c r="BH178" s="3632"/>
      <c r="BI178" s="3626"/>
      <c r="BJ178" s="3626"/>
      <c r="BK178" s="3629"/>
      <c r="BL178" s="3632"/>
      <c r="BM178" s="2718"/>
      <c r="BN178" s="3693"/>
      <c r="BO178" s="3693"/>
      <c r="BP178" s="3617"/>
      <c r="BQ178" s="3617"/>
      <c r="BR178" s="3688"/>
      <c r="BS178" s="440"/>
      <c r="BT178" s="440"/>
    </row>
    <row r="179" spans="1:72" s="438" customFormat="1" ht="27" customHeight="1" x14ac:dyDescent="0.2">
      <c r="A179" s="3854"/>
      <c r="B179" s="3858"/>
      <c r="C179" s="3859"/>
      <c r="D179" s="3677"/>
      <c r="E179" s="3678"/>
      <c r="F179" s="3678"/>
      <c r="G179" s="440"/>
      <c r="H179" s="2631"/>
      <c r="I179" s="2632"/>
      <c r="J179" s="3654"/>
      <c r="K179" s="3646"/>
      <c r="L179" s="3682"/>
      <c r="M179" s="3654"/>
      <c r="N179" s="3672"/>
      <c r="O179" s="3668"/>
      <c r="P179" s="3661"/>
      <c r="Q179" s="3648"/>
      <c r="R179" s="3642"/>
      <c r="S179" s="3644"/>
      <c r="T179" s="3665"/>
      <c r="U179" s="3665"/>
      <c r="V179" s="3223" t="s">
        <v>2646</v>
      </c>
      <c r="W179" s="2818">
        <f>20000000+4383152</f>
        <v>24383152</v>
      </c>
      <c r="X179" s="2819">
        <v>20000000</v>
      </c>
      <c r="Y179" s="2819">
        <v>20000000</v>
      </c>
      <c r="Z179" s="2731">
        <v>20</v>
      </c>
      <c r="AA179" s="2716" t="s">
        <v>124</v>
      </c>
      <c r="AB179" s="3700"/>
      <c r="AC179" s="3632"/>
      <c r="AD179" s="3695"/>
      <c r="AE179" s="3632"/>
      <c r="AF179" s="3695"/>
      <c r="AG179" s="3632"/>
      <c r="AH179" s="3695"/>
      <c r="AI179" s="3632"/>
      <c r="AJ179" s="3695"/>
      <c r="AK179" s="3632"/>
      <c r="AL179" s="3695"/>
      <c r="AM179" s="3632"/>
      <c r="AN179" s="3695"/>
      <c r="AO179" s="3632"/>
      <c r="AP179" s="3695"/>
      <c r="AQ179" s="3632"/>
      <c r="AR179" s="3695"/>
      <c r="AS179" s="3632"/>
      <c r="AT179" s="3695"/>
      <c r="AU179" s="3632"/>
      <c r="AV179" s="3695"/>
      <c r="AW179" s="3632"/>
      <c r="AX179" s="3695"/>
      <c r="AY179" s="3632"/>
      <c r="AZ179" s="3695"/>
      <c r="BA179" s="3632"/>
      <c r="BB179" s="3695"/>
      <c r="BC179" s="3632"/>
      <c r="BD179" s="3695"/>
      <c r="BE179" s="3632"/>
      <c r="BF179" s="3632"/>
      <c r="BG179" s="3632"/>
      <c r="BH179" s="3632"/>
      <c r="BI179" s="3626"/>
      <c r="BJ179" s="3626"/>
      <c r="BK179" s="3629"/>
      <c r="BL179" s="3632"/>
      <c r="BM179" s="2718"/>
      <c r="BN179" s="3693"/>
      <c r="BO179" s="3693"/>
      <c r="BP179" s="3617"/>
      <c r="BQ179" s="3617"/>
      <c r="BR179" s="3688"/>
      <c r="BS179" s="440"/>
      <c r="BT179" s="440"/>
    </row>
    <row r="180" spans="1:72" s="438" customFormat="1" ht="27" customHeight="1" x14ac:dyDescent="0.2">
      <c r="A180" s="3854"/>
      <c r="B180" s="3858"/>
      <c r="C180" s="3859"/>
      <c r="D180" s="3677"/>
      <c r="E180" s="3678"/>
      <c r="F180" s="3678"/>
      <c r="G180" s="440"/>
      <c r="H180" s="2631"/>
      <c r="I180" s="2632"/>
      <c r="J180" s="3655"/>
      <c r="K180" s="3647"/>
      <c r="L180" s="3683"/>
      <c r="M180" s="3655"/>
      <c r="N180" s="3672"/>
      <c r="O180" s="3668"/>
      <c r="P180" s="3661"/>
      <c r="Q180" s="3648"/>
      <c r="R180" s="3643"/>
      <c r="S180" s="3644"/>
      <c r="T180" s="3665"/>
      <c r="U180" s="3665"/>
      <c r="V180" s="3224"/>
      <c r="W180" s="2818">
        <f>20000000-4383152</f>
        <v>15616848</v>
      </c>
      <c r="X180" s="2819">
        <v>3300000</v>
      </c>
      <c r="Y180" s="2819">
        <v>0</v>
      </c>
      <c r="Z180" s="2731">
        <v>88</v>
      </c>
      <c r="AA180" s="2743" t="s">
        <v>2562</v>
      </c>
      <c r="AB180" s="3700"/>
      <c r="AC180" s="3632"/>
      <c r="AD180" s="3695"/>
      <c r="AE180" s="3632"/>
      <c r="AF180" s="3695"/>
      <c r="AG180" s="3632"/>
      <c r="AH180" s="3695"/>
      <c r="AI180" s="3632"/>
      <c r="AJ180" s="3695"/>
      <c r="AK180" s="3632"/>
      <c r="AL180" s="3695"/>
      <c r="AM180" s="3632"/>
      <c r="AN180" s="3695"/>
      <c r="AO180" s="3632"/>
      <c r="AP180" s="3695"/>
      <c r="AQ180" s="3632"/>
      <c r="AR180" s="3695"/>
      <c r="AS180" s="3632"/>
      <c r="AT180" s="3695"/>
      <c r="AU180" s="3632"/>
      <c r="AV180" s="3695"/>
      <c r="AW180" s="3632"/>
      <c r="AX180" s="3695"/>
      <c r="AY180" s="3632"/>
      <c r="AZ180" s="3695"/>
      <c r="BA180" s="3632"/>
      <c r="BB180" s="3695"/>
      <c r="BC180" s="3632"/>
      <c r="BD180" s="3695"/>
      <c r="BE180" s="3632"/>
      <c r="BF180" s="3632"/>
      <c r="BG180" s="3632"/>
      <c r="BH180" s="3632"/>
      <c r="BI180" s="3626"/>
      <c r="BJ180" s="3626"/>
      <c r="BK180" s="3629"/>
      <c r="BL180" s="3632"/>
      <c r="BM180" s="2718"/>
      <c r="BN180" s="3693"/>
      <c r="BO180" s="3693"/>
      <c r="BP180" s="3617"/>
      <c r="BQ180" s="3617"/>
      <c r="BR180" s="3688"/>
      <c r="BS180" s="440"/>
      <c r="BT180" s="440"/>
    </row>
    <row r="181" spans="1:72" s="438" customFormat="1" ht="42" customHeight="1" x14ac:dyDescent="0.2">
      <c r="A181" s="3854"/>
      <c r="B181" s="3858"/>
      <c r="C181" s="3859"/>
      <c r="D181" s="3677"/>
      <c r="E181" s="3678"/>
      <c r="F181" s="3678"/>
      <c r="G181" s="440"/>
      <c r="H181" s="2631"/>
      <c r="I181" s="2632"/>
      <c r="J181" s="3672">
        <v>251</v>
      </c>
      <c r="K181" s="3665" t="s">
        <v>2647</v>
      </c>
      <c r="L181" s="3665" t="s">
        <v>2648</v>
      </c>
      <c r="M181" s="3672">
        <v>1</v>
      </c>
      <c r="N181" s="3656">
        <v>0.75</v>
      </c>
      <c r="O181" s="3668"/>
      <c r="P181" s="3661"/>
      <c r="Q181" s="3648"/>
      <c r="R181" s="3669">
        <f>SUM(W181:W185)/S167</f>
        <v>7.0958179167026181E-2</v>
      </c>
      <c r="S181" s="3644"/>
      <c r="T181" s="3665"/>
      <c r="U181" s="3665"/>
      <c r="V181" s="2645" t="s">
        <v>2649</v>
      </c>
      <c r="W181" s="2511">
        <v>18000000</v>
      </c>
      <c r="X181" s="2511">
        <f>10904000+2000000+2000000</f>
        <v>14904000</v>
      </c>
      <c r="Y181" s="2511">
        <f>10904000+2000000+2000000</f>
        <v>14904000</v>
      </c>
      <c r="Z181" s="2731">
        <v>20</v>
      </c>
      <c r="AA181" s="2716" t="s">
        <v>124</v>
      </c>
      <c r="AB181" s="3700"/>
      <c r="AC181" s="3632"/>
      <c r="AD181" s="3695"/>
      <c r="AE181" s="3632"/>
      <c r="AF181" s="3695"/>
      <c r="AG181" s="3632"/>
      <c r="AH181" s="3695"/>
      <c r="AI181" s="3632"/>
      <c r="AJ181" s="3695"/>
      <c r="AK181" s="3632"/>
      <c r="AL181" s="3695"/>
      <c r="AM181" s="3632"/>
      <c r="AN181" s="3695"/>
      <c r="AO181" s="3632"/>
      <c r="AP181" s="3695"/>
      <c r="AQ181" s="3632"/>
      <c r="AR181" s="3695"/>
      <c r="AS181" s="3632"/>
      <c r="AT181" s="3695"/>
      <c r="AU181" s="3632"/>
      <c r="AV181" s="3695"/>
      <c r="AW181" s="3632"/>
      <c r="AX181" s="3695"/>
      <c r="AY181" s="3632"/>
      <c r="AZ181" s="3695"/>
      <c r="BA181" s="3632"/>
      <c r="BB181" s="3695"/>
      <c r="BC181" s="3632"/>
      <c r="BD181" s="3695"/>
      <c r="BE181" s="3632"/>
      <c r="BF181" s="3632"/>
      <c r="BG181" s="3632"/>
      <c r="BH181" s="3632"/>
      <c r="BI181" s="3626"/>
      <c r="BJ181" s="3626"/>
      <c r="BK181" s="3629"/>
      <c r="BL181" s="3632"/>
      <c r="BM181" s="2718"/>
      <c r="BN181" s="3693"/>
      <c r="BO181" s="3693"/>
      <c r="BP181" s="3617"/>
      <c r="BQ181" s="3617"/>
      <c r="BR181" s="3688"/>
      <c r="BS181" s="440"/>
      <c r="BT181" s="440"/>
    </row>
    <row r="182" spans="1:72" s="438" customFormat="1" ht="46.5" customHeight="1" x14ac:dyDescent="0.2">
      <c r="A182" s="3854"/>
      <c r="B182" s="3858"/>
      <c r="C182" s="3859"/>
      <c r="D182" s="3677"/>
      <c r="E182" s="3678"/>
      <c r="F182" s="3678"/>
      <c r="G182" s="440"/>
      <c r="H182" s="2631"/>
      <c r="I182" s="2632"/>
      <c r="J182" s="3672"/>
      <c r="K182" s="3665"/>
      <c r="L182" s="3665"/>
      <c r="M182" s="3672"/>
      <c r="N182" s="3657"/>
      <c r="O182" s="3668"/>
      <c r="P182" s="3661"/>
      <c r="Q182" s="3648"/>
      <c r="R182" s="3669"/>
      <c r="S182" s="3644"/>
      <c r="T182" s="3665"/>
      <c r="U182" s="3665"/>
      <c r="V182" s="2645" t="s">
        <v>2650</v>
      </c>
      <c r="W182" s="2511">
        <v>5000000</v>
      </c>
      <c r="X182" s="2511">
        <v>5000000</v>
      </c>
      <c r="Y182" s="2511">
        <v>2200000</v>
      </c>
      <c r="Z182" s="2731">
        <v>20</v>
      </c>
      <c r="AA182" s="2716" t="s">
        <v>124</v>
      </c>
      <c r="AB182" s="3700"/>
      <c r="AC182" s="3632"/>
      <c r="AD182" s="3695"/>
      <c r="AE182" s="3632"/>
      <c r="AF182" s="3695"/>
      <c r="AG182" s="3632"/>
      <c r="AH182" s="3695"/>
      <c r="AI182" s="3632"/>
      <c r="AJ182" s="3695"/>
      <c r="AK182" s="3632"/>
      <c r="AL182" s="3695"/>
      <c r="AM182" s="3632"/>
      <c r="AN182" s="3695"/>
      <c r="AO182" s="3632"/>
      <c r="AP182" s="3695"/>
      <c r="AQ182" s="3632"/>
      <c r="AR182" s="3695"/>
      <c r="AS182" s="3632"/>
      <c r="AT182" s="3695"/>
      <c r="AU182" s="3632"/>
      <c r="AV182" s="3695"/>
      <c r="AW182" s="3632"/>
      <c r="AX182" s="3695"/>
      <c r="AY182" s="3632"/>
      <c r="AZ182" s="3695"/>
      <c r="BA182" s="3632"/>
      <c r="BB182" s="3695"/>
      <c r="BC182" s="3632"/>
      <c r="BD182" s="3695"/>
      <c r="BE182" s="3632"/>
      <c r="BF182" s="3632"/>
      <c r="BG182" s="3632"/>
      <c r="BH182" s="3632"/>
      <c r="BI182" s="3626"/>
      <c r="BJ182" s="3626"/>
      <c r="BK182" s="3629"/>
      <c r="BL182" s="3632"/>
      <c r="BM182" s="2671" t="s">
        <v>2651</v>
      </c>
      <c r="BN182" s="3693"/>
      <c r="BO182" s="3693"/>
      <c r="BP182" s="3617"/>
      <c r="BQ182" s="3617"/>
      <c r="BR182" s="3688"/>
      <c r="BS182" s="440"/>
      <c r="BT182" s="440"/>
    </row>
    <row r="183" spans="1:72" s="438" customFormat="1" ht="52.5" customHeight="1" x14ac:dyDescent="0.2">
      <c r="A183" s="3854"/>
      <c r="B183" s="3858"/>
      <c r="C183" s="3859"/>
      <c r="D183" s="3677"/>
      <c r="E183" s="3678"/>
      <c r="F183" s="3678"/>
      <c r="G183" s="440"/>
      <c r="H183" s="2631"/>
      <c r="I183" s="2632"/>
      <c r="J183" s="3672"/>
      <c r="K183" s="3665"/>
      <c r="L183" s="3665"/>
      <c r="M183" s="3672"/>
      <c r="N183" s="3657"/>
      <c r="O183" s="3668"/>
      <c r="P183" s="3661"/>
      <c r="Q183" s="3648"/>
      <c r="R183" s="3669"/>
      <c r="S183" s="3644"/>
      <c r="T183" s="3665"/>
      <c r="U183" s="3665"/>
      <c r="V183" s="2645" t="s">
        <v>2652</v>
      </c>
      <c r="W183" s="2511">
        <v>14690000</v>
      </c>
      <c r="X183" s="2511">
        <v>11562600</v>
      </c>
      <c r="Y183" s="2511">
        <v>9022600</v>
      </c>
      <c r="Z183" s="2731">
        <v>20</v>
      </c>
      <c r="AA183" s="2716" t="s">
        <v>124</v>
      </c>
      <c r="AB183" s="3700"/>
      <c r="AC183" s="3632"/>
      <c r="AD183" s="3695"/>
      <c r="AE183" s="3632"/>
      <c r="AF183" s="3695"/>
      <c r="AG183" s="3632"/>
      <c r="AH183" s="3695"/>
      <c r="AI183" s="3632"/>
      <c r="AJ183" s="3695"/>
      <c r="AK183" s="3632"/>
      <c r="AL183" s="3695"/>
      <c r="AM183" s="3632"/>
      <c r="AN183" s="3695"/>
      <c r="AO183" s="3632"/>
      <c r="AP183" s="3695"/>
      <c r="AQ183" s="3632"/>
      <c r="AR183" s="3695"/>
      <c r="AS183" s="3632"/>
      <c r="AT183" s="3695"/>
      <c r="AU183" s="3632"/>
      <c r="AV183" s="3695"/>
      <c r="AW183" s="3632"/>
      <c r="AX183" s="3695"/>
      <c r="AY183" s="3632"/>
      <c r="AZ183" s="3695"/>
      <c r="BA183" s="3632"/>
      <c r="BB183" s="3695"/>
      <c r="BC183" s="3632"/>
      <c r="BD183" s="3695"/>
      <c r="BE183" s="3632"/>
      <c r="BF183" s="3632"/>
      <c r="BG183" s="3632"/>
      <c r="BH183" s="3632"/>
      <c r="BI183" s="3626"/>
      <c r="BJ183" s="3626"/>
      <c r="BK183" s="3629"/>
      <c r="BL183" s="3632"/>
      <c r="BM183" s="2718" t="s">
        <v>2653</v>
      </c>
      <c r="BN183" s="3693"/>
      <c r="BO183" s="3693"/>
      <c r="BP183" s="3617"/>
      <c r="BQ183" s="3617"/>
      <c r="BR183" s="3688"/>
      <c r="BS183" s="440"/>
      <c r="BT183" s="440"/>
    </row>
    <row r="184" spans="1:72" s="438" customFormat="1" ht="33" customHeight="1" x14ac:dyDescent="0.2">
      <c r="A184" s="3854"/>
      <c r="B184" s="3858"/>
      <c r="C184" s="3859"/>
      <c r="D184" s="3677"/>
      <c r="E184" s="3678"/>
      <c r="F184" s="3678"/>
      <c r="G184" s="440"/>
      <c r="H184" s="2631"/>
      <c r="I184" s="2632"/>
      <c r="J184" s="3672"/>
      <c r="K184" s="3665"/>
      <c r="L184" s="3665"/>
      <c r="M184" s="3672"/>
      <c r="N184" s="3657"/>
      <c r="O184" s="3668"/>
      <c r="P184" s="3661"/>
      <c r="Q184" s="3648"/>
      <c r="R184" s="3669"/>
      <c r="S184" s="3644"/>
      <c r="T184" s="3665"/>
      <c r="U184" s="3665"/>
      <c r="V184" s="2645" t="s">
        <v>2654</v>
      </c>
      <c r="W184" s="2511">
        <v>5000000</v>
      </c>
      <c r="X184" s="2511">
        <v>4000000</v>
      </c>
      <c r="Y184" s="2511"/>
      <c r="Z184" s="2731">
        <v>20</v>
      </c>
      <c r="AA184" s="2716" t="s">
        <v>124</v>
      </c>
      <c r="AB184" s="3700"/>
      <c r="AC184" s="3632"/>
      <c r="AD184" s="3695"/>
      <c r="AE184" s="3632"/>
      <c r="AF184" s="3695"/>
      <c r="AG184" s="3632"/>
      <c r="AH184" s="3695"/>
      <c r="AI184" s="3632"/>
      <c r="AJ184" s="3695"/>
      <c r="AK184" s="3632"/>
      <c r="AL184" s="3695"/>
      <c r="AM184" s="3632"/>
      <c r="AN184" s="3695"/>
      <c r="AO184" s="3632"/>
      <c r="AP184" s="3695"/>
      <c r="AQ184" s="3632"/>
      <c r="AR184" s="3695"/>
      <c r="AS184" s="3632"/>
      <c r="AT184" s="3695"/>
      <c r="AU184" s="3632"/>
      <c r="AV184" s="3695"/>
      <c r="AW184" s="3632"/>
      <c r="AX184" s="3695"/>
      <c r="AY184" s="3632"/>
      <c r="AZ184" s="3695"/>
      <c r="BA184" s="3632"/>
      <c r="BB184" s="3695"/>
      <c r="BC184" s="3632"/>
      <c r="BD184" s="3695"/>
      <c r="BE184" s="3632"/>
      <c r="BF184" s="3632"/>
      <c r="BG184" s="3632"/>
      <c r="BH184" s="3632"/>
      <c r="BI184" s="3626"/>
      <c r="BJ184" s="3626"/>
      <c r="BK184" s="3629"/>
      <c r="BL184" s="3632"/>
      <c r="BM184" s="2718"/>
      <c r="BN184" s="3693"/>
      <c r="BO184" s="3693"/>
      <c r="BP184" s="3617"/>
      <c r="BQ184" s="3617"/>
      <c r="BR184" s="3688"/>
      <c r="BS184" s="440"/>
      <c r="BT184" s="440"/>
    </row>
    <row r="185" spans="1:72" s="438" customFormat="1" ht="39.75" customHeight="1" x14ac:dyDescent="0.2">
      <c r="A185" s="3854"/>
      <c r="B185" s="3858"/>
      <c r="C185" s="3859"/>
      <c r="D185" s="3677"/>
      <c r="E185" s="3678"/>
      <c r="F185" s="3678"/>
      <c r="G185" s="440"/>
      <c r="H185" s="2631"/>
      <c r="I185" s="2632"/>
      <c r="J185" s="3672"/>
      <c r="K185" s="3665"/>
      <c r="L185" s="3665"/>
      <c r="M185" s="3672"/>
      <c r="N185" s="3658"/>
      <c r="O185" s="3668"/>
      <c r="P185" s="3661"/>
      <c r="Q185" s="3648"/>
      <c r="R185" s="3669"/>
      <c r="S185" s="3644"/>
      <c r="T185" s="3665"/>
      <c r="U185" s="3665"/>
      <c r="V185" s="2645" t="s">
        <v>2655</v>
      </c>
      <c r="W185" s="2511">
        <v>7000000</v>
      </c>
      <c r="X185" s="2648">
        <v>4106991</v>
      </c>
      <c r="Y185" s="2511">
        <v>4106991</v>
      </c>
      <c r="Z185" s="2731">
        <v>20</v>
      </c>
      <c r="AA185" s="2716" t="s">
        <v>124</v>
      </c>
      <c r="AB185" s="3700"/>
      <c r="AC185" s="3632"/>
      <c r="AD185" s="3695"/>
      <c r="AE185" s="3632"/>
      <c r="AF185" s="3695"/>
      <c r="AG185" s="3632"/>
      <c r="AH185" s="3695"/>
      <c r="AI185" s="3632"/>
      <c r="AJ185" s="3695"/>
      <c r="AK185" s="3632"/>
      <c r="AL185" s="3695"/>
      <c r="AM185" s="3632"/>
      <c r="AN185" s="3695"/>
      <c r="AO185" s="3632"/>
      <c r="AP185" s="3695"/>
      <c r="AQ185" s="3632"/>
      <c r="AR185" s="3695"/>
      <c r="AS185" s="3632"/>
      <c r="AT185" s="3695"/>
      <c r="AU185" s="3632"/>
      <c r="AV185" s="3695"/>
      <c r="AW185" s="3632"/>
      <c r="AX185" s="3695"/>
      <c r="AY185" s="3632"/>
      <c r="AZ185" s="3695"/>
      <c r="BA185" s="3632"/>
      <c r="BB185" s="3695"/>
      <c r="BC185" s="3632"/>
      <c r="BD185" s="3695"/>
      <c r="BE185" s="3632"/>
      <c r="BF185" s="3632"/>
      <c r="BG185" s="3632"/>
      <c r="BH185" s="3632"/>
      <c r="BI185" s="3626"/>
      <c r="BJ185" s="3626"/>
      <c r="BK185" s="3629"/>
      <c r="BL185" s="3632"/>
      <c r="BM185" s="2718"/>
      <c r="BN185" s="3693"/>
      <c r="BO185" s="3693"/>
      <c r="BP185" s="3617"/>
      <c r="BQ185" s="3617"/>
      <c r="BR185" s="3688"/>
      <c r="BS185" s="440"/>
      <c r="BT185" s="440"/>
    </row>
    <row r="186" spans="1:72" s="438" customFormat="1" ht="66" customHeight="1" x14ac:dyDescent="0.2">
      <c r="A186" s="3854"/>
      <c r="B186" s="3858"/>
      <c r="C186" s="3859"/>
      <c r="D186" s="3677"/>
      <c r="E186" s="3678"/>
      <c r="F186" s="3678"/>
      <c r="G186" s="440"/>
      <c r="H186" s="2631"/>
      <c r="I186" s="2632"/>
      <c r="J186" s="2636">
        <v>252</v>
      </c>
      <c r="K186" s="2634" t="s">
        <v>2656</v>
      </c>
      <c r="L186" s="2634" t="s">
        <v>2657</v>
      </c>
      <c r="M186" s="2636">
        <v>1</v>
      </c>
      <c r="N186" s="2636">
        <v>1</v>
      </c>
      <c r="O186" s="3668"/>
      <c r="P186" s="3661"/>
      <c r="Q186" s="3648"/>
      <c r="R186" s="2738">
        <f>SUM(W186)/S167</f>
        <v>3.5486229669965799E-2</v>
      </c>
      <c r="S186" s="3644"/>
      <c r="T186" s="3665"/>
      <c r="U186" s="3665"/>
      <c r="V186" s="2744" t="s">
        <v>2658</v>
      </c>
      <c r="W186" s="2511">
        <v>24850000</v>
      </c>
      <c r="X186" s="2511">
        <v>11254037</v>
      </c>
      <c r="Y186" s="2511">
        <v>11254037</v>
      </c>
      <c r="Z186" s="2731">
        <v>20</v>
      </c>
      <c r="AA186" s="2716" t="s">
        <v>124</v>
      </c>
      <c r="AB186" s="3700"/>
      <c r="AC186" s="3632"/>
      <c r="AD186" s="3695"/>
      <c r="AE186" s="3632"/>
      <c r="AF186" s="3695"/>
      <c r="AG186" s="3632"/>
      <c r="AH186" s="3695"/>
      <c r="AI186" s="3632"/>
      <c r="AJ186" s="3695"/>
      <c r="AK186" s="3632"/>
      <c r="AL186" s="3695"/>
      <c r="AM186" s="3632"/>
      <c r="AN186" s="3695"/>
      <c r="AO186" s="3632"/>
      <c r="AP186" s="3695"/>
      <c r="AQ186" s="3632"/>
      <c r="AR186" s="3695"/>
      <c r="AS186" s="3632"/>
      <c r="AT186" s="3695"/>
      <c r="AU186" s="3632"/>
      <c r="AV186" s="3695"/>
      <c r="AW186" s="3632"/>
      <c r="AX186" s="3695"/>
      <c r="AY186" s="3632"/>
      <c r="AZ186" s="3695"/>
      <c r="BA186" s="3632"/>
      <c r="BB186" s="3695"/>
      <c r="BC186" s="3632"/>
      <c r="BD186" s="3695"/>
      <c r="BE186" s="3632"/>
      <c r="BF186" s="3632"/>
      <c r="BG186" s="3632"/>
      <c r="BH186" s="3632"/>
      <c r="BI186" s="3626"/>
      <c r="BJ186" s="3626"/>
      <c r="BK186" s="3629"/>
      <c r="BL186" s="3632"/>
      <c r="BM186" s="2718"/>
      <c r="BN186" s="3693"/>
      <c r="BO186" s="3693"/>
      <c r="BP186" s="3617"/>
      <c r="BQ186" s="3617"/>
      <c r="BR186" s="3688"/>
      <c r="BS186" s="440"/>
      <c r="BT186" s="440"/>
    </row>
    <row r="187" spans="1:72" s="438" customFormat="1" ht="26.25" customHeight="1" x14ac:dyDescent="0.2">
      <c r="A187" s="3854"/>
      <c r="B187" s="3858"/>
      <c r="C187" s="3859"/>
      <c r="D187" s="3677"/>
      <c r="E187" s="3678"/>
      <c r="F187" s="3678"/>
      <c r="G187" s="440"/>
      <c r="H187" s="2631"/>
      <c r="I187" s="2632"/>
      <c r="J187" s="3673">
        <v>253</v>
      </c>
      <c r="K187" s="3674" t="s">
        <v>2659</v>
      </c>
      <c r="L187" s="3674" t="s">
        <v>2660</v>
      </c>
      <c r="M187" s="3684">
        <v>0.625</v>
      </c>
      <c r="N187" s="3687">
        <v>0.35</v>
      </c>
      <c r="O187" s="3668"/>
      <c r="P187" s="3661"/>
      <c r="Q187" s="3648"/>
      <c r="R187" s="3703">
        <f>SUM(W187:W189)/S167</f>
        <v>0.34272414973005194</v>
      </c>
      <c r="S187" s="3644"/>
      <c r="T187" s="3665"/>
      <c r="U187" s="3697"/>
      <c r="V187" s="3223" t="s">
        <v>2661</v>
      </c>
      <c r="W187" s="2819">
        <f>85000000-4750000</f>
        <v>80250000</v>
      </c>
      <c r="X187" s="2819">
        <v>57307132</v>
      </c>
      <c r="Y187" s="2819">
        <f>25081000+13300000</f>
        <v>38381000</v>
      </c>
      <c r="Z187" s="2731">
        <v>20</v>
      </c>
      <c r="AA187" s="2716" t="s">
        <v>124</v>
      </c>
      <c r="AB187" s="3700"/>
      <c r="AC187" s="3632"/>
      <c r="AD187" s="3695"/>
      <c r="AE187" s="3632"/>
      <c r="AF187" s="3695"/>
      <c r="AG187" s="3632"/>
      <c r="AH187" s="3695"/>
      <c r="AI187" s="3632"/>
      <c r="AJ187" s="3695"/>
      <c r="AK187" s="3632"/>
      <c r="AL187" s="3695"/>
      <c r="AM187" s="3632"/>
      <c r="AN187" s="3695"/>
      <c r="AO187" s="3632"/>
      <c r="AP187" s="3695"/>
      <c r="AQ187" s="3632"/>
      <c r="AR187" s="3695"/>
      <c r="AS187" s="3632"/>
      <c r="AT187" s="3695"/>
      <c r="AU187" s="3632"/>
      <c r="AV187" s="3695"/>
      <c r="AW187" s="3632"/>
      <c r="AX187" s="3695"/>
      <c r="AY187" s="3632"/>
      <c r="AZ187" s="3695"/>
      <c r="BA187" s="3632"/>
      <c r="BB187" s="3695"/>
      <c r="BC187" s="3632"/>
      <c r="BD187" s="3695"/>
      <c r="BE187" s="3632"/>
      <c r="BF187" s="3632"/>
      <c r="BG187" s="3632"/>
      <c r="BH187" s="3632"/>
      <c r="BI187" s="3626"/>
      <c r="BJ187" s="3626"/>
      <c r="BK187" s="3629"/>
      <c r="BL187" s="3632"/>
      <c r="BM187" s="2718"/>
      <c r="BN187" s="3693"/>
      <c r="BO187" s="3693"/>
      <c r="BP187" s="3617"/>
      <c r="BQ187" s="3617"/>
      <c r="BR187" s="3688"/>
      <c r="BS187" s="440"/>
      <c r="BT187" s="440"/>
    </row>
    <row r="188" spans="1:72" s="438" customFormat="1" ht="27.75" customHeight="1" x14ac:dyDescent="0.2">
      <c r="A188" s="3854"/>
      <c r="B188" s="3858"/>
      <c r="C188" s="3859"/>
      <c r="D188" s="3677"/>
      <c r="E188" s="3678"/>
      <c r="F188" s="3678"/>
      <c r="G188" s="440"/>
      <c r="H188" s="2631"/>
      <c r="I188" s="2632"/>
      <c r="J188" s="3654"/>
      <c r="K188" s="3646"/>
      <c r="L188" s="3646"/>
      <c r="M188" s="3685"/>
      <c r="N188" s="3687"/>
      <c r="O188" s="3668"/>
      <c r="P188" s="3661"/>
      <c r="Q188" s="3648"/>
      <c r="R188" s="3642"/>
      <c r="S188" s="3644"/>
      <c r="T188" s="3665"/>
      <c r="U188" s="3697"/>
      <c r="V188" s="3224"/>
      <c r="W188" s="2820">
        <f>140000000+4750000</f>
        <v>144750000</v>
      </c>
      <c r="X188" s="2819">
        <v>144750000</v>
      </c>
      <c r="Y188" s="2819">
        <f>1568905+93453199</f>
        <v>95022104</v>
      </c>
      <c r="Z188" s="2731">
        <v>88</v>
      </c>
      <c r="AA188" s="2716" t="s">
        <v>2562</v>
      </c>
      <c r="AB188" s="3700"/>
      <c r="AC188" s="3632"/>
      <c r="AD188" s="3695"/>
      <c r="AE188" s="3632"/>
      <c r="AF188" s="3695"/>
      <c r="AG188" s="3632"/>
      <c r="AH188" s="3695"/>
      <c r="AI188" s="3632"/>
      <c r="AJ188" s="3695"/>
      <c r="AK188" s="3632"/>
      <c r="AL188" s="3695"/>
      <c r="AM188" s="3632"/>
      <c r="AN188" s="3695"/>
      <c r="AO188" s="3632"/>
      <c r="AP188" s="3695"/>
      <c r="AQ188" s="3632"/>
      <c r="AR188" s="3695"/>
      <c r="AS188" s="3632"/>
      <c r="AT188" s="3695"/>
      <c r="AU188" s="3632"/>
      <c r="AV188" s="3695"/>
      <c r="AW188" s="3632"/>
      <c r="AX188" s="3695"/>
      <c r="AY188" s="3632"/>
      <c r="AZ188" s="3695"/>
      <c r="BA188" s="3632"/>
      <c r="BB188" s="3695"/>
      <c r="BC188" s="3632"/>
      <c r="BD188" s="3695"/>
      <c r="BE188" s="3632"/>
      <c r="BF188" s="3632"/>
      <c r="BG188" s="3632"/>
      <c r="BH188" s="3632"/>
      <c r="BI188" s="3626"/>
      <c r="BJ188" s="3626"/>
      <c r="BK188" s="3629"/>
      <c r="BL188" s="3632"/>
      <c r="BM188" s="2718"/>
      <c r="BN188" s="3693"/>
      <c r="BO188" s="3693"/>
      <c r="BP188" s="3617"/>
      <c r="BQ188" s="3617"/>
      <c r="BR188" s="3688"/>
      <c r="BS188" s="440"/>
      <c r="BT188" s="440"/>
    </row>
    <row r="189" spans="1:72" s="438" customFormat="1" ht="37.5" customHeight="1" x14ac:dyDescent="0.2">
      <c r="A189" s="3854"/>
      <c r="B189" s="3858"/>
      <c r="C189" s="3859"/>
      <c r="D189" s="3677"/>
      <c r="E189" s="3678"/>
      <c r="F189" s="3678"/>
      <c r="G189" s="440"/>
      <c r="H189" s="2631"/>
      <c r="I189" s="2632"/>
      <c r="J189" s="3655"/>
      <c r="K189" s="3647"/>
      <c r="L189" s="3647"/>
      <c r="M189" s="3686"/>
      <c r="N189" s="3687"/>
      <c r="O189" s="3668"/>
      <c r="P189" s="3661"/>
      <c r="Q189" s="3648"/>
      <c r="R189" s="3643"/>
      <c r="S189" s="3644"/>
      <c r="T189" s="3665"/>
      <c r="U189" s="3697"/>
      <c r="V189" s="2495" t="s">
        <v>2662</v>
      </c>
      <c r="W189" s="2511">
        <v>15000000</v>
      </c>
      <c r="X189" s="2511">
        <v>10500000</v>
      </c>
      <c r="Y189" s="2511">
        <v>0</v>
      </c>
      <c r="Z189" s="2731">
        <v>20</v>
      </c>
      <c r="AA189" s="2716" t="s">
        <v>124</v>
      </c>
      <c r="AB189" s="3700"/>
      <c r="AC189" s="3632"/>
      <c r="AD189" s="3695"/>
      <c r="AE189" s="3632"/>
      <c r="AF189" s="3695"/>
      <c r="AG189" s="3632"/>
      <c r="AH189" s="3695"/>
      <c r="AI189" s="3632"/>
      <c r="AJ189" s="3695"/>
      <c r="AK189" s="3632"/>
      <c r="AL189" s="3695"/>
      <c r="AM189" s="3632"/>
      <c r="AN189" s="3695"/>
      <c r="AO189" s="3632"/>
      <c r="AP189" s="3695"/>
      <c r="AQ189" s="3632"/>
      <c r="AR189" s="3695"/>
      <c r="AS189" s="3632"/>
      <c r="AT189" s="3695"/>
      <c r="AU189" s="3632"/>
      <c r="AV189" s="3695"/>
      <c r="AW189" s="3632"/>
      <c r="AX189" s="3695"/>
      <c r="AY189" s="3632"/>
      <c r="AZ189" s="3695"/>
      <c r="BA189" s="3632"/>
      <c r="BB189" s="3695"/>
      <c r="BC189" s="3632"/>
      <c r="BD189" s="3695"/>
      <c r="BE189" s="3632"/>
      <c r="BF189" s="3632"/>
      <c r="BG189" s="3632"/>
      <c r="BH189" s="3632"/>
      <c r="BI189" s="3626"/>
      <c r="BJ189" s="3626"/>
      <c r="BK189" s="3629"/>
      <c r="BL189" s="3632"/>
      <c r="BM189" s="2718"/>
      <c r="BN189" s="3693"/>
      <c r="BO189" s="3693"/>
      <c r="BP189" s="3617"/>
      <c r="BQ189" s="3617"/>
      <c r="BR189" s="3688"/>
      <c r="BS189" s="440"/>
      <c r="BT189" s="440"/>
    </row>
    <row r="190" spans="1:72" s="438" customFormat="1" ht="43.5" customHeight="1" x14ac:dyDescent="0.2">
      <c r="A190" s="3854"/>
      <c r="B190" s="3858"/>
      <c r="C190" s="3859"/>
      <c r="D190" s="3677"/>
      <c r="E190" s="3678"/>
      <c r="F190" s="3678"/>
      <c r="G190" s="440"/>
      <c r="H190" s="2631"/>
      <c r="I190" s="2632"/>
      <c r="J190" s="3672">
        <v>254</v>
      </c>
      <c r="K190" s="3665" t="s">
        <v>2663</v>
      </c>
      <c r="L190" s="3665" t="s">
        <v>2664</v>
      </c>
      <c r="M190" s="3672">
        <v>1</v>
      </c>
      <c r="N190" s="3656">
        <v>0.95</v>
      </c>
      <c r="O190" s="3668"/>
      <c r="P190" s="3661"/>
      <c r="Q190" s="3648"/>
      <c r="R190" s="3703">
        <f>SUM(W190:W193)/S167</f>
        <v>4.25565332017383E-2</v>
      </c>
      <c r="S190" s="3644"/>
      <c r="T190" s="3665"/>
      <c r="U190" s="3697"/>
      <c r="V190" s="2645" t="s">
        <v>2665</v>
      </c>
      <c r="W190" s="2511">
        <v>17101133</v>
      </c>
      <c r="X190" s="2511">
        <v>17101133</v>
      </c>
      <c r="Y190" s="2511">
        <v>11505133</v>
      </c>
      <c r="Z190" s="2731">
        <v>20</v>
      </c>
      <c r="AA190" s="2716" t="s">
        <v>124</v>
      </c>
      <c r="AB190" s="3700"/>
      <c r="AC190" s="3632"/>
      <c r="AD190" s="3695"/>
      <c r="AE190" s="3632"/>
      <c r="AF190" s="3695"/>
      <c r="AG190" s="3632"/>
      <c r="AH190" s="3695"/>
      <c r="AI190" s="3632"/>
      <c r="AJ190" s="3695"/>
      <c r="AK190" s="3632"/>
      <c r="AL190" s="3695"/>
      <c r="AM190" s="3632"/>
      <c r="AN190" s="3695"/>
      <c r="AO190" s="3632"/>
      <c r="AP190" s="3695"/>
      <c r="AQ190" s="3632"/>
      <c r="AR190" s="3695"/>
      <c r="AS190" s="3632"/>
      <c r="AT190" s="3695"/>
      <c r="AU190" s="3632"/>
      <c r="AV190" s="3695"/>
      <c r="AW190" s="3632"/>
      <c r="AX190" s="3695"/>
      <c r="AY190" s="3632"/>
      <c r="AZ190" s="3695"/>
      <c r="BA190" s="3632"/>
      <c r="BB190" s="3695"/>
      <c r="BC190" s="3632"/>
      <c r="BD190" s="3695"/>
      <c r="BE190" s="3632"/>
      <c r="BF190" s="3632"/>
      <c r="BG190" s="3632"/>
      <c r="BH190" s="3632"/>
      <c r="BI190" s="3626"/>
      <c r="BJ190" s="3626"/>
      <c r="BK190" s="3629"/>
      <c r="BL190" s="3632"/>
      <c r="BM190" s="2718"/>
      <c r="BN190" s="3693"/>
      <c r="BO190" s="3693"/>
      <c r="BP190" s="3617"/>
      <c r="BQ190" s="3617"/>
      <c r="BR190" s="3688"/>
      <c r="BS190" s="440"/>
      <c r="BT190" s="440"/>
    </row>
    <row r="191" spans="1:72" s="438" customFormat="1" ht="36" customHeight="1" x14ac:dyDescent="0.2">
      <c r="A191" s="3854"/>
      <c r="B191" s="3858"/>
      <c r="C191" s="3859"/>
      <c r="D191" s="3677"/>
      <c r="E191" s="3678"/>
      <c r="F191" s="3678"/>
      <c r="G191" s="440"/>
      <c r="H191" s="2631"/>
      <c r="I191" s="2632"/>
      <c r="J191" s="3672"/>
      <c r="K191" s="3665"/>
      <c r="L191" s="3665"/>
      <c r="M191" s="3672"/>
      <c r="N191" s="3657"/>
      <c r="O191" s="3668"/>
      <c r="P191" s="3661"/>
      <c r="Q191" s="3648"/>
      <c r="R191" s="3642"/>
      <c r="S191" s="3644"/>
      <c r="T191" s="3665"/>
      <c r="U191" s="3697"/>
      <c r="V191" s="2645" t="s">
        <v>2666</v>
      </c>
      <c r="W191" s="2511">
        <v>5000000</v>
      </c>
      <c r="X191" s="2511">
        <v>2484867</v>
      </c>
      <c r="Y191" s="2511">
        <v>2484867</v>
      </c>
      <c r="Z191" s="2731">
        <v>20</v>
      </c>
      <c r="AA191" s="2716" t="s">
        <v>124</v>
      </c>
      <c r="AB191" s="3700"/>
      <c r="AC191" s="3632"/>
      <c r="AD191" s="3695"/>
      <c r="AE191" s="3632"/>
      <c r="AF191" s="3695"/>
      <c r="AG191" s="3632"/>
      <c r="AH191" s="3695"/>
      <c r="AI191" s="3632"/>
      <c r="AJ191" s="3695"/>
      <c r="AK191" s="3632"/>
      <c r="AL191" s="3695"/>
      <c r="AM191" s="3632"/>
      <c r="AN191" s="3695"/>
      <c r="AO191" s="3632"/>
      <c r="AP191" s="3695"/>
      <c r="AQ191" s="3632"/>
      <c r="AR191" s="3695"/>
      <c r="AS191" s="3632"/>
      <c r="AT191" s="3695"/>
      <c r="AU191" s="3632"/>
      <c r="AV191" s="3695"/>
      <c r="AW191" s="3632"/>
      <c r="AX191" s="3695"/>
      <c r="AY191" s="3632"/>
      <c r="AZ191" s="3695"/>
      <c r="BA191" s="3632"/>
      <c r="BB191" s="3695"/>
      <c r="BC191" s="3632"/>
      <c r="BD191" s="3695"/>
      <c r="BE191" s="3632"/>
      <c r="BF191" s="3632"/>
      <c r="BG191" s="3632"/>
      <c r="BH191" s="3632"/>
      <c r="BI191" s="3626"/>
      <c r="BJ191" s="3626"/>
      <c r="BK191" s="3629"/>
      <c r="BL191" s="3632"/>
      <c r="BM191" s="2718"/>
      <c r="BN191" s="3693"/>
      <c r="BO191" s="3693"/>
      <c r="BP191" s="3617"/>
      <c r="BQ191" s="3617"/>
      <c r="BR191" s="3688"/>
      <c r="BS191" s="440"/>
      <c r="BT191" s="440"/>
    </row>
    <row r="192" spans="1:72" s="438" customFormat="1" ht="39.75" customHeight="1" x14ac:dyDescent="0.2">
      <c r="A192" s="3854"/>
      <c r="B192" s="3858"/>
      <c r="C192" s="3859"/>
      <c r="D192" s="3677"/>
      <c r="E192" s="3678"/>
      <c r="F192" s="3678"/>
      <c r="G192" s="440"/>
      <c r="H192" s="2631"/>
      <c r="I192" s="2632"/>
      <c r="J192" s="3672"/>
      <c r="K192" s="3665"/>
      <c r="L192" s="3665"/>
      <c r="M192" s="3672"/>
      <c r="N192" s="3657"/>
      <c r="O192" s="3668"/>
      <c r="P192" s="3661"/>
      <c r="Q192" s="3648"/>
      <c r="R192" s="3642"/>
      <c r="S192" s="3644"/>
      <c r="T192" s="3665"/>
      <c r="U192" s="3697"/>
      <c r="V192" s="2645" t="s">
        <v>2667</v>
      </c>
      <c r="W192" s="2511">
        <v>5000000</v>
      </c>
      <c r="X192" s="2511">
        <v>5000000</v>
      </c>
      <c r="Y192" s="2511">
        <v>0</v>
      </c>
      <c r="Z192" s="2731">
        <v>20</v>
      </c>
      <c r="AA192" s="2716" t="s">
        <v>124</v>
      </c>
      <c r="AB192" s="3700"/>
      <c r="AC192" s="3632"/>
      <c r="AD192" s="3695"/>
      <c r="AE192" s="3632"/>
      <c r="AF192" s="3695"/>
      <c r="AG192" s="3632"/>
      <c r="AH192" s="3695"/>
      <c r="AI192" s="3632"/>
      <c r="AJ192" s="3695"/>
      <c r="AK192" s="3632"/>
      <c r="AL192" s="3695"/>
      <c r="AM192" s="3632"/>
      <c r="AN192" s="3695"/>
      <c r="AO192" s="3632"/>
      <c r="AP192" s="3695"/>
      <c r="AQ192" s="3632"/>
      <c r="AR192" s="3695"/>
      <c r="AS192" s="3632"/>
      <c r="AT192" s="3695"/>
      <c r="AU192" s="3632"/>
      <c r="AV192" s="3695"/>
      <c r="AW192" s="3632"/>
      <c r="AX192" s="3695"/>
      <c r="AY192" s="3632"/>
      <c r="AZ192" s="3695"/>
      <c r="BA192" s="3632"/>
      <c r="BB192" s="3695"/>
      <c r="BC192" s="3632"/>
      <c r="BD192" s="3695"/>
      <c r="BE192" s="3632"/>
      <c r="BF192" s="3632"/>
      <c r="BG192" s="3632"/>
      <c r="BH192" s="3632"/>
      <c r="BI192" s="3626"/>
      <c r="BJ192" s="3626"/>
      <c r="BK192" s="3629"/>
      <c r="BL192" s="3632"/>
      <c r="BM192" s="2718"/>
      <c r="BN192" s="3693"/>
      <c r="BO192" s="3693"/>
      <c r="BP192" s="3617"/>
      <c r="BQ192" s="3617"/>
      <c r="BR192" s="3688"/>
      <c r="BS192" s="440"/>
      <c r="BT192" s="440"/>
    </row>
    <row r="193" spans="1:72" s="438" customFormat="1" ht="27" customHeight="1" x14ac:dyDescent="0.2">
      <c r="A193" s="3854"/>
      <c r="B193" s="3858"/>
      <c r="C193" s="3859"/>
      <c r="D193" s="3679"/>
      <c r="E193" s="3680"/>
      <c r="F193" s="3680"/>
      <c r="H193" s="2631"/>
      <c r="I193" s="2632"/>
      <c r="J193" s="3673"/>
      <c r="K193" s="3674"/>
      <c r="L193" s="3674"/>
      <c r="M193" s="3673"/>
      <c r="N193" s="3657"/>
      <c r="O193" s="3668"/>
      <c r="P193" s="3661"/>
      <c r="Q193" s="3648"/>
      <c r="R193" s="3642"/>
      <c r="S193" s="3644"/>
      <c r="T193" s="3674"/>
      <c r="U193" s="3698"/>
      <c r="V193" s="2495" t="s">
        <v>2642</v>
      </c>
      <c r="W193" s="2507">
        <v>2700000</v>
      </c>
      <c r="X193" s="2507">
        <v>1500000</v>
      </c>
      <c r="Y193" s="2507">
        <v>0</v>
      </c>
      <c r="Z193" s="2742">
        <v>20</v>
      </c>
      <c r="AA193" s="2743" t="s">
        <v>124</v>
      </c>
      <c r="AB193" s="3701"/>
      <c r="AC193" s="3632"/>
      <c r="AD193" s="3696"/>
      <c r="AE193" s="3632"/>
      <c r="AF193" s="3696"/>
      <c r="AG193" s="3632"/>
      <c r="AH193" s="3696"/>
      <c r="AI193" s="3632"/>
      <c r="AJ193" s="3696"/>
      <c r="AK193" s="3632"/>
      <c r="AL193" s="3696"/>
      <c r="AM193" s="3632"/>
      <c r="AN193" s="3696"/>
      <c r="AO193" s="3632"/>
      <c r="AP193" s="3696"/>
      <c r="AQ193" s="3632"/>
      <c r="AR193" s="3696"/>
      <c r="AS193" s="3632"/>
      <c r="AT193" s="3696"/>
      <c r="AU193" s="3632"/>
      <c r="AV193" s="3696"/>
      <c r="AW193" s="3632"/>
      <c r="AX193" s="3696"/>
      <c r="AY193" s="3632"/>
      <c r="AZ193" s="3696"/>
      <c r="BA193" s="3632"/>
      <c r="BB193" s="3696"/>
      <c r="BC193" s="3632"/>
      <c r="BD193" s="3696"/>
      <c r="BE193" s="3632"/>
      <c r="BF193" s="3632"/>
      <c r="BG193" s="3632"/>
      <c r="BH193" s="3632"/>
      <c r="BI193" s="3626"/>
      <c r="BJ193" s="3626"/>
      <c r="BK193" s="3629"/>
      <c r="BL193" s="3633"/>
      <c r="BM193" s="2718"/>
      <c r="BN193" s="3693"/>
      <c r="BO193" s="3693"/>
      <c r="BP193" s="3617"/>
      <c r="BQ193" s="3617"/>
      <c r="BR193" s="3689"/>
      <c r="BS193" s="440"/>
      <c r="BT193" s="440"/>
    </row>
    <row r="194" spans="1:72" s="438" customFormat="1" ht="18.75" customHeight="1" x14ac:dyDescent="0.2">
      <c r="A194" s="3854"/>
      <c r="B194" s="3858"/>
      <c r="C194" s="3859"/>
      <c r="D194" s="930">
        <v>27</v>
      </c>
      <c r="E194" s="2740" t="s">
        <v>2629</v>
      </c>
      <c r="F194" s="2745"/>
      <c r="G194" s="2746"/>
      <c r="H194" s="1099"/>
      <c r="I194" s="1099"/>
      <c r="J194" s="1099"/>
      <c r="K194" s="2747"/>
      <c r="L194" s="2747"/>
      <c r="M194" s="1099"/>
      <c r="N194" s="1099"/>
      <c r="O194" s="1099"/>
      <c r="P194" s="1099"/>
      <c r="Q194" s="2747"/>
      <c r="R194" s="1099"/>
      <c r="S194" s="1099"/>
      <c r="T194" s="1099"/>
      <c r="U194" s="1099"/>
      <c r="V194" s="2747"/>
      <c r="W194" s="1099"/>
      <c r="X194" s="1099"/>
      <c r="Y194" s="1099"/>
      <c r="Z194" s="1099"/>
      <c r="AA194" s="1099"/>
      <c r="AB194" s="1099"/>
      <c r="AC194" s="1099"/>
      <c r="AD194" s="1099"/>
      <c r="AE194" s="1099"/>
      <c r="AF194" s="1099"/>
      <c r="AG194" s="1099"/>
      <c r="AH194" s="1099"/>
      <c r="AI194" s="1099"/>
      <c r="AJ194" s="1099"/>
      <c r="AK194" s="1099"/>
      <c r="AL194" s="1099"/>
      <c r="AM194" s="1099"/>
      <c r="AN194" s="1099"/>
      <c r="AO194" s="1099"/>
      <c r="AP194" s="1099"/>
      <c r="AQ194" s="1099"/>
      <c r="AR194" s="1099"/>
      <c r="AS194" s="1099"/>
      <c r="AT194" s="1099"/>
      <c r="AU194" s="1099"/>
      <c r="AV194" s="1099"/>
      <c r="AW194" s="1099"/>
      <c r="AX194" s="1099"/>
      <c r="AY194" s="1099"/>
      <c r="AZ194" s="1099"/>
      <c r="BA194" s="1099"/>
      <c r="BB194" s="1099"/>
      <c r="BC194" s="1099"/>
      <c r="BD194" s="1099"/>
      <c r="BE194" s="1099"/>
      <c r="BF194" s="1099"/>
      <c r="BG194" s="1099"/>
      <c r="BH194" s="1099"/>
      <c r="BI194" s="1099"/>
      <c r="BJ194" s="1099"/>
      <c r="BK194" s="1099"/>
      <c r="BL194" s="1099"/>
      <c r="BM194" s="1099"/>
      <c r="BN194" s="1099"/>
      <c r="BO194" s="1099"/>
      <c r="BP194" s="1099"/>
      <c r="BQ194" s="1099"/>
      <c r="BR194" s="2748"/>
      <c r="BS194" s="440"/>
      <c r="BT194" s="440"/>
    </row>
    <row r="195" spans="1:72" s="440" customFormat="1" ht="15" customHeight="1" x14ac:dyDescent="0.2">
      <c r="A195" s="3854"/>
      <c r="B195" s="3858"/>
      <c r="C195" s="3859"/>
      <c r="D195" s="3671"/>
      <c r="E195" s="3671"/>
      <c r="F195" s="3671"/>
      <c r="G195" s="2749">
        <v>86</v>
      </c>
      <c r="H195" s="2750" t="s">
        <v>2668</v>
      </c>
      <c r="I195" s="2750"/>
      <c r="J195" s="2655"/>
      <c r="K195" s="2656"/>
      <c r="L195" s="2657"/>
      <c r="M195" s="2710"/>
      <c r="N195" s="2751"/>
      <c r="O195" s="2752"/>
      <c r="P195" s="1238"/>
      <c r="Q195" s="2378"/>
      <c r="R195" s="2658"/>
      <c r="S195" s="2659"/>
      <c r="T195" s="2657"/>
      <c r="U195" s="2656"/>
      <c r="V195" s="2656"/>
      <c r="W195" s="2753"/>
      <c r="X195" s="2753"/>
      <c r="Y195" s="2754"/>
      <c r="Z195" s="2755"/>
      <c r="AA195" s="2755"/>
      <c r="AB195" s="2756"/>
      <c r="AC195" s="2756"/>
      <c r="AD195" s="2756"/>
      <c r="AE195" s="2756"/>
      <c r="AF195" s="2756"/>
      <c r="AG195" s="2756"/>
      <c r="AH195" s="2756"/>
      <c r="AI195" s="2756"/>
      <c r="AJ195" s="2756"/>
      <c r="AK195" s="2756"/>
      <c r="AL195" s="2756"/>
      <c r="AM195" s="2756"/>
      <c r="AN195" s="2756"/>
      <c r="AO195" s="2756"/>
      <c r="AP195" s="2756"/>
      <c r="AQ195" s="2756"/>
      <c r="AR195" s="2756"/>
      <c r="AS195" s="2756"/>
      <c r="AT195" s="2756"/>
      <c r="AU195" s="2756"/>
      <c r="AV195" s="2756"/>
      <c r="AW195" s="2756"/>
      <c r="AX195" s="2756"/>
      <c r="AY195" s="2756"/>
      <c r="AZ195" s="2756"/>
      <c r="BA195" s="2756"/>
      <c r="BB195" s="2756"/>
      <c r="BC195" s="2756"/>
      <c r="BD195" s="2756"/>
      <c r="BE195" s="2756"/>
      <c r="BF195" s="2756"/>
      <c r="BG195" s="2756"/>
      <c r="BH195" s="2756"/>
      <c r="BI195" s="2389"/>
      <c r="BJ195" s="2389"/>
      <c r="BK195" s="2756"/>
      <c r="BL195" s="2756"/>
      <c r="BM195" s="2756"/>
      <c r="BN195" s="2756"/>
      <c r="BO195" s="2756"/>
      <c r="BP195" s="2756"/>
      <c r="BQ195" s="2756"/>
      <c r="BR195" s="2757"/>
    </row>
    <row r="196" spans="1:72" s="438" customFormat="1" ht="45.75" customHeight="1" x14ac:dyDescent="0.2">
      <c r="A196" s="3854"/>
      <c r="B196" s="3858"/>
      <c r="C196" s="3859"/>
      <c r="D196" s="3671"/>
      <c r="E196" s="3671"/>
      <c r="F196" s="3671"/>
      <c r="G196" s="440"/>
      <c r="H196" s="2626"/>
      <c r="I196" s="396"/>
      <c r="J196" s="3672">
        <v>255</v>
      </c>
      <c r="K196" s="3665" t="s">
        <v>2669</v>
      </c>
      <c r="L196" s="3665" t="s">
        <v>2670</v>
      </c>
      <c r="M196" s="3672">
        <v>12</v>
      </c>
      <c r="N196" s="3673">
        <v>12</v>
      </c>
      <c r="O196" s="3668" t="s">
        <v>2671</v>
      </c>
      <c r="P196" s="3661" t="s">
        <v>2672</v>
      </c>
      <c r="Q196" s="3648" t="s">
        <v>2673</v>
      </c>
      <c r="R196" s="3669">
        <f>SUM(W196:W199)/S196</f>
        <v>1</v>
      </c>
      <c r="S196" s="3670">
        <f>SUM(W196:W199)</f>
        <v>99372400</v>
      </c>
      <c r="T196" s="3665" t="s">
        <v>2674</v>
      </c>
      <c r="U196" s="3665" t="s">
        <v>2675</v>
      </c>
      <c r="V196" s="2758" t="s">
        <v>2676</v>
      </c>
      <c r="W196" s="2648">
        <v>40000000</v>
      </c>
      <c r="X196" s="2512">
        <f>9915000+8740000+8740000+4000000+7916666</f>
        <v>39311666</v>
      </c>
      <c r="Y196" s="2512">
        <f>9915000+8740000+8740000+4000000+7916666</f>
        <v>39311666</v>
      </c>
      <c r="Z196" s="2759" t="s">
        <v>123</v>
      </c>
      <c r="AA196" s="2760" t="s">
        <v>251</v>
      </c>
      <c r="AB196" s="3666">
        <v>2138</v>
      </c>
      <c r="AC196" s="3631">
        <v>1714</v>
      </c>
      <c r="AD196" s="3663">
        <v>2062</v>
      </c>
      <c r="AE196" s="3631">
        <v>1646</v>
      </c>
      <c r="AF196" s="3663"/>
      <c r="AG196" s="3631"/>
      <c r="AH196" s="3663"/>
      <c r="AI196" s="3631"/>
      <c r="AJ196" s="3663">
        <v>4200</v>
      </c>
      <c r="AK196" s="3631">
        <v>3360</v>
      </c>
      <c r="AL196" s="3663"/>
      <c r="AM196" s="3631"/>
      <c r="AN196" s="3663"/>
      <c r="AO196" s="3631"/>
      <c r="AP196" s="3663"/>
      <c r="AQ196" s="3631"/>
      <c r="AR196" s="3663"/>
      <c r="AS196" s="3631"/>
      <c r="AT196" s="3663"/>
      <c r="AU196" s="3631"/>
      <c r="AV196" s="3663"/>
      <c r="AW196" s="3631"/>
      <c r="AX196" s="3663"/>
      <c r="AY196" s="3631"/>
      <c r="AZ196" s="3663"/>
      <c r="BA196" s="3631"/>
      <c r="BB196" s="3663"/>
      <c r="BC196" s="3631"/>
      <c r="BD196" s="3663"/>
      <c r="BE196" s="3631"/>
      <c r="BF196" s="3631">
        <v>4200</v>
      </c>
      <c r="BG196" s="3663">
        <v>3360</v>
      </c>
      <c r="BH196" s="2630"/>
      <c r="BI196" s="3625">
        <f>SUM(X196:X199)</f>
        <v>91182332</v>
      </c>
      <c r="BJ196" s="3625">
        <f>SUM(Y196:Y199)</f>
        <v>70378332</v>
      </c>
      <c r="BK196" s="3628">
        <f>BJ196/BI196</f>
        <v>0.77184176425757567</v>
      </c>
      <c r="BL196" s="3631">
        <v>20</v>
      </c>
      <c r="BM196" s="3631" t="s">
        <v>2653</v>
      </c>
      <c r="BN196" s="3616">
        <v>43480</v>
      </c>
      <c r="BO196" s="3619">
        <v>43636</v>
      </c>
      <c r="BP196" s="3619">
        <v>43814</v>
      </c>
      <c r="BQ196" s="3619">
        <v>43809</v>
      </c>
      <c r="BR196" s="3622" t="s">
        <v>2456</v>
      </c>
      <c r="BS196" s="440"/>
      <c r="BT196" s="440"/>
    </row>
    <row r="197" spans="1:72" s="438" customFormat="1" ht="33" customHeight="1" x14ac:dyDescent="0.2">
      <c r="A197" s="3854"/>
      <c r="B197" s="3858"/>
      <c r="C197" s="3859"/>
      <c r="D197" s="3671"/>
      <c r="E197" s="3671"/>
      <c r="F197" s="3671"/>
      <c r="G197" s="440"/>
      <c r="H197" s="2631"/>
      <c r="I197" s="2632"/>
      <c r="J197" s="3672"/>
      <c r="K197" s="3665"/>
      <c r="L197" s="3665"/>
      <c r="M197" s="3672"/>
      <c r="N197" s="3654"/>
      <c r="O197" s="3668"/>
      <c r="P197" s="3661"/>
      <c r="Q197" s="3648"/>
      <c r="R197" s="3669"/>
      <c r="S197" s="3670"/>
      <c r="T197" s="3665"/>
      <c r="U197" s="3665"/>
      <c r="V197" s="2758" t="s">
        <v>2677</v>
      </c>
      <c r="W197" s="2648">
        <v>18372400</v>
      </c>
      <c r="X197" s="2511">
        <v>16804000</v>
      </c>
      <c r="Y197" s="2648">
        <v>1000000</v>
      </c>
      <c r="Z197" s="2761" t="s">
        <v>2678</v>
      </c>
      <c r="AA197" s="2636" t="s">
        <v>2679</v>
      </c>
      <c r="AB197" s="3667"/>
      <c r="AC197" s="3632"/>
      <c r="AD197" s="3664"/>
      <c r="AE197" s="3632"/>
      <c r="AF197" s="3664"/>
      <c r="AG197" s="3632"/>
      <c r="AH197" s="3664"/>
      <c r="AI197" s="3632"/>
      <c r="AJ197" s="3664"/>
      <c r="AK197" s="3632"/>
      <c r="AL197" s="3664"/>
      <c r="AM197" s="3632"/>
      <c r="AN197" s="3664"/>
      <c r="AO197" s="3632"/>
      <c r="AP197" s="3664"/>
      <c r="AQ197" s="3632"/>
      <c r="AR197" s="3664"/>
      <c r="AS197" s="3632"/>
      <c r="AT197" s="3664"/>
      <c r="AU197" s="3632"/>
      <c r="AV197" s="3664"/>
      <c r="AW197" s="3632"/>
      <c r="AX197" s="3664"/>
      <c r="AY197" s="3632"/>
      <c r="AZ197" s="3664"/>
      <c r="BA197" s="3632"/>
      <c r="BB197" s="3664"/>
      <c r="BC197" s="3632"/>
      <c r="BD197" s="3664"/>
      <c r="BE197" s="3632"/>
      <c r="BF197" s="3632"/>
      <c r="BG197" s="3664"/>
      <c r="BH197" s="3632">
        <v>7</v>
      </c>
      <c r="BI197" s="3626"/>
      <c r="BJ197" s="3626"/>
      <c r="BK197" s="3629"/>
      <c r="BL197" s="3632"/>
      <c r="BM197" s="3632"/>
      <c r="BN197" s="3617"/>
      <c r="BO197" s="3620"/>
      <c r="BP197" s="3620"/>
      <c r="BQ197" s="3620"/>
      <c r="BR197" s="3623"/>
      <c r="BS197" s="440"/>
      <c r="BT197" s="440"/>
    </row>
    <row r="198" spans="1:72" s="438" customFormat="1" ht="40.5" customHeight="1" x14ac:dyDescent="0.2">
      <c r="A198" s="3854"/>
      <c r="B198" s="3858"/>
      <c r="C198" s="3859"/>
      <c r="D198" s="3671"/>
      <c r="E198" s="3671"/>
      <c r="F198" s="3671"/>
      <c r="G198" s="440"/>
      <c r="H198" s="2631"/>
      <c r="I198" s="2632"/>
      <c r="J198" s="3672"/>
      <c r="K198" s="3665"/>
      <c r="L198" s="3665"/>
      <c r="M198" s="3672"/>
      <c r="N198" s="3654"/>
      <c r="O198" s="3668"/>
      <c r="P198" s="3661"/>
      <c r="Q198" s="3648"/>
      <c r="R198" s="3669"/>
      <c r="S198" s="3670"/>
      <c r="T198" s="3665"/>
      <c r="U198" s="3665"/>
      <c r="V198" s="2758" t="s">
        <v>2680</v>
      </c>
      <c r="W198" s="2648">
        <v>5000000</v>
      </c>
      <c r="X198" s="2511">
        <v>0</v>
      </c>
      <c r="Y198" s="2648">
        <v>0</v>
      </c>
      <c r="Z198" s="2761" t="s">
        <v>2678</v>
      </c>
      <c r="AA198" s="2636" t="s">
        <v>2679</v>
      </c>
      <c r="AB198" s="3667"/>
      <c r="AC198" s="3632"/>
      <c r="AD198" s="3664"/>
      <c r="AE198" s="3632"/>
      <c r="AF198" s="3664"/>
      <c r="AG198" s="3632"/>
      <c r="AH198" s="3664"/>
      <c r="AI198" s="3632"/>
      <c r="AJ198" s="3664"/>
      <c r="AK198" s="3632"/>
      <c r="AL198" s="3664"/>
      <c r="AM198" s="3632"/>
      <c r="AN198" s="3664"/>
      <c r="AO198" s="3632"/>
      <c r="AP198" s="3664"/>
      <c r="AQ198" s="3632"/>
      <c r="AR198" s="3664"/>
      <c r="AS198" s="3632"/>
      <c r="AT198" s="3664"/>
      <c r="AU198" s="3632"/>
      <c r="AV198" s="3664"/>
      <c r="AW198" s="3632"/>
      <c r="AX198" s="3664"/>
      <c r="AY198" s="3632"/>
      <c r="AZ198" s="3664"/>
      <c r="BA198" s="3632"/>
      <c r="BB198" s="3664"/>
      <c r="BC198" s="3632"/>
      <c r="BD198" s="3664"/>
      <c r="BE198" s="3632"/>
      <c r="BF198" s="3632"/>
      <c r="BG198" s="3664"/>
      <c r="BH198" s="3632"/>
      <c r="BI198" s="3626"/>
      <c r="BJ198" s="3626"/>
      <c r="BK198" s="3629"/>
      <c r="BL198" s="3632"/>
      <c r="BM198" s="3632"/>
      <c r="BN198" s="3617"/>
      <c r="BO198" s="3620"/>
      <c r="BP198" s="3620"/>
      <c r="BQ198" s="3620"/>
      <c r="BR198" s="3623"/>
      <c r="BS198" s="440"/>
      <c r="BT198" s="440"/>
    </row>
    <row r="199" spans="1:72" s="438" customFormat="1" ht="50.25" customHeight="1" x14ac:dyDescent="0.2">
      <c r="A199" s="3854"/>
      <c r="B199" s="3858"/>
      <c r="C199" s="3859"/>
      <c r="D199" s="3671"/>
      <c r="E199" s="3671"/>
      <c r="F199" s="3671"/>
      <c r="G199" s="440"/>
      <c r="H199" s="2631"/>
      <c r="I199" s="2632"/>
      <c r="J199" s="3672"/>
      <c r="K199" s="3665"/>
      <c r="L199" s="3665"/>
      <c r="M199" s="3672"/>
      <c r="N199" s="3655"/>
      <c r="O199" s="3668"/>
      <c r="P199" s="3661"/>
      <c r="Q199" s="3648"/>
      <c r="R199" s="3669"/>
      <c r="S199" s="3670"/>
      <c r="T199" s="3665"/>
      <c r="U199" s="3665"/>
      <c r="V199" s="2762" t="s">
        <v>2681</v>
      </c>
      <c r="W199" s="2648">
        <v>36000000</v>
      </c>
      <c r="X199" s="2511">
        <f>8550000+8550000+6000000+6000000+5000000+966666</f>
        <v>35066666</v>
      </c>
      <c r="Y199" s="2511">
        <v>30066666</v>
      </c>
      <c r="Z199" s="2763" t="s">
        <v>2678</v>
      </c>
      <c r="AA199" s="2734" t="s">
        <v>2679</v>
      </c>
      <c r="AB199" s="3667"/>
      <c r="AC199" s="3633"/>
      <c r="AD199" s="3664"/>
      <c r="AE199" s="3633"/>
      <c r="AF199" s="3664"/>
      <c r="AG199" s="3633"/>
      <c r="AH199" s="3664"/>
      <c r="AI199" s="3633"/>
      <c r="AJ199" s="3664"/>
      <c r="AK199" s="3633"/>
      <c r="AL199" s="3664"/>
      <c r="AM199" s="3633"/>
      <c r="AN199" s="3664"/>
      <c r="AO199" s="3633"/>
      <c r="AP199" s="3664"/>
      <c r="AQ199" s="3633"/>
      <c r="AR199" s="3664"/>
      <c r="AS199" s="3633"/>
      <c r="AT199" s="3664"/>
      <c r="AU199" s="3633"/>
      <c r="AV199" s="3664"/>
      <c r="AW199" s="3633"/>
      <c r="AX199" s="3664"/>
      <c r="AY199" s="3633"/>
      <c r="AZ199" s="3664"/>
      <c r="BA199" s="3633"/>
      <c r="BB199" s="3664"/>
      <c r="BC199" s="3633"/>
      <c r="BD199" s="3664"/>
      <c r="BE199" s="3633"/>
      <c r="BF199" s="3633"/>
      <c r="BG199" s="3664"/>
      <c r="BH199" s="2654"/>
      <c r="BI199" s="3627"/>
      <c r="BJ199" s="3627"/>
      <c r="BK199" s="3630"/>
      <c r="BL199" s="3633"/>
      <c r="BM199" s="3633"/>
      <c r="BN199" s="3618"/>
      <c r="BO199" s="3621"/>
      <c r="BP199" s="3621"/>
      <c r="BQ199" s="3621"/>
      <c r="BR199" s="3623"/>
      <c r="BS199" s="440"/>
      <c r="BT199" s="440"/>
    </row>
    <row r="200" spans="1:72" s="2606" customFormat="1" ht="15" customHeight="1" x14ac:dyDescent="0.2">
      <c r="A200" s="3854"/>
      <c r="B200" s="3858"/>
      <c r="C200" s="3859"/>
      <c r="D200" s="3671"/>
      <c r="E200" s="3671"/>
      <c r="F200" s="3671"/>
      <c r="G200" s="1242"/>
      <c r="H200" s="1242"/>
      <c r="I200" s="1242"/>
      <c r="J200" s="2764"/>
      <c r="K200" s="2765"/>
      <c r="L200" s="2766"/>
      <c r="M200" s="2767"/>
      <c r="N200" s="2767"/>
      <c r="O200" s="1189"/>
      <c r="P200" s="1188"/>
      <c r="Q200" s="2601"/>
      <c r="R200" s="2768"/>
      <c r="S200" s="2769"/>
      <c r="T200" s="2766"/>
      <c r="U200" s="2765"/>
      <c r="V200" s="2765"/>
      <c r="W200" s="2770"/>
      <c r="X200" s="2770"/>
      <c r="Y200" s="2771"/>
      <c r="Z200" s="2772"/>
      <c r="AA200" s="2772"/>
      <c r="AB200" s="2773"/>
      <c r="AC200" s="2773"/>
      <c r="AD200" s="2773"/>
      <c r="AE200" s="2773"/>
      <c r="AF200" s="2773"/>
      <c r="AG200" s="2773"/>
      <c r="AH200" s="2773"/>
      <c r="AI200" s="2773"/>
      <c r="AJ200" s="2773"/>
      <c r="AK200" s="2773"/>
      <c r="AL200" s="2773"/>
      <c r="AM200" s="2773"/>
      <c r="AN200" s="2773"/>
      <c r="AO200" s="2773"/>
      <c r="AP200" s="2773"/>
      <c r="AQ200" s="2773"/>
      <c r="AR200" s="2773"/>
      <c r="AS200" s="2773"/>
      <c r="AT200" s="2773"/>
      <c r="AU200" s="2773"/>
      <c r="AV200" s="2773"/>
      <c r="AW200" s="2773"/>
      <c r="AX200" s="2773"/>
      <c r="AY200" s="2773"/>
      <c r="AZ200" s="2773"/>
      <c r="BA200" s="2773"/>
      <c r="BB200" s="2773"/>
      <c r="BC200" s="2773"/>
      <c r="BD200" s="2773"/>
      <c r="BE200" s="2773"/>
      <c r="BF200" s="2773"/>
      <c r="BG200" s="2773"/>
      <c r="BH200" s="2773"/>
      <c r="BI200" s="2774"/>
      <c r="BJ200" s="2774"/>
      <c r="BK200" s="2773"/>
      <c r="BL200" s="2773"/>
      <c r="BM200" s="2773"/>
      <c r="BN200" s="2773"/>
      <c r="BO200" s="2773"/>
      <c r="BP200" s="2773"/>
      <c r="BQ200" s="2773"/>
      <c r="BR200" s="2775"/>
      <c r="BS200" s="2776"/>
      <c r="BT200" s="2776"/>
    </row>
    <row r="201" spans="1:72" s="440" customFormat="1" ht="15" customHeight="1" x14ac:dyDescent="0.2">
      <c r="A201" s="3854"/>
      <c r="B201" s="3858"/>
      <c r="C201" s="3859"/>
      <c r="D201" s="3671"/>
      <c r="E201" s="3671"/>
      <c r="F201" s="3671"/>
      <c r="G201" s="2608"/>
      <c r="H201" s="2608"/>
      <c r="I201" s="2608"/>
      <c r="J201" s="2609"/>
      <c r="K201" s="2610"/>
      <c r="L201" s="2611"/>
      <c r="M201" s="2608"/>
      <c r="N201" s="2608"/>
      <c r="O201" s="2612"/>
      <c r="P201" s="2609"/>
      <c r="Q201" s="2611"/>
      <c r="R201" s="2613"/>
      <c r="S201" s="2777"/>
      <c r="T201" s="2611"/>
      <c r="U201" s="2610"/>
      <c r="V201" s="2610"/>
      <c r="W201" s="2692"/>
      <c r="X201" s="2692"/>
      <c r="Y201" s="2693"/>
      <c r="Z201" s="2694"/>
      <c r="AA201" s="2694"/>
      <c r="AB201" s="2615"/>
      <c r="AC201" s="2615"/>
      <c r="AD201" s="2615"/>
      <c r="AE201" s="2615"/>
      <c r="AF201" s="2615"/>
      <c r="AG201" s="2615"/>
      <c r="AH201" s="2615"/>
      <c r="AI201" s="2615"/>
      <c r="AJ201" s="2615"/>
      <c r="AK201" s="2615"/>
      <c r="AL201" s="2615"/>
      <c r="AM201" s="2615"/>
      <c r="AN201" s="2615"/>
      <c r="AO201" s="2615"/>
      <c r="AP201" s="2615"/>
      <c r="AQ201" s="2615"/>
      <c r="AR201" s="2615"/>
      <c r="AS201" s="2615"/>
      <c r="AT201" s="2615"/>
      <c r="AU201" s="2615"/>
      <c r="AV201" s="2615"/>
      <c r="AW201" s="2615"/>
      <c r="AX201" s="2615"/>
      <c r="AY201" s="2615"/>
      <c r="AZ201" s="2615"/>
      <c r="BA201" s="2615"/>
      <c r="BB201" s="2615"/>
      <c r="BC201" s="2615"/>
      <c r="BD201" s="2611"/>
      <c r="BE201" s="2611"/>
      <c r="BF201" s="2611"/>
      <c r="BG201" s="2611"/>
      <c r="BH201" s="2611"/>
      <c r="BI201" s="2695"/>
      <c r="BJ201" s="2695"/>
      <c r="BK201" s="2611"/>
      <c r="BL201" s="2611"/>
      <c r="BM201" s="2611"/>
      <c r="BN201" s="2611"/>
      <c r="BO201" s="2611"/>
      <c r="BP201" s="2611"/>
      <c r="BQ201" s="2611"/>
      <c r="BR201" s="2618"/>
    </row>
    <row r="202" spans="1:72" s="440" customFormat="1" ht="15" customHeight="1" x14ac:dyDescent="0.2">
      <c r="A202" s="3854"/>
      <c r="B202" s="3858"/>
      <c r="C202" s="3859"/>
      <c r="D202" s="3671"/>
      <c r="E202" s="3671"/>
      <c r="F202" s="3671"/>
      <c r="G202" s="2778">
        <v>84</v>
      </c>
      <c r="H202" s="1109" t="s">
        <v>2682</v>
      </c>
      <c r="I202" s="1109"/>
      <c r="J202" s="1216"/>
      <c r="K202" s="2361"/>
      <c r="L202" s="1111"/>
      <c r="M202" s="1109"/>
      <c r="N202" s="1109"/>
      <c r="O202" s="1215"/>
      <c r="P202" s="1216"/>
      <c r="Q202" s="1111"/>
      <c r="R202" s="2779"/>
      <c r="S202" s="2662"/>
      <c r="T202" s="1111"/>
      <c r="U202" s="2361"/>
      <c r="V202" s="2361"/>
      <c r="W202" s="2660"/>
      <c r="X202" s="2660"/>
      <c r="Y202" s="2661"/>
      <c r="Z202" s="2696"/>
      <c r="AA202" s="2696"/>
      <c r="AB202" s="1114"/>
      <c r="AC202" s="1114"/>
      <c r="AD202" s="1114"/>
      <c r="AE202" s="1114"/>
      <c r="AF202" s="1114"/>
      <c r="AG202" s="1114"/>
      <c r="AH202" s="1114"/>
      <c r="AI202" s="1114"/>
      <c r="AJ202" s="1114"/>
      <c r="AK202" s="1114"/>
      <c r="AL202" s="1114"/>
      <c r="AM202" s="1114"/>
      <c r="AN202" s="1114"/>
      <c r="AO202" s="1114"/>
      <c r="AP202" s="1114"/>
      <c r="AQ202" s="1114"/>
      <c r="AR202" s="1114"/>
      <c r="AS202" s="1114"/>
      <c r="AT202" s="1114"/>
      <c r="AU202" s="1114"/>
      <c r="AV202" s="1114"/>
      <c r="AW202" s="1114"/>
      <c r="AX202" s="1114"/>
      <c r="AY202" s="1114"/>
      <c r="AZ202" s="1114"/>
      <c r="BA202" s="1114"/>
      <c r="BB202" s="1114"/>
      <c r="BC202" s="1114"/>
      <c r="BD202" s="1114"/>
      <c r="BE202" s="1114"/>
      <c r="BF202" s="1114"/>
      <c r="BG202" s="1114"/>
      <c r="BH202" s="1114"/>
      <c r="BI202" s="2395"/>
      <c r="BJ202" s="2395"/>
      <c r="BK202" s="1114"/>
      <c r="BL202" s="1114"/>
      <c r="BM202" s="1114"/>
      <c r="BN202" s="1114"/>
      <c r="BO202" s="1114"/>
      <c r="BP202" s="1114"/>
      <c r="BQ202" s="1114"/>
      <c r="BR202" s="2697"/>
    </row>
    <row r="203" spans="1:72" s="438" customFormat="1" ht="52.5" customHeight="1" x14ac:dyDescent="0.25">
      <c r="A203" s="3854"/>
      <c r="B203" s="3858"/>
      <c r="C203" s="3859"/>
      <c r="D203" s="3671"/>
      <c r="E203" s="3671"/>
      <c r="F203" s="3671"/>
      <c r="G203" s="2780"/>
      <c r="H203" s="2781"/>
      <c r="I203" s="2782"/>
      <c r="J203" s="3652">
        <v>247</v>
      </c>
      <c r="K203" s="3646" t="s">
        <v>2683</v>
      </c>
      <c r="L203" s="3646" t="s">
        <v>2684</v>
      </c>
      <c r="M203" s="3654">
        <v>1</v>
      </c>
      <c r="N203" s="3656">
        <v>0.95</v>
      </c>
      <c r="O203" s="3659" t="s">
        <v>2685</v>
      </c>
      <c r="P203" s="3661" t="s">
        <v>2686</v>
      </c>
      <c r="Q203" s="3646" t="s">
        <v>2687</v>
      </c>
      <c r="R203" s="3642">
        <f>SUM(W203:W207)/S203</f>
        <v>1</v>
      </c>
      <c r="S203" s="3644">
        <f>SUM(W203:W207)</f>
        <v>49687000</v>
      </c>
      <c r="T203" s="3646" t="s">
        <v>2688</v>
      </c>
      <c r="U203" s="3648" t="s">
        <v>2689</v>
      </c>
      <c r="V203" s="401" t="s">
        <v>2690</v>
      </c>
      <c r="W203" s="2648">
        <v>40387000</v>
      </c>
      <c r="X203" s="2511">
        <v>39465933</v>
      </c>
      <c r="Y203" s="2511">
        <v>36707332</v>
      </c>
      <c r="Z203" s="2742">
        <v>20</v>
      </c>
      <c r="AA203" s="2636" t="s">
        <v>124</v>
      </c>
      <c r="AB203" s="3650">
        <v>357</v>
      </c>
      <c r="AC203" s="3639">
        <v>175</v>
      </c>
      <c r="AD203" s="3637">
        <v>343</v>
      </c>
      <c r="AE203" s="3639">
        <v>168</v>
      </c>
      <c r="AF203" s="3624"/>
      <c r="AG203" s="3634"/>
      <c r="AH203" s="3624"/>
      <c r="AI203" s="3634"/>
      <c r="AJ203" s="3624">
        <v>700</v>
      </c>
      <c r="AK203" s="3634">
        <v>343</v>
      </c>
      <c r="AL203" s="3624"/>
      <c r="AM203" s="3634"/>
      <c r="AN203" s="3624"/>
      <c r="AO203" s="3634"/>
      <c r="AP203" s="3624"/>
      <c r="AQ203" s="3634"/>
      <c r="AR203" s="3624"/>
      <c r="AS203" s="3634"/>
      <c r="AT203" s="3624"/>
      <c r="AU203" s="3634"/>
      <c r="AV203" s="3624"/>
      <c r="AW203" s="3634"/>
      <c r="AX203" s="3624"/>
      <c r="AY203" s="3634"/>
      <c r="AZ203" s="3624"/>
      <c r="BA203" s="3634"/>
      <c r="BB203" s="3624"/>
      <c r="BC203" s="3634"/>
      <c r="BD203" s="3624"/>
      <c r="BE203" s="3634"/>
      <c r="BF203" s="3634">
        <v>700</v>
      </c>
      <c r="BG203" s="3624">
        <v>343</v>
      </c>
      <c r="BH203" s="3624">
        <v>6</v>
      </c>
      <c r="BI203" s="3625">
        <f>SUM(X203:X207)</f>
        <v>48565933</v>
      </c>
      <c r="BJ203" s="3625">
        <f>SUM(Y203:Y207)</f>
        <v>41707332</v>
      </c>
      <c r="BK203" s="3628">
        <f>BJ203/BI203</f>
        <v>0.85877753033180682</v>
      </c>
      <c r="BL203" s="3631">
        <v>20</v>
      </c>
      <c r="BM203" s="3631" t="s">
        <v>2653</v>
      </c>
      <c r="BN203" s="3616">
        <v>43480</v>
      </c>
      <c r="BO203" s="3619">
        <v>43539</v>
      </c>
      <c r="BP203" s="3619">
        <v>43697</v>
      </c>
      <c r="BQ203" s="3616">
        <v>43809</v>
      </c>
      <c r="BR203" s="3622" t="s">
        <v>2456</v>
      </c>
      <c r="BS203" s="440"/>
      <c r="BT203" s="440"/>
    </row>
    <row r="204" spans="1:72" s="438" customFormat="1" ht="33" customHeight="1" x14ac:dyDescent="0.25">
      <c r="A204" s="3854"/>
      <c r="B204" s="3858"/>
      <c r="C204" s="3859"/>
      <c r="D204" s="3671"/>
      <c r="E204" s="3671"/>
      <c r="F204" s="3671"/>
      <c r="G204" s="2783"/>
      <c r="H204" s="2784"/>
      <c r="I204" s="2783"/>
      <c r="J204" s="3652"/>
      <c r="K204" s="3646"/>
      <c r="L204" s="3646"/>
      <c r="M204" s="3654"/>
      <c r="N204" s="3657"/>
      <c r="O204" s="3659"/>
      <c r="P204" s="3661"/>
      <c r="Q204" s="3646"/>
      <c r="R204" s="3642"/>
      <c r="S204" s="3644"/>
      <c r="T204" s="3646"/>
      <c r="U204" s="3648"/>
      <c r="V204" s="401" t="s">
        <v>2691</v>
      </c>
      <c r="W204" s="2648">
        <v>3300000</v>
      </c>
      <c r="X204" s="2648">
        <v>3300000</v>
      </c>
      <c r="Y204" s="2648">
        <v>0</v>
      </c>
      <c r="Z204" s="2731">
        <v>20</v>
      </c>
      <c r="AA204" s="2636" t="s">
        <v>124</v>
      </c>
      <c r="AB204" s="3651"/>
      <c r="AC204" s="3640"/>
      <c r="AD204" s="3638"/>
      <c r="AE204" s="3640"/>
      <c r="AF204" s="3623"/>
      <c r="AG204" s="3635"/>
      <c r="AH204" s="3623"/>
      <c r="AI204" s="3635"/>
      <c r="AJ204" s="3623"/>
      <c r="AK204" s="3635"/>
      <c r="AL204" s="3623"/>
      <c r="AM204" s="3635"/>
      <c r="AN204" s="3623"/>
      <c r="AO204" s="3635"/>
      <c r="AP204" s="3623"/>
      <c r="AQ204" s="3635"/>
      <c r="AR204" s="3623"/>
      <c r="AS204" s="3635"/>
      <c r="AT204" s="3623"/>
      <c r="AU204" s="3635"/>
      <c r="AV204" s="3623"/>
      <c r="AW204" s="3635"/>
      <c r="AX204" s="3623"/>
      <c r="AY204" s="3635"/>
      <c r="AZ204" s="3623"/>
      <c r="BA204" s="3635"/>
      <c r="BB204" s="3623"/>
      <c r="BC204" s="3635"/>
      <c r="BD204" s="3623"/>
      <c r="BE204" s="3635"/>
      <c r="BF204" s="3635"/>
      <c r="BG204" s="3623"/>
      <c r="BH204" s="3623"/>
      <c r="BI204" s="3626"/>
      <c r="BJ204" s="3626"/>
      <c r="BK204" s="3629"/>
      <c r="BL204" s="3632"/>
      <c r="BM204" s="3632"/>
      <c r="BN204" s="3617"/>
      <c r="BO204" s="3620"/>
      <c r="BP204" s="3620"/>
      <c r="BQ204" s="3617"/>
      <c r="BR204" s="3623"/>
      <c r="BS204" s="440"/>
      <c r="BT204" s="440"/>
    </row>
    <row r="205" spans="1:72" s="438" customFormat="1" ht="75" customHeight="1" x14ac:dyDescent="0.25">
      <c r="A205" s="3854"/>
      <c r="B205" s="3858"/>
      <c r="C205" s="3859"/>
      <c r="D205" s="3671"/>
      <c r="E205" s="3671"/>
      <c r="F205" s="3671"/>
      <c r="G205" s="2783"/>
      <c r="H205" s="2784"/>
      <c r="I205" s="2783"/>
      <c r="J205" s="3652"/>
      <c r="K205" s="3646"/>
      <c r="L205" s="3646"/>
      <c r="M205" s="3654"/>
      <c r="N205" s="3657"/>
      <c r="O205" s="3659"/>
      <c r="P205" s="3661"/>
      <c r="Q205" s="3646"/>
      <c r="R205" s="3642"/>
      <c r="S205" s="3644"/>
      <c r="T205" s="3646"/>
      <c r="U205" s="3648"/>
      <c r="V205" s="401" t="s">
        <v>2692</v>
      </c>
      <c r="W205" s="2648">
        <v>3000000</v>
      </c>
      <c r="X205" s="2511">
        <v>3000000</v>
      </c>
      <c r="Y205" s="2511">
        <v>3000000</v>
      </c>
      <c r="Z205" s="2731">
        <v>20</v>
      </c>
      <c r="AA205" s="2636" t="s">
        <v>124</v>
      </c>
      <c r="AB205" s="3651"/>
      <c r="AC205" s="3640"/>
      <c r="AD205" s="3638"/>
      <c r="AE205" s="3640"/>
      <c r="AF205" s="3623"/>
      <c r="AG205" s="3635"/>
      <c r="AH205" s="3623"/>
      <c r="AI205" s="3635"/>
      <c r="AJ205" s="3623"/>
      <c r="AK205" s="3635"/>
      <c r="AL205" s="3623"/>
      <c r="AM205" s="3635"/>
      <c r="AN205" s="3623"/>
      <c r="AO205" s="3635"/>
      <c r="AP205" s="3623"/>
      <c r="AQ205" s="3635"/>
      <c r="AR205" s="3623"/>
      <c r="AS205" s="3635"/>
      <c r="AT205" s="3623"/>
      <c r="AU205" s="3635"/>
      <c r="AV205" s="3623"/>
      <c r="AW205" s="3635"/>
      <c r="AX205" s="3623"/>
      <c r="AY205" s="3635"/>
      <c r="AZ205" s="3623"/>
      <c r="BA205" s="3635"/>
      <c r="BB205" s="3623"/>
      <c r="BC205" s="3635"/>
      <c r="BD205" s="3623"/>
      <c r="BE205" s="3635"/>
      <c r="BF205" s="3635"/>
      <c r="BG205" s="3623"/>
      <c r="BH205" s="3623"/>
      <c r="BI205" s="3626"/>
      <c r="BJ205" s="3626"/>
      <c r="BK205" s="3629"/>
      <c r="BL205" s="3632"/>
      <c r="BM205" s="3632"/>
      <c r="BN205" s="3617"/>
      <c r="BO205" s="3620"/>
      <c r="BP205" s="3620"/>
      <c r="BQ205" s="3617"/>
      <c r="BR205" s="3623"/>
      <c r="BS205" s="440"/>
      <c r="BT205" s="440"/>
    </row>
    <row r="206" spans="1:72" s="438" customFormat="1" ht="78.75" customHeight="1" x14ac:dyDescent="0.25">
      <c r="A206" s="3854"/>
      <c r="B206" s="3858"/>
      <c r="C206" s="3859"/>
      <c r="D206" s="3671"/>
      <c r="E206" s="3671"/>
      <c r="F206" s="3671"/>
      <c r="G206" s="2783"/>
      <c r="H206" s="2784"/>
      <c r="I206" s="2783"/>
      <c r="J206" s="3652"/>
      <c r="K206" s="3646"/>
      <c r="L206" s="3646"/>
      <c r="M206" s="3654"/>
      <c r="N206" s="3657"/>
      <c r="O206" s="3659"/>
      <c r="P206" s="3661"/>
      <c r="Q206" s="3646"/>
      <c r="R206" s="3642"/>
      <c r="S206" s="3644"/>
      <c r="T206" s="3646"/>
      <c r="U206" s="3648"/>
      <c r="V206" s="401" t="s">
        <v>2693</v>
      </c>
      <c r="W206" s="2648">
        <v>2000000</v>
      </c>
      <c r="X206" s="2511">
        <v>2000000</v>
      </c>
      <c r="Y206" s="2511">
        <v>2000000</v>
      </c>
      <c r="Z206" s="2731">
        <v>20</v>
      </c>
      <c r="AA206" s="2636" t="s">
        <v>124</v>
      </c>
      <c r="AB206" s="3651"/>
      <c r="AC206" s="3640"/>
      <c r="AD206" s="3638"/>
      <c r="AE206" s="3640"/>
      <c r="AF206" s="3623"/>
      <c r="AG206" s="3635"/>
      <c r="AH206" s="3623"/>
      <c r="AI206" s="3635"/>
      <c r="AJ206" s="3623"/>
      <c r="AK206" s="3635"/>
      <c r="AL206" s="3623"/>
      <c r="AM206" s="3635"/>
      <c r="AN206" s="3623"/>
      <c r="AO206" s="3635"/>
      <c r="AP206" s="3623"/>
      <c r="AQ206" s="3635"/>
      <c r="AR206" s="3623"/>
      <c r="AS206" s="3635"/>
      <c r="AT206" s="3623"/>
      <c r="AU206" s="3635"/>
      <c r="AV206" s="3623"/>
      <c r="AW206" s="3635"/>
      <c r="AX206" s="3623"/>
      <c r="AY206" s="3635"/>
      <c r="AZ206" s="3623"/>
      <c r="BA206" s="3635"/>
      <c r="BB206" s="3623"/>
      <c r="BC206" s="3635"/>
      <c r="BD206" s="3623"/>
      <c r="BE206" s="3635"/>
      <c r="BF206" s="3635"/>
      <c r="BG206" s="3623"/>
      <c r="BH206" s="3623"/>
      <c r="BI206" s="3626"/>
      <c r="BJ206" s="3626"/>
      <c r="BK206" s="3629"/>
      <c r="BL206" s="3632"/>
      <c r="BM206" s="3632"/>
      <c r="BN206" s="3617"/>
      <c r="BO206" s="3620"/>
      <c r="BP206" s="3620"/>
      <c r="BQ206" s="3617"/>
      <c r="BR206" s="3623"/>
      <c r="BS206" s="440"/>
      <c r="BT206" s="440"/>
    </row>
    <row r="207" spans="1:72" s="438" customFormat="1" ht="30.75" customHeight="1" x14ac:dyDescent="0.25">
      <c r="A207" s="3855"/>
      <c r="B207" s="3860"/>
      <c r="C207" s="3861"/>
      <c r="D207" s="3671"/>
      <c r="E207" s="3671"/>
      <c r="F207" s="3671"/>
      <c r="G207" s="2785"/>
      <c r="H207" s="2786"/>
      <c r="I207" s="2785"/>
      <c r="J207" s="3653"/>
      <c r="K207" s="3647"/>
      <c r="L207" s="3647"/>
      <c r="M207" s="3655"/>
      <c r="N207" s="3658"/>
      <c r="O207" s="3660"/>
      <c r="P207" s="3662"/>
      <c r="Q207" s="3647"/>
      <c r="R207" s="3643"/>
      <c r="S207" s="3645"/>
      <c r="T207" s="3647"/>
      <c r="U207" s="3649"/>
      <c r="V207" s="401" t="s">
        <v>2694</v>
      </c>
      <c r="W207" s="2648">
        <v>1000000</v>
      </c>
      <c r="X207" s="2511">
        <v>800000</v>
      </c>
      <c r="Y207" s="2648">
        <v>0</v>
      </c>
      <c r="Z207" s="2733">
        <v>20</v>
      </c>
      <c r="AA207" s="2636" t="s">
        <v>124</v>
      </c>
      <c r="AB207" s="3651"/>
      <c r="AC207" s="3641"/>
      <c r="AD207" s="3638"/>
      <c r="AE207" s="3641"/>
      <c r="AF207" s="3623"/>
      <c r="AG207" s="3636"/>
      <c r="AH207" s="3623"/>
      <c r="AI207" s="3636"/>
      <c r="AJ207" s="3623"/>
      <c r="AK207" s="3636"/>
      <c r="AL207" s="3623"/>
      <c r="AM207" s="3636"/>
      <c r="AN207" s="3623"/>
      <c r="AO207" s="3636"/>
      <c r="AP207" s="3623"/>
      <c r="AQ207" s="3636"/>
      <c r="AR207" s="3623"/>
      <c r="AS207" s="3636"/>
      <c r="AT207" s="3623"/>
      <c r="AU207" s="3636"/>
      <c r="AV207" s="3623"/>
      <c r="AW207" s="3636"/>
      <c r="AX207" s="3623"/>
      <c r="AY207" s="3636"/>
      <c r="AZ207" s="3623"/>
      <c r="BA207" s="3636"/>
      <c r="BB207" s="3623"/>
      <c r="BC207" s="3636"/>
      <c r="BD207" s="3623"/>
      <c r="BE207" s="3636"/>
      <c r="BF207" s="3636"/>
      <c r="BG207" s="3623"/>
      <c r="BH207" s="3623"/>
      <c r="BI207" s="3627"/>
      <c r="BJ207" s="3627"/>
      <c r="BK207" s="3630"/>
      <c r="BL207" s="3633"/>
      <c r="BM207" s="3633"/>
      <c r="BN207" s="3618"/>
      <c r="BO207" s="3621"/>
      <c r="BP207" s="3621"/>
      <c r="BQ207" s="3618"/>
      <c r="BR207" s="3623"/>
      <c r="BS207" s="440"/>
      <c r="BT207" s="440"/>
    </row>
    <row r="208" spans="1:72" s="1054" customFormat="1" ht="31.5" customHeight="1" x14ac:dyDescent="0.25">
      <c r="A208" s="2787"/>
      <c r="B208" s="2788"/>
      <c r="C208" s="2788"/>
      <c r="D208" s="2789"/>
      <c r="E208" s="2789"/>
      <c r="F208" s="2789"/>
      <c r="G208" s="2790"/>
      <c r="H208" s="2790"/>
      <c r="I208" s="2790"/>
      <c r="J208" s="2791"/>
      <c r="K208" s="2792"/>
      <c r="L208" s="2792"/>
      <c r="M208" s="2793"/>
      <c r="N208" s="2793"/>
      <c r="O208" s="2794"/>
      <c r="P208" s="2795"/>
      <c r="Q208" s="2792"/>
      <c r="R208" s="2793"/>
      <c r="S208" s="1277">
        <f>SUM(S13:S207)</f>
        <v>9981583583</v>
      </c>
      <c r="T208" s="2792"/>
      <c r="U208" s="2792"/>
      <c r="V208" s="2796"/>
      <c r="W208" s="1277">
        <f>SUM(W13:W207)</f>
        <v>9981583583</v>
      </c>
      <c r="X208" s="1277">
        <f>SUM(X13:X207)</f>
        <v>3689442984</v>
      </c>
      <c r="Y208" s="1277">
        <f>SUM(Y13:Y207)</f>
        <v>2010979395</v>
      </c>
      <c r="Z208" s="2797"/>
      <c r="AA208" s="2793"/>
      <c r="AB208" s="2798"/>
      <c r="AC208" s="2798"/>
      <c r="AD208" s="2798"/>
      <c r="AE208" s="2798"/>
      <c r="AF208" s="2799"/>
      <c r="AG208" s="2799"/>
      <c r="AH208" s="2799"/>
      <c r="AI208" s="2799"/>
      <c r="AJ208" s="2799"/>
      <c r="AK208" s="2799"/>
      <c r="AL208" s="2799"/>
      <c r="AM208" s="2799"/>
      <c r="AN208" s="2799"/>
      <c r="AO208" s="2799"/>
      <c r="AP208" s="2799"/>
      <c r="AQ208" s="2799"/>
      <c r="AR208" s="2799"/>
      <c r="AS208" s="2799"/>
      <c r="AT208" s="2799"/>
      <c r="AU208" s="2799"/>
      <c r="AV208" s="2799"/>
      <c r="AW208" s="2799"/>
      <c r="AX208" s="2799"/>
      <c r="AY208" s="2799"/>
      <c r="AZ208" s="2799"/>
      <c r="BA208" s="2799"/>
      <c r="BB208" s="2799"/>
      <c r="BC208" s="2799"/>
      <c r="BD208" s="2799"/>
      <c r="BE208" s="2799"/>
      <c r="BF208" s="2799"/>
      <c r="BG208" s="2799"/>
      <c r="BH208" s="2799"/>
      <c r="BI208" s="2800">
        <f>SUM(BI13:BI207)</f>
        <v>3689442984</v>
      </c>
      <c r="BJ208" s="2801">
        <f>SUM(BJ13:BJ207)</f>
        <v>2010979395</v>
      </c>
      <c r="BK208" s="2799"/>
      <c r="BL208" s="2799"/>
      <c r="BM208" s="2799"/>
      <c r="BN208" s="2802"/>
      <c r="BO208" s="2802"/>
      <c r="BP208" s="2802"/>
      <c r="BQ208" s="2802"/>
      <c r="BR208" s="2803"/>
      <c r="BS208" s="2804"/>
      <c r="BT208" s="2804"/>
    </row>
    <row r="209" spans="3:72" ht="27" customHeight="1" x14ac:dyDescent="0.2">
      <c r="BS209" s="612"/>
      <c r="BT209" s="612"/>
    </row>
    <row r="210" spans="3:72" ht="27" customHeight="1" x14ac:dyDescent="0.2">
      <c r="C210" s="2808"/>
      <c r="D210" s="2808"/>
      <c r="E210" s="2808"/>
      <c r="F210" s="2808"/>
      <c r="G210" s="2808"/>
      <c r="H210" s="2808"/>
      <c r="BS210" s="612"/>
      <c r="BT210" s="612"/>
    </row>
    <row r="211" spans="3:72" ht="27" customHeight="1" x14ac:dyDescent="0.25">
      <c r="C211" s="2809" t="s">
        <v>2695</v>
      </c>
      <c r="D211" s="757"/>
      <c r="V211" s="2810"/>
      <c r="W211" s="2811"/>
      <c r="X211" s="2811"/>
      <c r="Y211" s="2811"/>
      <c r="Z211" s="2812"/>
      <c r="BS211" s="612"/>
      <c r="BT211" s="612"/>
    </row>
    <row r="212" spans="3:72" ht="27" customHeight="1" x14ac:dyDescent="0.25">
      <c r="C212" s="598" t="s">
        <v>2696</v>
      </c>
      <c r="D212" s="757"/>
      <c r="V212" s="2810"/>
      <c r="W212" s="2813"/>
      <c r="X212" s="2813"/>
      <c r="Y212" s="2813"/>
      <c r="Z212" s="2812"/>
    </row>
    <row r="213" spans="3:72" ht="27" customHeight="1" x14ac:dyDescent="0.2">
      <c r="C213" s="1386"/>
      <c r="D213" s="757"/>
      <c r="V213" s="2814"/>
      <c r="W213" s="2815"/>
      <c r="X213" s="2816"/>
      <c r="Y213" s="2817"/>
      <c r="Z213" s="2817"/>
    </row>
    <row r="214" spans="3:72" ht="27" customHeight="1" x14ac:dyDescent="0.2">
      <c r="X214" s="2806"/>
      <c r="Y214" s="2806"/>
    </row>
  </sheetData>
  <sheetProtection password="A60F" sheet="1" objects="1" scenarios="1"/>
  <mergeCells count="754">
    <mergeCell ref="A1:BN4"/>
    <mergeCell ref="A5:M6"/>
    <mergeCell ref="O5:BR5"/>
    <mergeCell ref="AB6:BD6"/>
    <mergeCell ref="AB7:AE7"/>
    <mergeCell ref="AF7:AM7"/>
    <mergeCell ref="AN7:AY7"/>
    <mergeCell ref="AZ7:BE7"/>
    <mergeCell ref="BF7:BG8"/>
    <mergeCell ref="BH7:BR7"/>
    <mergeCell ref="J8:J9"/>
    <mergeCell ref="K8:K9"/>
    <mergeCell ref="L8:L9"/>
    <mergeCell ref="M8:N8"/>
    <mergeCell ref="O8:O9"/>
    <mergeCell ref="P8:P9"/>
    <mergeCell ref="A8:A9"/>
    <mergeCell ref="B8:C9"/>
    <mergeCell ref="D8:D9"/>
    <mergeCell ref="E8:F9"/>
    <mergeCell ref="G8:G9"/>
    <mergeCell ref="H8:I9"/>
    <mergeCell ref="AA8:AA9"/>
    <mergeCell ref="AB8:AC8"/>
    <mergeCell ref="AD8:AE8"/>
    <mergeCell ref="AF8:AG8"/>
    <mergeCell ref="Q8:Q9"/>
    <mergeCell ref="R8:R9"/>
    <mergeCell ref="S8:S9"/>
    <mergeCell ref="T8:T9"/>
    <mergeCell ref="U8:U9"/>
    <mergeCell ref="V8:V9"/>
    <mergeCell ref="BH8:BM8"/>
    <mergeCell ref="BN8:BO8"/>
    <mergeCell ref="BP8:BQ8"/>
    <mergeCell ref="BR8:BR9"/>
    <mergeCell ref="A11:A207"/>
    <mergeCell ref="B11:C207"/>
    <mergeCell ref="D12:F65"/>
    <mergeCell ref="J13:J14"/>
    <mergeCell ref="K13:K14"/>
    <mergeCell ref="L13:L14"/>
    <mergeCell ref="AT8:AU8"/>
    <mergeCell ref="AV8:AW8"/>
    <mergeCell ref="AX8:AY8"/>
    <mergeCell ref="AZ8:BA8"/>
    <mergeCell ref="BB8:BC8"/>
    <mergeCell ref="BD8:BE8"/>
    <mergeCell ref="AH8:AI8"/>
    <mergeCell ref="AJ8:AK8"/>
    <mergeCell ref="AL8:AM8"/>
    <mergeCell ref="AN8:AO8"/>
    <mergeCell ref="AP8:AQ8"/>
    <mergeCell ref="AR8:AS8"/>
    <mergeCell ref="W8:Y8"/>
    <mergeCell ref="Z8:Z9"/>
    <mergeCell ref="V13:V14"/>
    <mergeCell ref="AB13:AB49"/>
    <mergeCell ref="AC13:AC49"/>
    <mergeCell ref="V33:V34"/>
    <mergeCell ref="V36:V37"/>
    <mergeCell ref="V39:V40"/>
    <mergeCell ref="V41:V42"/>
    <mergeCell ref="M13:M14"/>
    <mergeCell ref="N13:N14"/>
    <mergeCell ref="O13:O19"/>
    <mergeCell ref="P13:P49"/>
    <mergeCell ref="Q13:Q49"/>
    <mergeCell ref="R13:R14"/>
    <mergeCell ref="AJ13:AJ49"/>
    <mergeCell ref="AK13:AK49"/>
    <mergeCell ref="AL13:AL49"/>
    <mergeCell ref="AM13:AM49"/>
    <mergeCell ref="AN13:AN49"/>
    <mergeCell ref="AO13:AO49"/>
    <mergeCell ref="AD13:AD49"/>
    <mergeCell ref="AE13:AE49"/>
    <mergeCell ref="AF13:AF49"/>
    <mergeCell ref="AG13:AG49"/>
    <mergeCell ref="AH13:AH49"/>
    <mergeCell ref="AI13:AI49"/>
    <mergeCell ref="AX13:AX49"/>
    <mergeCell ref="AY13:AY49"/>
    <mergeCell ref="AZ13:AZ49"/>
    <mergeCell ref="BA13:BA49"/>
    <mergeCell ref="BB13:BB49"/>
    <mergeCell ref="AP13:AP49"/>
    <mergeCell ref="AQ13:AQ49"/>
    <mergeCell ref="AR13:AR49"/>
    <mergeCell ref="AT13:AT49"/>
    <mergeCell ref="AU13:AU49"/>
    <mergeCell ref="AV13:AV49"/>
    <mergeCell ref="BR13:BR49"/>
    <mergeCell ref="BS13:BT16"/>
    <mergeCell ref="J16:J19"/>
    <mergeCell ref="K16:K19"/>
    <mergeCell ref="L16:L19"/>
    <mergeCell ref="M16:M19"/>
    <mergeCell ref="N16:N19"/>
    <mergeCell ref="R16:R19"/>
    <mergeCell ref="J20:J46"/>
    <mergeCell ref="K20:K46"/>
    <mergeCell ref="BJ13:BJ49"/>
    <mergeCell ref="BK13:BK49"/>
    <mergeCell ref="BN13:BN49"/>
    <mergeCell ref="BO13:BO49"/>
    <mergeCell ref="BP13:BP49"/>
    <mergeCell ref="BQ13:BQ49"/>
    <mergeCell ref="BL27:BL29"/>
    <mergeCell ref="BC13:BC49"/>
    <mergeCell ref="BD13:BD49"/>
    <mergeCell ref="BF13:BF49"/>
    <mergeCell ref="BG13:BG49"/>
    <mergeCell ref="BH13:BH49"/>
    <mergeCell ref="BI13:BI49"/>
    <mergeCell ref="AW13:AW49"/>
    <mergeCell ref="L58:L64"/>
    <mergeCell ref="M58:M64"/>
    <mergeCell ref="V43:V44"/>
    <mergeCell ref="V45:V46"/>
    <mergeCell ref="J47:J49"/>
    <mergeCell ref="K47:K49"/>
    <mergeCell ref="L47:L49"/>
    <mergeCell ref="M47:M49"/>
    <mergeCell ref="N47:N49"/>
    <mergeCell ref="R47:R49"/>
    <mergeCell ref="V47:V48"/>
    <mergeCell ref="L20:L46"/>
    <mergeCell ref="M20:M46"/>
    <mergeCell ref="N20:N46"/>
    <mergeCell ref="R20:R46"/>
    <mergeCell ref="V20:V21"/>
    <mergeCell ref="V22:V23"/>
    <mergeCell ref="V24:V25"/>
    <mergeCell ref="V27:V28"/>
    <mergeCell ref="V29:V30"/>
    <mergeCell ref="V31:V32"/>
    <mergeCell ref="S13:S49"/>
    <mergeCell ref="T13:T49"/>
    <mergeCell ref="U13:U49"/>
    <mergeCell ref="AH51:AH65"/>
    <mergeCell ref="AI51:AI65"/>
    <mergeCell ref="AJ51:AJ65"/>
    <mergeCell ref="AK51:AK65"/>
    <mergeCell ref="AL51:AL65"/>
    <mergeCell ref="AM51:AM65"/>
    <mergeCell ref="AB51:AB65"/>
    <mergeCell ref="AC51:AC65"/>
    <mergeCell ref="AD51:AD65"/>
    <mergeCell ref="AE51:AE65"/>
    <mergeCell ref="AF51:AF65"/>
    <mergeCell ref="AG51:AG65"/>
    <mergeCell ref="BP51:BP65"/>
    <mergeCell ref="BQ51:BQ65"/>
    <mergeCell ref="BR51:BR65"/>
    <mergeCell ref="V53:V54"/>
    <mergeCell ref="V55:V56"/>
    <mergeCell ref="BS55:BS58"/>
    <mergeCell ref="BH51:BH65"/>
    <mergeCell ref="BI51:BI65"/>
    <mergeCell ref="BJ51:BJ65"/>
    <mergeCell ref="BK51:BK65"/>
    <mergeCell ref="BN51:BN65"/>
    <mergeCell ref="BO51:BO65"/>
    <mergeCell ref="AZ51:AZ65"/>
    <mergeCell ref="BB51:BB65"/>
    <mergeCell ref="BD51:BD65"/>
    <mergeCell ref="BE51:BE65"/>
    <mergeCell ref="BF51:BF65"/>
    <mergeCell ref="BG51:BG65"/>
    <mergeCell ref="AN51:AN65"/>
    <mergeCell ref="AP51:AP65"/>
    <mergeCell ref="AR51:AR65"/>
    <mergeCell ref="AT51:AT65"/>
    <mergeCell ref="AV51:AV65"/>
    <mergeCell ref="AX51:AX65"/>
    <mergeCell ref="N58:N64"/>
    <mergeCell ref="R58:R64"/>
    <mergeCell ref="V58:V59"/>
    <mergeCell ref="V61:V62"/>
    <mergeCell ref="V63:V64"/>
    <mergeCell ref="D67:F127"/>
    <mergeCell ref="G68:G97"/>
    <mergeCell ref="H68:H97"/>
    <mergeCell ref="I68:I97"/>
    <mergeCell ref="J68:J80"/>
    <mergeCell ref="Q51:Q65"/>
    <mergeCell ref="R51:R57"/>
    <mergeCell ref="S51:S65"/>
    <mergeCell ref="T51:T65"/>
    <mergeCell ref="U51:U65"/>
    <mergeCell ref="V51:V52"/>
    <mergeCell ref="J51:J57"/>
    <mergeCell ref="K51:K57"/>
    <mergeCell ref="L51:L57"/>
    <mergeCell ref="M51:M57"/>
    <mergeCell ref="N51:N57"/>
    <mergeCell ref="P51:P65"/>
    <mergeCell ref="J58:J64"/>
    <mergeCell ref="K58:K64"/>
    <mergeCell ref="R68:R80"/>
    <mergeCell ref="S68:S97"/>
    <mergeCell ref="T68:T97"/>
    <mergeCell ref="U68:U97"/>
    <mergeCell ref="AB68:AB97"/>
    <mergeCell ref="AC68:AC97"/>
    <mergeCell ref="K68:K80"/>
    <mergeCell ref="L68:L80"/>
    <mergeCell ref="M68:M80"/>
    <mergeCell ref="N68:N80"/>
    <mergeCell ref="P68:P97"/>
    <mergeCell ref="Q68:Q97"/>
    <mergeCell ref="AJ68:AJ97"/>
    <mergeCell ref="AK68:AK97"/>
    <mergeCell ref="AL68:AL97"/>
    <mergeCell ref="AM68:AM97"/>
    <mergeCell ref="AN68:AN97"/>
    <mergeCell ref="AO68:AO97"/>
    <mergeCell ref="AD68:AD97"/>
    <mergeCell ref="AE68:AE97"/>
    <mergeCell ref="AF68:AF97"/>
    <mergeCell ref="AG68:AG97"/>
    <mergeCell ref="AH68:AH97"/>
    <mergeCell ref="AI68:AI97"/>
    <mergeCell ref="AV68:AV97"/>
    <mergeCell ref="AW68:AW97"/>
    <mergeCell ref="AX68:AX97"/>
    <mergeCell ref="AY68:AY97"/>
    <mergeCell ref="AZ68:AZ97"/>
    <mergeCell ref="BA68:BA97"/>
    <mergeCell ref="AP68:AP97"/>
    <mergeCell ref="AQ68:AQ97"/>
    <mergeCell ref="AR68:AR97"/>
    <mergeCell ref="AS68:AS97"/>
    <mergeCell ref="AT68:AT97"/>
    <mergeCell ref="AU68:AU97"/>
    <mergeCell ref="BI68:BI97"/>
    <mergeCell ref="BJ68:BJ97"/>
    <mergeCell ref="BK68:BK97"/>
    <mergeCell ref="BL68:BL97"/>
    <mergeCell ref="BM68:BM97"/>
    <mergeCell ref="BB68:BB97"/>
    <mergeCell ref="BC68:BC97"/>
    <mergeCell ref="BD68:BD97"/>
    <mergeCell ref="BE68:BE97"/>
    <mergeCell ref="BF68:BF97"/>
    <mergeCell ref="BG68:BG97"/>
    <mergeCell ref="J83:J90"/>
    <mergeCell ref="K83:K90"/>
    <mergeCell ref="L83:L90"/>
    <mergeCell ref="M83:M90"/>
    <mergeCell ref="N83:N90"/>
    <mergeCell ref="R83:R90"/>
    <mergeCell ref="BS72:BS75"/>
    <mergeCell ref="V78:V79"/>
    <mergeCell ref="J81:J82"/>
    <mergeCell ref="K81:K82"/>
    <mergeCell ref="L81:L82"/>
    <mergeCell ref="M81:M82"/>
    <mergeCell ref="N81:N82"/>
    <mergeCell ref="R81:R82"/>
    <mergeCell ref="BN68:BN97"/>
    <mergeCell ref="BO68:BO97"/>
    <mergeCell ref="BP68:BP97"/>
    <mergeCell ref="BQ68:BQ97"/>
    <mergeCell ref="BR68:BR97"/>
    <mergeCell ref="V71:V72"/>
    <mergeCell ref="V83:V84"/>
    <mergeCell ref="V85:V86"/>
    <mergeCell ref="V91:V92"/>
    <mergeCell ref="BH68:BH97"/>
    <mergeCell ref="J94:J97"/>
    <mergeCell ref="K94:K97"/>
    <mergeCell ref="L94:L97"/>
    <mergeCell ref="M94:M97"/>
    <mergeCell ref="N94:N97"/>
    <mergeCell ref="R94:R97"/>
    <mergeCell ref="J91:J93"/>
    <mergeCell ref="K91:K93"/>
    <mergeCell ref="L91:L93"/>
    <mergeCell ref="M91:M93"/>
    <mergeCell ref="N91:N93"/>
    <mergeCell ref="R91:R93"/>
    <mergeCell ref="Q99:Q108"/>
    <mergeCell ref="R99:R100"/>
    <mergeCell ref="S99:S108"/>
    <mergeCell ref="T99:T108"/>
    <mergeCell ref="U99:U108"/>
    <mergeCell ref="AB99:AB108"/>
    <mergeCell ref="J99:J100"/>
    <mergeCell ref="K99:K100"/>
    <mergeCell ref="L99:L100"/>
    <mergeCell ref="M99:M100"/>
    <mergeCell ref="N99:N100"/>
    <mergeCell ref="P99:P108"/>
    <mergeCell ref="AI99:AI108"/>
    <mergeCell ref="AJ99:AJ108"/>
    <mergeCell ref="AK99:AK108"/>
    <mergeCell ref="AL99:AL108"/>
    <mergeCell ref="AM99:AM108"/>
    <mergeCell ref="AN99:AN108"/>
    <mergeCell ref="AC99:AC108"/>
    <mergeCell ref="AD99:AD108"/>
    <mergeCell ref="AE99:AE108"/>
    <mergeCell ref="AF99:AF108"/>
    <mergeCell ref="AG99:AG108"/>
    <mergeCell ref="AH99:AH108"/>
    <mergeCell ref="BG99:BG108"/>
    <mergeCell ref="BH99:BH108"/>
    <mergeCell ref="BI99:BI108"/>
    <mergeCell ref="AP99:AP108"/>
    <mergeCell ref="AR99:AR108"/>
    <mergeCell ref="AT99:AT108"/>
    <mergeCell ref="AV99:AV108"/>
    <mergeCell ref="AX99:AX108"/>
    <mergeCell ref="AZ99:AZ108"/>
    <mergeCell ref="BS103:BS105"/>
    <mergeCell ref="J106:J108"/>
    <mergeCell ref="K106:K108"/>
    <mergeCell ref="L106:L108"/>
    <mergeCell ref="M106:M108"/>
    <mergeCell ref="N106:N108"/>
    <mergeCell ref="R106:R108"/>
    <mergeCell ref="BR99:BR108"/>
    <mergeCell ref="J101:J105"/>
    <mergeCell ref="K101:K105"/>
    <mergeCell ref="L101:L105"/>
    <mergeCell ref="M101:M105"/>
    <mergeCell ref="N101:N105"/>
    <mergeCell ref="R101:R105"/>
    <mergeCell ref="V101:V102"/>
    <mergeCell ref="BJ99:BJ108"/>
    <mergeCell ref="BK99:BK108"/>
    <mergeCell ref="BN99:BN108"/>
    <mergeCell ref="BO99:BO108"/>
    <mergeCell ref="BP99:BP108"/>
    <mergeCell ref="BQ99:BQ108"/>
    <mergeCell ref="BB99:BB108"/>
    <mergeCell ref="BD99:BD108"/>
    <mergeCell ref="BF99:BF108"/>
    <mergeCell ref="AD110:AD127"/>
    <mergeCell ref="AE110:AE127"/>
    <mergeCell ref="AF110:AF127"/>
    <mergeCell ref="AG110:AG127"/>
    <mergeCell ref="AH110:AH127"/>
    <mergeCell ref="O110:O113"/>
    <mergeCell ref="R110:R115"/>
    <mergeCell ref="S110:S127"/>
    <mergeCell ref="T110:T127"/>
    <mergeCell ref="U110:U127"/>
    <mergeCell ref="AB110:AB127"/>
    <mergeCell ref="P111:P127"/>
    <mergeCell ref="Q111:Q127"/>
    <mergeCell ref="V111:V112"/>
    <mergeCell ref="V113:V114"/>
    <mergeCell ref="AO110:AO127"/>
    <mergeCell ref="AP110:AP127"/>
    <mergeCell ref="AQ110:AQ127"/>
    <mergeCell ref="AR110:AR127"/>
    <mergeCell ref="AS110:AS127"/>
    <mergeCell ref="AT110:AT127"/>
    <mergeCell ref="AI110:AI127"/>
    <mergeCell ref="AJ110:AJ127"/>
    <mergeCell ref="AK110:AK127"/>
    <mergeCell ref="AL110:AL127"/>
    <mergeCell ref="AM110:AM127"/>
    <mergeCell ref="AN110:AN127"/>
    <mergeCell ref="BC110:BC127"/>
    <mergeCell ref="BD110:BD127"/>
    <mergeCell ref="BE110:BE127"/>
    <mergeCell ref="BF110:BF127"/>
    <mergeCell ref="AU110:AU127"/>
    <mergeCell ref="AV110:AV127"/>
    <mergeCell ref="AW110:AW127"/>
    <mergeCell ref="AX110:AX127"/>
    <mergeCell ref="AY110:AY127"/>
    <mergeCell ref="AZ110:AZ127"/>
    <mergeCell ref="BS113:BS118"/>
    <mergeCell ref="J116:J127"/>
    <mergeCell ref="K116:K127"/>
    <mergeCell ref="L116:L127"/>
    <mergeCell ref="M116:M127"/>
    <mergeCell ref="N116:N127"/>
    <mergeCell ref="R116:R127"/>
    <mergeCell ref="V116:V117"/>
    <mergeCell ref="V119:V120"/>
    <mergeCell ref="V124:V125"/>
    <mergeCell ref="BM110:BM127"/>
    <mergeCell ref="BN110:BN127"/>
    <mergeCell ref="BO110:BO127"/>
    <mergeCell ref="BP110:BP127"/>
    <mergeCell ref="BQ110:BQ127"/>
    <mergeCell ref="BR110:BR127"/>
    <mergeCell ref="BG110:BG127"/>
    <mergeCell ref="BH110:BH127"/>
    <mergeCell ref="BI110:BI127"/>
    <mergeCell ref="BJ110:BJ127"/>
    <mergeCell ref="BK110:BK127"/>
    <mergeCell ref="BL110:BL127"/>
    <mergeCell ref="BA110:BA127"/>
    <mergeCell ref="BB110:BB127"/>
    <mergeCell ref="AB130:AB159"/>
    <mergeCell ref="AC130:AC159"/>
    <mergeCell ref="V138:V139"/>
    <mergeCell ref="V140:V141"/>
    <mergeCell ref="V143:V144"/>
    <mergeCell ref="V149:V150"/>
    <mergeCell ref="V126:V127"/>
    <mergeCell ref="D129:F164"/>
    <mergeCell ref="J130:J131"/>
    <mergeCell ref="K130:K131"/>
    <mergeCell ref="L130:L131"/>
    <mergeCell ref="M130:M131"/>
    <mergeCell ref="N130:N131"/>
    <mergeCell ref="O130:O159"/>
    <mergeCell ref="P130:P159"/>
    <mergeCell ref="Q130:Q159"/>
    <mergeCell ref="AC110:AC127"/>
    <mergeCell ref="H110:I127"/>
    <mergeCell ref="J110:J115"/>
    <mergeCell ref="K110:K115"/>
    <mergeCell ref="L110:L115"/>
    <mergeCell ref="M110:M115"/>
    <mergeCell ref="N110:N115"/>
    <mergeCell ref="M132:M133"/>
    <mergeCell ref="AU130:AU159"/>
    <mergeCell ref="AJ130:AJ159"/>
    <mergeCell ref="AK130:AK159"/>
    <mergeCell ref="AL130:AL159"/>
    <mergeCell ref="AM130:AM159"/>
    <mergeCell ref="AN130:AN159"/>
    <mergeCell ref="AO130:AO159"/>
    <mergeCell ref="AD130:AD159"/>
    <mergeCell ref="AE130:AE159"/>
    <mergeCell ref="AF130:AF159"/>
    <mergeCell ref="AG130:AG159"/>
    <mergeCell ref="AH130:AH159"/>
    <mergeCell ref="AI130:AI159"/>
    <mergeCell ref="N132:N133"/>
    <mergeCell ref="BH130:BH159"/>
    <mergeCell ref="BI130:BI159"/>
    <mergeCell ref="BJ130:BJ159"/>
    <mergeCell ref="BK130:BK159"/>
    <mergeCell ref="BL130:BL159"/>
    <mergeCell ref="BM130:BM159"/>
    <mergeCell ref="BB130:BB159"/>
    <mergeCell ref="BC130:BC159"/>
    <mergeCell ref="BD130:BD159"/>
    <mergeCell ref="BE130:BE159"/>
    <mergeCell ref="BF130:BF159"/>
    <mergeCell ref="BG130:BG159"/>
    <mergeCell ref="AV130:AV159"/>
    <mergeCell ref="AW130:AW159"/>
    <mergeCell ref="AX130:AX159"/>
    <mergeCell ref="AY130:AY159"/>
    <mergeCell ref="AZ130:AZ159"/>
    <mergeCell ref="BA130:BA159"/>
    <mergeCell ref="AP130:AP159"/>
    <mergeCell ref="AQ130:AQ159"/>
    <mergeCell ref="AR130:AR159"/>
    <mergeCell ref="AS130:AS159"/>
    <mergeCell ref="AT130:AT159"/>
    <mergeCell ref="J145:J147"/>
    <mergeCell ref="K145:K147"/>
    <mergeCell ref="L145:L147"/>
    <mergeCell ref="M145:M147"/>
    <mergeCell ref="N145:N147"/>
    <mergeCell ref="V145:V147"/>
    <mergeCell ref="R132:R133"/>
    <mergeCell ref="BS132:BS134"/>
    <mergeCell ref="J134:J144"/>
    <mergeCell ref="K134:K144"/>
    <mergeCell ref="L134:L144"/>
    <mergeCell ref="M134:M144"/>
    <mergeCell ref="N134:N144"/>
    <mergeCell ref="R134:R144"/>
    <mergeCell ref="V134:V135"/>
    <mergeCell ref="V136:V137"/>
    <mergeCell ref="BN130:BN159"/>
    <mergeCell ref="BO130:BO159"/>
    <mergeCell ref="BP130:BP159"/>
    <mergeCell ref="BQ130:BQ159"/>
    <mergeCell ref="BR130:BR159"/>
    <mergeCell ref="J132:J133"/>
    <mergeCell ref="K132:K133"/>
    <mergeCell ref="L132:L133"/>
    <mergeCell ref="J161:J162"/>
    <mergeCell ref="K161:K162"/>
    <mergeCell ref="L161:L162"/>
    <mergeCell ref="M161:M162"/>
    <mergeCell ref="N161:N162"/>
    <mergeCell ref="O161:O164"/>
    <mergeCell ref="J148:J159"/>
    <mergeCell ref="K148:K159"/>
    <mergeCell ref="L148:L159"/>
    <mergeCell ref="M148:M159"/>
    <mergeCell ref="N148:N159"/>
    <mergeCell ref="P161:P164"/>
    <mergeCell ref="Q161:Q164"/>
    <mergeCell ref="R161:R162"/>
    <mergeCell ref="S161:S164"/>
    <mergeCell ref="T161:T164"/>
    <mergeCell ref="U161:U164"/>
    <mergeCell ref="V151:V152"/>
    <mergeCell ref="V153:V154"/>
    <mergeCell ref="V155:V156"/>
    <mergeCell ref="V157:V158"/>
    <mergeCell ref="R148:R159"/>
    <mergeCell ref="S130:S159"/>
    <mergeCell ref="T130:T159"/>
    <mergeCell ref="U130:U159"/>
    <mergeCell ref="V130:V131"/>
    <mergeCell ref="AH161:AH164"/>
    <mergeCell ref="AI161:AI164"/>
    <mergeCell ref="AJ161:AJ164"/>
    <mergeCell ref="AK161:AK164"/>
    <mergeCell ref="AL161:AL164"/>
    <mergeCell ref="AM161:AM164"/>
    <mergeCell ref="AB161:AB164"/>
    <mergeCell ref="AC161:AC164"/>
    <mergeCell ref="AD161:AD164"/>
    <mergeCell ref="AE161:AE164"/>
    <mergeCell ref="AF161:AF164"/>
    <mergeCell ref="AG161:AG164"/>
    <mergeCell ref="BD161:BD164"/>
    <mergeCell ref="BE161:BE164"/>
    <mergeCell ref="AT161:AT164"/>
    <mergeCell ref="AU161:AU164"/>
    <mergeCell ref="AV161:AV164"/>
    <mergeCell ref="AW161:AW164"/>
    <mergeCell ref="AX161:AX164"/>
    <mergeCell ref="AY161:AY164"/>
    <mergeCell ref="AN161:AN164"/>
    <mergeCell ref="AO161:AO164"/>
    <mergeCell ref="AP161:AP164"/>
    <mergeCell ref="AQ161:AQ164"/>
    <mergeCell ref="AR161:AR164"/>
    <mergeCell ref="AS161:AS164"/>
    <mergeCell ref="BR161:BR164"/>
    <mergeCell ref="BS162:BS164"/>
    <mergeCell ref="J163:J164"/>
    <mergeCell ref="K163:K164"/>
    <mergeCell ref="L163:L164"/>
    <mergeCell ref="M163:M164"/>
    <mergeCell ref="N163:N164"/>
    <mergeCell ref="R163:R164"/>
    <mergeCell ref="BL161:BL164"/>
    <mergeCell ref="BM161:BM164"/>
    <mergeCell ref="BN161:BN164"/>
    <mergeCell ref="BO161:BO164"/>
    <mergeCell ref="BP161:BP164"/>
    <mergeCell ref="BQ161:BQ164"/>
    <mergeCell ref="BF161:BF164"/>
    <mergeCell ref="BG161:BG164"/>
    <mergeCell ref="BH161:BH164"/>
    <mergeCell ref="BI161:BI164"/>
    <mergeCell ref="BJ161:BJ164"/>
    <mergeCell ref="BK161:BK164"/>
    <mergeCell ref="AZ161:AZ164"/>
    <mergeCell ref="BA161:BA164"/>
    <mergeCell ref="BB161:BB164"/>
    <mergeCell ref="BC161:BC164"/>
    <mergeCell ref="U167:U193"/>
    <mergeCell ref="V167:V168"/>
    <mergeCell ref="AB167:AB193"/>
    <mergeCell ref="AC167:AC193"/>
    <mergeCell ref="AD167:AD193"/>
    <mergeCell ref="AE167:AE193"/>
    <mergeCell ref="O167:O193"/>
    <mergeCell ref="P167:P193"/>
    <mergeCell ref="Q167:Q193"/>
    <mergeCell ref="R167:R180"/>
    <mergeCell ref="S167:S193"/>
    <mergeCell ref="T167:T193"/>
    <mergeCell ref="R190:R193"/>
    <mergeCell ref="R181:R185"/>
    <mergeCell ref="R187:R189"/>
    <mergeCell ref="AL167:AL193"/>
    <mergeCell ref="AM167:AM193"/>
    <mergeCell ref="AN167:AN193"/>
    <mergeCell ref="AO167:AO193"/>
    <mergeCell ref="AP167:AP193"/>
    <mergeCell ref="AQ167:AQ193"/>
    <mergeCell ref="AF167:AF193"/>
    <mergeCell ref="AG167:AG193"/>
    <mergeCell ref="AH167:AH193"/>
    <mergeCell ref="AI167:AI193"/>
    <mergeCell ref="AJ167:AJ193"/>
    <mergeCell ref="AK167:AK193"/>
    <mergeCell ref="AX167:AX193"/>
    <mergeCell ref="AY167:AY193"/>
    <mergeCell ref="AZ167:AZ193"/>
    <mergeCell ref="BA167:BA193"/>
    <mergeCell ref="BB167:BB193"/>
    <mergeCell ref="BC167:BC193"/>
    <mergeCell ref="AR167:AR193"/>
    <mergeCell ref="AS167:AS193"/>
    <mergeCell ref="AT167:AT193"/>
    <mergeCell ref="AU167:AU193"/>
    <mergeCell ref="AV167:AV193"/>
    <mergeCell ref="AW167:AW193"/>
    <mergeCell ref="K181:K185"/>
    <mergeCell ref="L181:L185"/>
    <mergeCell ref="M181:M185"/>
    <mergeCell ref="BQ167:BQ193"/>
    <mergeCell ref="BR167:BR193"/>
    <mergeCell ref="V169:V170"/>
    <mergeCell ref="BS169:BS176"/>
    <mergeCell ref="V171:V172"/>
    <mergeCell ref="V173:V174"/>
    <mergeCell ref="V177:V178"/>
    <mergeCell ref="V179:V180"/>
    <mergeCell ref="V187:V188"/>
    <mergeCell ref="BJ167:BJ193"/>
    <mergeCell ref="BK167:BK193"/>
    <mergeCell ref="BL167:BL193"/>
    <mergeCell ref="BN167:BN193"/>
    <mergeCell ref="BO167:BO193"/>
    <mergeCell ref="BP167:BP193"/>
    <mergeCell ref="BD167:BD193"/>
    <mergeCell ref="BE167:BE193"/>
    <mergeCell ref="BF167:BF193"/>
    <mergeCell ref="BG167:BG193"/>
    <mergeCell ref="BH167:BH193"/>
    <mergeCell ref="BI167:BI193"/>
    <mergeCell ref="D195:F207"/>
    <mergeCell ref="J196:J199"/>
    <mergeCell ref="K196:K199"/>
    <mergeCell ref="L196:L199"/>
    <mergeCell ref="M196:M199"/>
    <mergeCell ref="N196:N199"/>
    <mergeCell ref="J190:J193"/>
    <mergeCell ref="K190:K193"/>
    <mergeCell ref="L190:L193"/>
    <mergeCell ref="M190:M193"/>
    <mergeCell ref="N190:N193"/>
    <mergeCell ref="D166:F193"/>
    <mergeCell ref="J167:J180"/>
    <mergeCell ref="K167:K180"/>
    <mergeCell ref="L167:L180"/>
    <mergeCell ref="M167:M180"/>
    <mergeCell ref="N167:N180"/>
    <mergeCell ref="N181:N185"/>
    <mergeCell ref="J187:J189"/>
    <mergeCell ref="K187:K189"/>
    <mergeCell ref="L187:L189"/>
    <mergeCell ref="M187:M189"/>
    <mergeCell ref="N187:N189"/>
    <mergeCell ref="J181:J185"/>
    <mergeCell ref="U196:U199"/>
    <mergeCell ref="AB196:AB199"/>
    <mergeCell ref="AC196:AC199"/>
    <mergeCell ref="AD196:AD199"/>
    <mergeCell ref="AE196:AE199"/>
    <mergeCell ref="AF196:AF199"/>
    <mergeCell ref="O196:O199"/>
    <mergeCell ref="P196:P199"/>
    <mergeCell ref="Q196:Q199"/>
    <mergeCell ref="R196:R199"/>
    <mergeCell ref="S196:S199"/>
    <mergeCell ref="T196:T199"/>
    <mergeCell ref="AM196:AM199"/>
    <mergeCell ref="AN196:AN199"/>
    <mergeCell ref="AO196:AO199"/>
    <mergeCell ref="AP196:AP199"/>
    <mergeCell ref="AQ196:AQ199"/>
    <mergeCell ref="AR196:AR199"/>
    <mergeCell ref="AG196:AG199"/>
    <mergeCell ref="AH196:AH199"/>
    <mergeCell ref="AI196:AI199"/>
    <mergeCell ref="AJ196:AJ199"/>
    <mergeCell ref="AK196:AK199"/>
    <mergeCell ref="AL196:AL199"/>
    <mergeCell ref="BA196:BA199"/>
    <mergeCell ref="BB196:BB199"/>
    <mergeCell ref="BC196:BC199"/>
    <mergeCell ref="BD196:BD199"/>
    <mergeCell ref="AS196:AS199"/>
    <mergeCell ref="AT196:AT199"/>
    <mergeCell ref="AU196:AU199"/>
    <mergeCell ref="AV196:AV199"/>
    <mergeCell ref="AW196:AW199"/>
    <mergeCell ref="AX196:AX199"/>
    <mergeCell ref="BR196:BR199"/>
    <mergeCell ref="BH197:BH198"/>
    <mergeCell ref="J203:J207"/>
    <mergeCell ref="K203:K207"/>
    <mergeCell ref="L203:L207"/>
    <mergeCell ref="M203:M207"/>
    <mergeCell ref="N203:N207"/>
    <mergeCell ref="O203:O207"/>
    <mergeCell ref="P203:P207"/>
    <mergeCell ref="Q203:Q207"/>
    <mergeCell ref="BL196:BL199"/>
    <mergeCell ref="BM196:BM199"/>
    <mergeCell ref="BN196:BN199"/>
    <mergeCell ref="BO196:BO199"/>
    <mergeCell ref="BP196:BP199"/>
    <mergeCell ref="BQ196:BQ199"/>
    <mergeCell ref="BE196:BE199"/>
    <mergeCell ref="BF196:BF199"/>
    <mergeCell ref="BG196:BG199"/>
    <mergeCell ref="BI196:BI199"/>
    <mergeCell ref="BJ196:BJ199"/>
    <mergeCell ref="BK196:BK199"/>
    <mergeCell ref="AY196:AY199"/>
    <mergeCell ref="AZ196:AZ199"/>
    <mergeCell ref="AD203:AD207"/>
    <mergeCell ref="AE203:AE207"/>
    <mergeCell ref="AF203:AF207"/>
    <mergeCell ref="AG203:AG207"/>
    <mergeCell ref="AH203:AH207"/>
    <mergeCell ref="AI203:AI207"/>
    <mergeCell ref="R203:R207"/>
    <mergeCell ref="S203:S207"/>
    <mergeCell ref="T203:T207"/>
    <mergeCell ref="U203:U207"/>
    <mergeCell ref="AB203:AB207"/>
    <mergeCell ref="AC203:AC207"/>
    <mergeCell ref="AP203:AP207"/>
    <mergeCell ref="AQ203:AQ207"/>
    <mergeCell ref="AR203:AR207"/>
    <mergeCell ref="AS203:AS207"/>
    <mergeCell ref="AT203:AT207"/>
    <mergeCell ref="AU203:AU207"/>
    <mergeCell ref="AJ203:AJ207"/>
    <mergeCell ref="AK203:AK207"/>
    <mergeCell ref="AL203:AL207"/>
    <mergeCell ref="AM203:AM207"/>
    <mergeCell ref="AN203:AN207"/>
    <mergeCell ref="AO203:AO207"/>
    <mergeCell ref="BB203:BB207"/>
    <mergeCell ref="BC203:BC207"/>
    <mergeCell ref="BD203:BD207"/>
    <mergeCell ref="BE203:BE207"/>
    <mergeCell ref="BF203:BF207"/>
    <mergeCell ref="BG203:BG207"/>
    <mergeCell ref="AV203:AV207"/>
    <mergeCell ref="AW203:AW207"/>
    <mergeCell ref="AX203:AX207"/>
    <mergeCell ref="AY203:AY207"/>
    <mergeCell ref="AZ203:AZ207"/>
    <mergeCell ref="BA203:BA207"/>
    <mergeCell ref="BN203:BN207"/>
    <mergeCell ref="BO203:BO207"/>
    <mergeCell ref="BP203:BP207"/>
    <mergeCell ref="BQ203:BQ207"/>
    <mergeCell ref="BR203:BR207"/>
    <mergeCell ref="BH203:BH207"/>
    <mergeCell ref="BI203:BI207"/>
    <mergeCell ref="BJ203:BJ207"/>
    <mergeCell ref="BK203:BK207"/>
    <mergeCell ref="BL203:BL207"/>
    <mergeCell ref="BM203:BM20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60"/>
  <sheetViews>
    <sheetView showGridLines="0" zoomScale="70" zoomScaleNormal="70" workbookViewId="0">
      <selection sqref="A1:BP4"/>
    </sheetView>
  </sheetViews>
  <sheetFormatPr baseColWidth="10" defaultColWidth="11.42578125" defaultRowHeight="15" x14ac:dyDescent="0.2"/>
  <cols>
    <col min="1" max="1" width="18.140625" style="4" customWidth="1"/>
    <col min="2" max="2" width="12.85546875" style="4" customWidth="1"/>
    <col min="3" max="3" width="12.5703125" style="4" customWidth="1"/>
    <col min="4" max="5" width="15.42578125" style="4" customWidth="1"/>
    <col min="6" max="6" width="7.5703125" style="4" customWidth="1"/>
    <col min="7" max="7" width="13.140625" style="4" customWidth="1"/>
    <col min="8" max="8" width="6.140625" style="4" customWidth="1"/>
    <col min="9" max="9" width="19.5703125" style="4" customWidth="1"/>
    <col min="10" max="10" width="20.42578125" style="4" customWidth="1"/>
    <col min="11" max="11" width="28.7109375" style="466" customWidth="1"/>
    <col min="12" max="12" width="26.140625" style="466" customWidth="1"/>
    <col min="13" max="13" width="16" style="4" customWidth="1"/>
    <col min="14" max="14" width="17.5703125" style="4" customWidth="1"/>
    <col min="15" max="15" width="36.140625" style="128" customWidth="1"/>
    <col min="16" max="16" width="11.28515625" style="4" customWidth="1"/>
    <col min="17" max="17" width="26.140625" style="466" customWidth="1"/>
    <col min="18" max="18" width="16.85546875" style="4" customWidth="1"/>
    <col min="19" max="19" width="27" style="467" customWidth="1"/>
    <col min="20" max="20" width="29.42578125" style="466" customWidth="1"/>
    <col min="21" max="21" width="29" style="466" customWidth="1"/>
    <col min="22" max="22" width="41" style="466" customWidth="1"/>
    <col min="23" max="25" width="28.5703125" style="468" customWidth="1"/>
    <col min="26" max="26" width="12.85546875" style="4" customWidth="1"/>
    <col min="27" max="27" width="24.85546875" style="469" customWidth="1"/>
    <col min="28" max="28" width="17.28515625" style="4" customWidth="1"/>
    <col min="29" max="29" width="15.140625" style="4" customWidth="1"/>
    <col min="30" max="57" width="12.5703125" style="4" customWidth="1"/>
    <col min="58" max="59" width="12" style="4" customWidth="1"/>
    <col min="60" max="60" width="22.28515625" style="131" customWidth="1"/>
    <col min="61" max="61" width="25.28515625" style="470" customWidth="1"/>
    <col min="62" max="62" width="28.140625" style="470" customWidth="1"/>
    <col min="63" max="64" width="21" style="131" customWidth="1"/>
    <col min="65" max="65" width="29.42578125" style="4" customWidth="1"/>
    <col min="66" max="66" width="14.28515625" style="4" customWidth="1"/>
    <col min="67" max="67" width="16.42578125" style="4" customWidth="1"/>
    <col min="68" max="68" width="15.85546875" style="4" customWidth="1"/>
    <col min="69" max="69" width="18.7109375" style="4" customWidth="1"/>
    <col min="70" max="70" width="27.28515625" style="4" customWidth="1"/>
    <col min="71" max="16384" width="11.42578125" style="4"/>
  </cols>
  <sheetData>
    <row r="1" spans="1:70" ht="26.25" customHeight="1" x14ac:dyDescent="0.2">
      <c r="A1" s="2997" t="s">
        <v>198</v>
      </c>
      <c r="B1" s="2998"/>
      <c r="C1" s="2998"/>
      <c r="D1" s="2998"/>
      <c r="E1" s="2998"/>
      <c r="F1" s="2998"/>
      <c r="G1" s="2998"/>
      <c r="H1" s="2998"/>
      <c r="I1" s="2998"/>
      <c r="J1" s="2998"/>
      <c r="K1" s="2998"/>
      <c r="L1" s="2998"/>
      <c r="M1" s="2998"/>
      <c r="N1" s="2998"/>
      <c r="O1" s="2998"/>
      <c r="P1" s="2998"/>
      <c r="Q1" s="2998"/>
      <c r="R1" s="2998"/>
      <c r="S1" s="2998"/>
      <c r="T1" s="2998"/>
      <c r="U1" s="2998"/>
      <c r="V1" s="2998"/>
      <c r="W1" s="2998"/>
      <c r="X1" s="2998"/>
      <c r="Y1" s="2998"/>
      <c r="Z1" s="2998"/>
      <c r="AA1" s="2998"/>
      <c r="AB1" s="2998"/>
      <c r="AC1" s="2998"/>
      <c r="AD1" s="2998"/>
      <c r="AE1" s="2998"/>
      <c r="AF1" s="2998"/>
      <c r="AG1" s="2998"/>
      <c r="AH1" s="2998"/>
      <c r="AI1" s="2998"/>
      <c r="AJ1" s="2998"/>
      <c r="AK1" s="2998"/>
      <c r="AL1" s="2998"/>
      <c r="AM1" s="2998"/>
      <c r="AN1" s="2998"/>
      <c r="AO1" s="2998"/>
      <c r="AP1" s="2998"/>
      <c r="AQ1" s="2998"/>
      <c r="AR1" s="2998"/>
      <c r="AS1" s="2998"/>
      <c r="AT1" s="2998"/>
      <c r="AU1" s="2998"/>
      <c r="AV1" s="2998"/>
      <c r="AW1" s="2998"/>
      <c r="AX1" s="2998"/>
      <c r="AY1" s="2998"/>
      <c r="AZ1" s="2998"/>
      <c r="BA1" s="2998"/>
      <c r="BB1" s="2998"/>
      <c r="BC1" s="2998"/>
      <c r="BD1" s="2998"/>
      <c r="BE1" s="2998"/>
      <c r="BF1" s="2998"/>
      <c r="BG1" s="2998"/>
      <c r="BH1" s="2998"/>
      <c r="BI1" s="2998"/>
      <c r="BJ1" s="2998"/>
      <c r="BK1" s="2998"/>
      <c r="BL1" s="2998"/>
      <c r="BM1" s="2998"/>
      <c r="BN1" s="2998"/>
      <c r="BO1" s="2998"/>
      <c r="BP1" s="2999"/>
      <c r="BQ1" s="288" t="s">
        <v>199</v>
      </c>
      <c r="BR1" s="289" t="s">
        <v>1</v>
      </c>
    </row>
    <row r="2" spans="1:70" ht="26.25" customHeight="1" x14ac:dyDescent="0.2">
      <c r="A2" s="3000"/>
      <c r="B2" s="3001"/>
      <c r="C2" s="3001"/>
      <c r="D2" s="3001"/>
      <c r="E2" s="3001"/>
      <c r="F2" s="3001"/>
      <c r="G2" s="3001"/>
      <c r="H2" s="3001"/>
      <c r="I2" s="3001"/>
      <c r="J2" s="3001"/>
      <c r="K2" s="3001"/>
      <c r="L2" s="3001"/>
      <c r="M2" s="3001"/>
      <c r="N2" s="3001"/>
      <c r="O2" s="3001"/>
      <c r="P2" s="3001"/>
      <c r="Q2" s="3001"/>
      <c r="R2" s="3001"/>
      <c r="S2" s="3001"/>
      <c r="T2" s="3001"/>
      <c r="U2" s="3001"/>
      <c r="V2" s="3001"/>
      <c r="W2" s="3001"/>
      <c r="X2" s="3001"/>
      <c r="Y2" s="3001"/>
      <c r="Z2" s="3001"/>
      <c r="AA2" s="3001"/>
      <c r="AB2" s="3001"/>
      <c r="AC2" s="3001"/>
      <c r="AD2" s="3001"/>
      <c r="AE2" s="3001"/>
      <c r="AF2" s="3001"/>
      <c r="AG2" s="3001"/>
      <c r="AH2" s="3001"/>
      <c r="AI2" s="3001"/>
      <c r="AJ2" s="3001"/>
      <c r="AK2" s="3001"/>
      <c r="AL2" s="3001"/>
      <c r="AM2" s="3001"/>
      <c r="AN2" s="3001"/>
      <c r="AO2" s="3001"/>
      <c r="AP2" s="3001"/>
      <c r="AQ2" s="3001"/>
      <c r="AR2" s="3001"/>
      <c r="AS2" s="3001"/>
      <c r="AT2" s="3001"/>
      <c r="AU2" s="3001"/>
      <c r="AV2" s="3001"/>
      <c r="AW2" s="3001"/>
      <c r="AX2" s="3001"/>
      <c r="AY2" s="3001"/>
      <c r="AZ2" s="3001"/>
      <c r="BA2" s="3001"/>
      <c r="BB2" s="3001"/>
      <c r="BC2" s="3001"/>
      <c r="BD2" s="3001"/>
      <c r="BE2" s="3001"/>
      <c r="BF2" s="3001"/>
      <c r="BG2" s="3001"/>
      <c r="BH2" s="3001"/>
      <c r="BI2" s="3001"/>
      <c r="BJ2" s="3001"/>
      <c r="BK2" s="3001"/>
      <c r="BL2" s="3001"/>
      <c r="BM2" s="3001"/>
      <c r="BN2" s="3001"/>
      <c r="BO2" s="3001"/>
      <c r="BP2" s="3002"/>
      <c r="BQ2" s="290" t="s">
        <v>2</v>
      </c>
      <c r="BR2" s="291">
        <v>6</v>
      </c>
    </row>
    <row r="3" spans="1:70" ht="26.25" customHeight="1" x14ac:dyDescent="0.2">
      <c r="A3" s="3000"/>
      <c r="B3" s="3001"/>
      <c r="C3" s="3001"/>
      <c r="D3" s="3001"/>
      <c r="E3" s="3001"/>
      <c r="F3" s="3001"/>
      <c r="G3" s="3001"/>
      <c r="H3" s="3001"/>
      <c r="I3" s="3001"/>
      <c r="J3" s="3001"/>
      <c r="K3" s="3001"/>
      <c r="L3" s="3001"/>
      <c r="M3" s="3001"/>
      <c r="N3" s="3001"/>
      <c r="O3" s="3001"/>
      <c r="P3" s="3001"/>
      <c r="Q3" s="3001"/>
      <c r="R3" s="3001"/>
      <c r="S3" s="3001"/>
      <c r="T3" s="3001"/>
      <c r="U3" s="3001"/>
      <c r="V3" s="3001"/>
      <c r="W3" s="3001"/>
      <c r="X3" s="3001"/>
      <c r="Y3" s="3001"/>
      <c r="Z3" s="3001"/>
      <c r="AA3" s="3001"/>
      <c r="AB3" s="3001"/>
      <c r="AC3" s="3001"/>
      <c r="AD3" s="3001"/>
      <c r="AE3" s="3001"/>
      <c r="AF3" s="3001"/>
      <c r="AG3" s="3001"/>
      <c r="AH3" s="3001"/>
      <c r="AI3" s="3001"/>
      <c r="AJ3" s="3001"/>
      <c r="AK3" s="3001"/>
      <c r="AL3" s="3001"/>
      <c r="AM3" s="3001"/>
      <c r="AN3" s="3001"/>
      <c r="AO3" s="3001"/>
      <c r="AP3" s="3001"/>
      <c r="AQ3" s="3001"/>
      <c r="AR3" s="3001"/>
      <c r="AS3" s="3001"/>
      <c r="AT3" s="3001"/>
      <c r="AU3" s="3001"/>
      <c r="AV3" s="3001"/>
      <c r="AW3" s="3001"/>
      <c r="AX3" s="3001"/>
      <c r="AY3" s="3001"/>
      <c r="AZ3" s="3001"/>
      <c r="BA3" s="3001"/>
      <c r="BB3" s="3001"/>
      <c r="BC3" s="3001"/>
      <c r="BD3" s="3001"/>
      <c r="BE3" s="3001"/>
      <c r="BF3" s="3001"/>
      <c r="BG3" s="3001"/>
      <c r="BH3" s="3001"/>
      <c r="BI3" s="3001"/>
      <c r="BJ3" s="3001"/>
      <c r="BK3" s="3001"/>
      <c r="BL3" s="3001"/>
      <c r="BM3" s="3001"/>
      <c r="BN3" s="3001"/>
      <c r="BO3" s="3001"/>
      <c r="BP3" s="3002"/>
      <c r="BQ3" s="292" t="s">
        <v>3</v>
      </c>
      <c r="BR3" s="293" t="s">
        <v>4</v>
      </c>
    </row>
    <row r="4" spans="1:70" s="10" customFormat="1" ht="26.25" customHeight="1" x14ac:dyDescent="0.2">
      <c r="A4" s="3003"/>
      <c r="B4" s="3004"/>
      <c r="C4" s="3004"/>
      <c r="D4" s="3004"/>
      <c r="E4" s="3004"/>
      <c r="F4" s="3004"/>
      <c r="G4" s="3004"/>
      <c r="H4" s="3004"/>
      <c r="I4" s="3004"/>
      <c r="J4" s="3004"/>
      <c r="K4" s="3004"/>
      <c r="L4" s="3004"/>
      <c r="M4" s="3004"/>
      <c r="N4" s="3004"/>
      <c r="O4" s="3004"/>
      <c r="P4" s="3004"/>
      <c r="Q4" s="3004"/>
      <c r="R4" s="3004"/>
      <c r="S4" s="3004"/>
      <c r="T4" s="3004"/>
      <c r="U4" s="3004"/>
      <c r="V4" s="3004"/>
      <c r="W4" s="3004"/>
      <c r="X4" s="3004"/>
      <c r="Y4" s="3004"/>
      <c r="Z4" s="3004"/>
      <c r="AA4" s="3004"/>
      <c r="AB4" s="3004"/>
      <c r="AC4" s="3004"/>
      <c r="AD4" s="3004"/>
      <c r="AE4" s="3004"/>
      <c r="AF4" s="3004"/>
      <c r="AG4" s="3004"/>
      <c r="AH4" s="3004"/>
      <c r="AI4" s="3004"/>
      <c r="AJ4" s="3004"/>
      <c r="AK4" s="3004"/>
      <c r="AL4" s="3004"/>
      <c r="AM4" s="3004"/>
      <c r="AN4" s="3004"/>
      <c r="AO4" s="3004"/>
      <c r="AP4" s="3004"/>
      <c r="AQ4" s="3004"/>
      <c r="AR4" s="3004"/>
      <c r="AS4" s="3004"/>
      <c r="AT4" s="3004"/>
      <c r="AU4" s="3004"/>
      <c r="AV4" s="3004"/>
      <c r="AW4" s="3004"/>
      <c r="AX4" s="3004"/>
      <c r="AY4" s="3004"/>
      <c r="AZ4" s="3004"/>
      <c r="BA4" s="3004"/>
      <c r="BB4" s="3004"/>
      <c r="BC4" s="3004"/>
      <c r="BD4" s="3004"/>
      <c r="BE4" s="3004"/>
      <c r="BF4" s="3004"/>
      <c r="BG4" s="3004"/>
      <c r="BH4" s="3004"/>
      <c r="BI4" s="3004"/>
      <c r="BJ4" s="3004"/>
      <c r="BK4" s="3004"/>
      <c r="BL4" s="3004"/>
      <c r="BM4" s="3004"/>
      <c r="BN4" s="3004"/>
      <c r="BO4" s="3004"/>
      <c r="BP4" s="3005"/>
      <c r="BQ4" s="292" t="s">
        <v>5</v>
      </c>
      <c r="BR4" s="294" t="s">
        <v>6</v>
      </c>
    </row>
    <row r="5" spans="1:70" ht="37.5" customHeight="1" x14ac:dyDescent="0.2">
      <c r="A5" s="3006" t="s">
        <v>7</v>
      </c>
      <c r="B5" s="3007"/>
      <c r="C5" s="3007"/>
      <c r="D5" s="3007"/>
      <c r="E5" s="3007"/>
      <c r="F5" s="3007"/>
      <c r="G5" s="3007"/>
      <c r="H5" s="3007"/>
      <c r="I5" s="3007"/>
      <c r="J5" s="3007"/>
      <c r="K5" s="3007"/>
      <c r="L5" s="3007"/>
      <c r="M5" s="3007"/>
      <c r="N5" s="4017"/>
      <c r="O5" s="287"/>
      <c r="P5" s="257"/>
      <c r="Q5" s="3008" t="s">
        <v>8</v>
      </c>
      <c r="R5" s="3008"/>
      <c r="S5" s="3008"/>
      <c r="T5" s="3008"/>
      <c r="U5" s="3008"/>
      <c r="V5" s="3008"/>
      <c r="W5" s="3008"/>
      <c r="X5" s="3008"/>
      <c r="Y5" s="3008"/>
      <c r="Z5" s="3008"/>
      <c r="AA5" s="3008"/>
      <c r="AB5" s="3008"/>
      <c r="AC5" s="3008"/>
      <c r="AD5" s="3008"/>
      <c r="AE5" s="3008"/>
      <c r="AF5" s="3008"/>
      <c r="AG5" s="3008"/>
      <c r="AH5" s="3008"/>
      <c r="AI5" s="3008"/>
      <c r="AJ5" s="3008"/>
      <c r="AK5" s="3008"/>
      <c r="AL5" s="3008"/>
      <c r="AM5" s="3008"/>
      <c r="AN5" s="3008"/>
      <c r="AO5" s="3008"/>
      <c r="AP5" s="3008"/>
      <c r="AQ5" s="3008"/>
      <c r="AR5" s="3008"/>
      <c r="AS5" s="3008"/>
      <c r="AT5" s="3008"/>
      <c r="AU5" s="3008"/>
      <c r="AV5" s="3008"/>
      <c r="AW5" s="3008"/>
      <c r="AX5" s="3008"/>
      <c r="AY5" s="3008"/>
      <c r="AZ5" s="3008"/>
      <c r="BA5" s="3008"/>
      <c r="BB5" s="3008"/>
      <c r="BC5" s="3008"/>
      <c r="BD5" s="3008"/>
      <c r="BE5" s="3008"/>
      <c r="BF5" s="3008"/>
      <c r="BG5" s="3008"/>
      <c r="BH5" s="3008"/>
      <c r="BI5" s="3008"/>
      <c r="BJ5" s="3008"/>
      <c r="BK5" s="3008"/>
      <c r="BL5" s="3008"/>
      <c r="BM5" s="3008"/>
      <c r="BN5" s="3008"/>
      <c r="BO5" s="3008"/>
      <c r="BP5" s="3008"/>
      <c r="BQ5" s="3008"/>
      <c r="BR5" s="3010"/>
    </row>
    <row r="6" spans="1:70" ht="23.25" customHeight="1" thickBot="1" x14ac:dyDescent="0.25">
      <c r="A6" s="3311"/>
      <c r="B6" s="3312"/>
      <c r="C6" s="3312"/>
      <c r="D6" s="3312"/>
      <c r="E6" s="3312"/>
      <c r="F6" s="3312"/>
      <c r="G6" s="3312"/>
      <c r="H6" s="3312"/>
      <c r="I6" s="3312"/>
      <c r="J6" s="3312"/>
      <c r="K6" s="3312"/>
      <c r="L6" s="3312"/>
      <c r="M6" s="3312"/>
      <c r="N6" s="3315"/>
      <c r="O6" s="287"/>
      <c r="P6" s="258"/>
      <c r="Q6" s="3313"/>
      <c r="R6" s="4018"/>
      <c r="S6" s="4018"/>
      <c r="T6" s="4018"/>
      <c r="U6" s="4018"/>
      <c r="V6" s="4018"/>
      <c r="W6" s="4018"/>
      <c r="X6" s="4018"/>
      <c r="Y6" s="4018"/>
      <c r="Z6" s="4018"/>
      <c r="AA6" s="401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59"/>
      <c r="BK6" s="259"/>
      <c r="BL6" s="295"/>
      <c r="BM6" s="295"/>
      <c r="BN6" s="3313"/>
      <c r="BO6" s="4018"/>
      <c r="BP6" s="4018"/>
      <c r="BQ6" s="4018"/>
      <c r="BR6" s="4020"/>
    </row>
    <row r="7" spans="1:70" s="296" customFormat="1" ht="37.5" customHeight="1" x14ac:dyDescent="0.25">
      <c r="A7" s="4021" t="s">
        <v>0</v>
      </c>
      <c r="B7" s="3012" t="s">
        <v>9</v>
      </c>
      <c r="C7" s="3012"/>
      <c r="D7" s="3012" t="s">
        <v>0</v>
      </c>
      <c r="E7" s="3012" t="s">
        <v>10</v>
      </c>
      <c r="F7" s="3012"/>
      <c r="G7" s="3012" t="s">
        <v>0</v>
      </c>
      <c r="H7" s="3012" t="s">
        <v>11</v>
      </c>
      <c r="I7" s="3012"/>
      <c r="J7" s="3012" t="s">
        <v>0</v>
      </c>
      <c r="K7" s="3012" t="s">
        <v>12</v>
      </c>
      <c r="L7" s="3012" t="s">
        <v>13</v>
      </c>
      <c r="M7" s="3491" t="s">
        <v>14</v>
      </c>
      <c r="N7" s="3491"/>
      <c r="O7" s="3491" t="s">
        <v>15</v>
      </c>
      <c r="P7" s="3491" t="s">
        <v>108</v>
      </c>
      <c r="Q7" s="3491" t="s">
        <v>8</v>
      </c>
      <c r="R7" s="4010" t="s">
        <v>17</v>
      </c>
      <c r="S7" s="4011" t="s">
        <v>18</v>
      </c>
      <c r="T7" s="3495" t="s">
        <v>19</v>
      </c>
      <c r="U7" s="3495" t="s">
        <v>20</v>
      </c>
      <c r="V7" s="3495" t="s">
        <v>21</v>
      </c>
      <c r="W7" s="4024" t="s">
        <v>18</v>
      </c>
      <c r="X7" s="4025"/>
      <c r="Y7" s="4026"/>
      <c r="Z7" s="4030" t="s">
        <v>0</v>
      </c>
      <c r="AA7" s="4033" t="s">
        <v>22</v>
      </c>
      <c r="AB7" s="3032" t="s">
        <v>23</v>
      </c>
      <c r="AC7" s="3033"/>
      <c r="AD7" s="3033"/>
      <c r="AE7" s="3034"/>
      <c r="AF7" s="3035" t="s">
        <v>24</v>
      </c>
      <c r="AG7" s="3036"/>
      <c r="AH7" s="3036"/>
      <c r="AI7" s="3036"/>
      <c r="AJ7" s="3036"/>
      <c r="AK7" s="3036"/>
      <c r="AL7" s="3036"/>
      <c r="AM7" s="3037"/>
      <c r="AN7" s="3038" t="s">
        <v>25</v>
      </c>
      <c r="AO7" s="3039"/>
      <c r="AP7" s="3039"/>
      <c r="AQ7" s="3039"/>
      <c r="AR7" s="3039"/>
      <c r="AS7" s="3039"/>
      <c r="AT7" s="3039"/>
      <c r="AU7" s="3039"/>
      <c r="AV7" s="3039"/>
      <c r="AW7" s="3039"/>
      <c r="AX7" s="3039"/>
      <c r="AY7" s="3040"/>
      <c r="AZ7" s="3035" t="s">
        <v>26</v>
      </c>
      <c r="BA7" s="3036"/>
      <c r="BB7" s="3036"/>
      <c r="BC7" s="3036"/>
      <c r="BD7" s="3036"/>
      <c r="BE7" s="3037"/>
      <c r="BF7" s="4013" t="s">
        <v>27</v>
      </c>
      <c r="BG7" s="4014"/>
      <c r="BH7" s="3482" t="s">
        <v>28</v>
      </c>
      <c r="BI7" s="3483"/>
      <c r="BJ7" s="3483"/>
      <c r="BK7" s="3483"/>
      <c r="BL7" s="3483"/>
      <c r="BM7" s="3483"/>
      <c r="BN7" s="3986" t="s">
        <v>29</v>
      </c>
      <c r="BO7" s="3987"/>
      <c r="BP7" s="3986" t="s">
        <v>30</v>
      </c>
      <c r="BQ7" s="3987"/>
      <c r="BR7" s="4004" t="s">
        <v>31</v>
      </c>
    </row>
    <row r="8" spans="1:70" s="296" customFormat="1" ht="120.75" customHeight="1" x14ac:dyDescent="0.25">
      <c r="A8" s="4022"/>
      <c r="B8" s="3012"/>
      <c r="C8" s="3012"/>
      <c r="D8" s="3012"/>
      <c r="E8" s="3012"/>
      <c r="F8" s="3012"/>
      <c r="G8" s="3012"/>
      <c r="H8" s="3012"/>
      <c r="I8" s="3012"/>
      <c r="J8" s="3012"/>
      <c r="K8" s="3012"/>
      <c r="L8" s="3012"/>
      <c r="M8" s="3491"/>
      <c r="N8" s="3491"/>
      <c r="O8" s="3491"/>
      <c r="P8" s="3491"/>
      <c r="Q8" s="3491"/>
      <c r="R8" s="4010"/>
      <c r="S8" s="4011"/>
      <c r="T8" s="4012"/>
      <c r="U8" s="4012"/>
      <c r="V8" s="4012"/>
      <c r="W8" s="4027"/>
      <c r="X8" s="4028"/>
      <c r="Y8" s="4029"/>
      <c r="Z8" s="4031"/>
      <c r="AA8" s="4034"/>
      <c r="AB8" s="4007" t="s">
        <v>37</v>
      </c>
      <c r="AC8" s="4007"/>
      <c r="AD8" s="4007" t="s">
        <v>200</v>
      </c>
      <c r="AE8" s="4007"/>
      <c r="AF8" s="4008" t="s">
        <v>39</v>
      </c>
      <c r="AG8" s="4009"/>
      <c r="AH8" s="4008" t="s">
        <v>40</v>
      </c>
      <c r="AI8" s="4009"/>
      <c r="AJ8" s="4008" t="s">
        <v>201</v>
      </c>
      <c r="AK8" s="4009"/>
      <c r="AL8" s="4008" t="s">
        <v>42</v>
      </c>
      <c r="AM8" s="4009"/>
      <c r="AN8" s="3990" t="s">
        <v>43</v>
      </c>
      <c r="AO8" s="3991"/>
      <c r="AP8" s="3990" t="s">
        <v>44</v>
      </c>
      <c r="AQ8" s="3991"/>
      <c r="AR8" s="3990" t="s">
        <v>45</v>
      </c>
      <c r="AS8" s="3991"/>
      <c r="AT8" s="3990" t="s">
        <v>46</v>
      </c>
      <c r="AU8" s="3991"/>
      <c r="AV8" s="3990" t="s">
        <v>202</v>
      </c>
      <c r="AW8" s="3991"/>
      <c r="AX8" s="3990" t="s">
        <v>48</v>
      </c>
      <c r="AY8" s="3991"/>
      <c r="AZ8" s="3992" t="s">
        <v>49</v>
      </c>
      <c r="BA8" s="3993"/>
      <c r="BB8" s="3992" t="s">
        <v>50</v>
      </c>
      <c r="BC8" s="3993"/>
      <c r="BD8" s="3992" t="s">
        <v>203</v>
      </c>
      <c r="BE8" s="3993"/>
      <c r="BF8" s="4015"/>
      <c r="BG8" s="4016"/>
      <c r="BH8" s="3491" t="s">
        <v>112</v>
      </c>
      <c r="BI8" s="4001" t="s">
        <v>53</v>
      </c>
      <c r="BJ8" s="4001" t="s">
        <v>54</v>
      </c>
      <c r="BK8" s="4002" t="s">
        <v>55</v>
      </c>
      <c r="BL8" s="4002" t="s">
        <v>56</v>
      </c>
      <c r="BM8" s="3491" t="s">
        <v>57</v>
      </c>
      <c r="BN8" s="3988"/>
      <c r="BO8" s="3989"/>
      <c r="BP8" s="3988"/>
      <c r="BQ8" s="3989"/>
      <c r="BR8" s="4005"/>
    </row>
    <row r="9" spans="1:70" s="296" customFormat="1" ht="31.5" customHeight="1" x14ac:dyDescent="0.25">
      <c r="A9" s="4023"/>
      <c r="B9" s="3012"/>
      <c r="C9" s="3012"/>
      <c r="D9" s="3012"/>
      <c r="E9" s="3012"/>
      <c r="F9" s="3012"/>
      <c r="G9" s="3012"/>
      <c r="H9" s="3012"/>
      <c r="I9" s="3012"/>
      <c r="J9" s="3012"/>
      <c r="K9" s="3012"/>
      <c r="L9" s="3012"/>
      <c r="M9" s="297" t="s">
        <v>32</v>
      </c>
      <c r="N9" s="297" t="s">
        <v>33</v>
      </c>
      <c r="O9" s="3491"/>
      <c r="P9" s="3491"/>
      <c r="Q9" s="3491"/>
      <c r="R9" s="4010"/>
      <c r="S9" s="4011"/>
      <c r="T9" s="3496"/>
      <c r="U9" s="3496"/>
      <c r="V9" s="3496"/>
      <c r="W9" s="298" t="s">
        <v>34</v>
      </c>
      <c r="X9" s="298" t="s">
        <v>204</v>
      </c>
      <c r="Y9" s="298" t="s">
        <v>205</v>
      </c>
      <c r="Z9" s="4032"/>
      <c r="AA9" s="4035"/>
      <c r="AB9" s="297" t="s">
        <v>32</v>
      </c>
      <c r="AC9" s="297" t="s">
        <v>33</v>
      </c>
      <c r="AD9" s="297" t="s">
        <v>32</v>
      </c>
      <c r="AE9" s="297" t="s">
        <v>33</v>
      </c>
      <c r="AF9" s="297" t="s">
        <v>32</v>
      </c>
      <c r="AG9" s="297" t="s">
        <v>33</v>
      </c>
      <c r="AH9" s="297" t="s">
        <v>32</v>
      </c>
      <c r="AI9" s="297" t="s">
        <v>33</v>
      </c>
      <c r="AJ9" s="297" t="s">
        <v>32</v>
      </c>
      <c r="AK9" s="297" t="s">
        <v>33</v>
      </c>
      <c r="AL9" s="297" t="s">
        <v>32</v>
      </c>
      <c r="AM9" s="297" t="s">
        <v>33</v>
      </c>
      <c r="AN9" s="297" t="s">
        <v>32</v>
      </c>
      <c r="AO9" s="297" t="s">
        <v>33</v>
      </c>
      <c r="AP9" s="297" t="s">
        <v>32</v>
      </c>
      <c r="AQ9" s="297" t="s">
        <v>33</v>
      </c>
      <c r="AR9" s="297" t="s">
        <v>32</v>
      </c>
      <c r="AS9" s="297" t="s">
        <v>33</v>
      </c>
      <c r="AT9" s="297" t="s">
        <v>32</v>
      </c>
      <c r="AU9" s="297" t="s">
        <v>33</v>
      </c>
      <c r="AV9" s="297" t="s">
        <v>32</v>
      </c>
      <c r="AW9" s="297" t="s">
        <v>33</v>
      </c>
      <c r="AX9" s="297" t="s">
        <v>32</v>
      </c>
      <c r="AY9" s="297" t="s">
        <v>33</v>
      </c>
      <c r="AZ9" s="297" t="s">
        <v>32</v>
      </c>
      <c r="BA9" s="297" t="s">
        <v>33</v>
      </c>
      <c r="BB9" s="297" t="s">
        <v>32</v>
      </c>
      <c r="BC9" s="297" t="s">
        <v>33</v>
      </c>
      <c r="BD9" s="297" t="s">
        <v>32</v>
      </c>
      <c r="BE9" s="297" t="s">
        <v>33</v>
      </c>
      <c r="BF9" s="297" t="s">
        <v>32</v>
      </c>
      <c r="BG9" s="297" t="s">
        <v>33</v>
      </c>
      <c r="BH9" s="3491"/>
      <c r="BI9" s="4001"/>
      <c r="BJ9" s="4001"/>
      <c r="BK9" s="4003"/>
      <c r="BL9" s="4003"/>
      <c r="BM9" s="3491"/>
      <c r="BN9" s="297" t="s">
        <v>32</v>
      </c>
      <c r="BO9" s="297" t="s">
        <v>33</v>
      </c>
      <c r="BP9" s="297" t="s">
        <v>32</v>
      </c>
      <c r="BQ9" s="297" t="s">
        <v>33</v>
      </c>
      <c r="BR9" s="4006"/>
    </row>
    <row r="10" spans="1:70" s="126" customFormat="1" ht="15" customHeight="1" x14ac:dyDescent="0.25">
      <c r="A10" s="299"/>
      <c r="B10" s="300"/>
      <c r="C10" s="301"/>
      <c r="D10" s="302">
        <v>9</v>
      </c>
      <c r="E10" s="4036" t="s">
        <v>206</v>
      </c>
      <c r="F10" s="4037"/>
      <c r="G10" s="4037"/>
      <c r="H10" s="4037"/>
      <c r="I10" s="4037"/>
      <c r="J10" s="4037"/>
      <c r="K10" s="4037"/>
      <c r="L10" s="303"/>
      <c r="M10" s="304"/>
      <c r="N10" s="304"/>
      <c r="O10" s="309"/>
      <c r="P10" s="304"/>
      <c r="Q10" s="303"/>
      <c r="R10" s="304"/>
      <c r="S10" s="306"/>
      <c r="T10" s="303"/>
      <c r="U10" s="303"/>
      <c r="V10" s="303"/>
      <c r="W10" s="307"/>
      <c r="X10" s="307"/>
      <c r="Y10" s="307"/>
      <c r="Z10" s="308"/>
      <c r="AA10" s="305"/>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c r="BF10" s="304"/>
      <c r="BG10" s="304"/>
      <c r="BH10" s="4038"/>
      <c r="BI10" s="4038"/>
      <c r="BJ10" s="4038"/>
      <c r="BK10" s="4038"/>
      <c r="BL10" s="4038"/>
      <c r="BM10" s="4038"/>
      <c r="BN10" s="4038"/>
      <c r="BO10" s="4038"/>
      <c r="BP10" s="4038"/>
      <c r="BQ10" s="4038"/>
      <c r="BR10" s="4039"/>
    </row>
    <row r="11" spans="1:70" ht="15" customHeight="1" x14ac:dyDescent="0.2">
      <c r="A11" s="310"/>
      <c r="B11" s="311"/>
      <c r="C11" s="261"/>
      <c r="D11" s="260"/>
      <c r="E11" s="312"/>
      <c r="F11" s="313"/>
      <c r="G11" s="314">
        <v>29</v>
      </c>
      <c r="H11" s="3997" t="s">
        <v>207</v>
      </c>
      <c r="I11" s="3998"/>
      <c r="J11" s="3998"/>
      <c r="K11" s="3998"/>
      <c r="L11" s="315"/>
      <c r="M11" s="316"/>
      <c r="N11" s="316"/>
      <c r="O11" s="321"/>
      <c r="P11" s="316"/>
      <c r="Q11" s="315"/>
      <c r="R11" s="316"/>
      <c r="S11" s="318"/>
      <c r="T11" s="315"/>
      <c r="U11" s="315"/>
      <c r="V11" s="315"/>
      <c r="W11" s="319"/>
      <c r="X11" s="319"/>
      <c r="Y11" s="319"/>
      <c r="Z11" s="320"/>
      <c r="AA11" s="317"/>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6"/>
      <c r="BA11" s="316"/>
      <c r="BB11" s="316"/>
      <c r="BC11" s="316"/>
      <c r="BD11" s="316"/>
      <c r="BE11" s="316"/>
      <c r="BF11" s="316"/>
      <c r="BG11" s="316"/>
      <c r="BH11" s="3999"/>
      <c r="BI11" s="3999"/>
      <c r="BJ11" s="3999"/>
      <c r="BK11" s="3999"/>
      <c r="BL11" s="3999"/>
      <c r="BM11" s="3999"/>
      <c r="BN11" s="3999"/>
      <c r="BO11" s="3999"/>
      <c r="BP11" s="3999"/>
      <c r="BQ11" s="3999"/>
      <c r="BR11" s="4000"/>
    </row>
    <row r="12" spans="1:70" s="337" customFormat="1" ht="80.25" customHeight="1" x14ac:dyDescent="0.2">
      <c r="A12" s="322"/>
      <c r="B12" s="323"/>
      <c r="C12" s="324"/>
      <c r="D12" s="325"/>
      <c r="E12" s="326"/>
      <c r="F12" s="327"/>
      <c r="G12" s="3931"/>
      <c r="H12" s="3954"/>
      <c r="I12" s="3955"/>
      <c r="J12" s="3912">
        <v>114</v>
      </c>
      <c r="K12" s="3928" t="s">
        <v>208</v>
      </c>
      <c r="L12" s="3928" t="s">
        <v>209</v>
      </c>
      <c r="M12" s="3912">
        <v>30</v>
      </c>
      <c r="N12" s="3912"/>
      <c r="O12" s="3931" t="s">
        <v>309</v>
      </c>
      <c r="P12" s="3931">
        <v>45</v>
      </c>
      <c r="Q12" s="3928" t="s">
        <v>210</v>
      </c>
      <c r="R12" s="3982">
        <f>SUM(W12:W14)/S12</f>
        <v>1</v>
      </c>
      <c r="S12" s="3926">
        <f>SUM(W12:W14)</f>
        <v>1249277717</v>
      </c>
      <c r="T12" s="3928" t="s">
        <v>211</v>
      </c>
      <c r="U12" s="3928" t="s">
        <v>212</v>
      </c>
      <c r="V12" s="3928" t="s">
        <v>213</v>
      </c>
      <c r="W12" s="328">
        <v>172896381</v>
      </c>
      <c r="X12" s="329"/>
      <c r="Y12" s="329"/>
      <c r="Z12" s="330">
        <v>33</v>
      </c>
      <c r="AA12" s="331" t="s">
        <v>214</v>
      </c>
      <c r="AB12" s="3931">
        <v>26</v>
      </c>
      <c r="AC12" s="332"/>
      <c r="AD12" s="3931">
        <v>26</v>
      </c>
      <c r="AE12" s="332"/>
      <c r="AF12" s="3922">
        <v>0</v>
      </c>
      <c r="AG12" s="333"/>
      <c r="AH12" s="3922">
        <v>0</v>
      </c>
      <c r="AI12" s="333"/>
      <c r="AJ12" s="3922">
        <v>52</v>
      </c>
      <c r="AK12" s="333"/>
      <c r="AL12" s="3922">
        <v>0</v>
      </c>
      <c r="AM12" s="333"/>
      <c r="AN12" s="3922">
        <v>0</v>
      </c>
      <c r="AO12" s="333"/>
      <c r="AP12" s="3922">
        <v>0</v>
      </c>
      <c r="AQ12" s="333"/>
      <c r="AR12" s="3922">
        <v>0</v>
      </c>
      <c r="AS12" s="333"/>
      <c r="AT12" s="3922">
        <v>0</v>
      </c>
      <c r="AU12" s="333"/>
      <c r="AV12" s="3922">
        <v>0</v>
      </c>
      <c r="AW12" s="333"/>
      <c r="AX12" s="3922">
        <v>0</v>
      </c>
      <c r="AY12" s="333"/>
      <c r="AZ12" s="3922">
        <v>0</v>
      </c>
      <c r="BA12" s="333"/>
      <c r="BB12" s="3922">
        <v>0</v>
      </c>
      <c r="BC12" s="333"/>
      <c r="BD12" s="3922">
        <v>0</v>
      </c>
      <c r="BE12" s="333"/>
      <c r="BF12" s="3922">
        <f>AB12+AD12</f>
        <v>52</v>
      </c>
      <c r="BG12" s="333"/>
      <c r="BH12" s="3906"/>
      <c r="BI12" s="3809"/>
      <c r="BJ12" s="334"/>
      <c r="BK12" s="335"/>
      <c r="BL12" s="335"/>
      <c r="BM12" s="3920"/>
      <c r="BN12" s="3906">
        <v>43466</v>
      </c>
      <c r="BO12" s="336"/>
      <c r="BP12" s="3906">
        <v>43830</v>
      </c>
      <c r="BQ12" s="336"/>
      <c r="BR12" s="3908" t="s">
        <v>215</v>
      </c>
    </row>
    <row r="13" spans="1:70" s="337" customFormat="1" ht="48.75" customHeight="1" x14ac:dyDescent="0.2">
      <c r="A13" s="322"/>
      <c r="B13" s="323"/>
      <c r="C13" s="324"/>
      <c r="D13" s="325"/>
      <c r="E13" s="326"/>
      <c r="F13" s="327"/>
      <c r="G13" s="3932"/>
      <c r="H13" s="3952"/>
      <c r="I13" s="3953"/>
      <c r="J13" s="3913"/>
      <c r="K13" s="3929"/>
      <c r="L13" s="3929"/>
      <c r="M13" s="3913"/>
      <c r="N13" s="3913"/>
      <c r="O13" s="3932"/>
      <c r="P13" s="3932"/>
      <c r="Q13" s="3929"/>
      <c r="R13" s="3983"/>
      <c r="S13" s="3927"/>
      <c r="T13" s="3929"/>
      <c r="U13" s="3929"/>
      <c r="V13" s="3929"/>
      <c r="W13" s="328">
        <v>1075686973</v>
      </c>
      <c r="X13" s="329"/>
      <c r="Y13" s="329"/>
      <c r="Z13" s="330">
        <v>83</v>
      </c>
      <c r="AA13" s="331" t="s">
        <v>216</v>
      </c>
      <c r="AB13" s="3932"/>
      <c r="AC13" s="338"/>
      <c r="AD13" s="3932"/>
      <c r="AE13" s="338"/>
      <c r="AF13" s="3923"/>
      <c r="AG13" s="339"/>
      <c r="AH13" s="3923"/>
      <c r="AI13" s="339"/>
      <c r="AJ13" s="3923"/>
      <c r="AK13" s="339"/>
      <c r="AL13" s="3923"/>
      <c r="AM13" s="339"/>
      <c r="AN13" s="3923"/>
      <c r="AO13" s="339"/>
      <c r="AP13" s="3923"/>
      <c r="AQ13" s="339"/>
      <c r="AR13" s="3923"/>
      <c r="AS13" s="339"/>
      <c r="AT13" s="3923"/>
      <c r="AU13" s="339"/>
      <c r="AV13" s="3923"/>
      <c r="AW13" s="339"/>
      <c r="AX13" s="3923"/>
      <c r="AY13" s="339"/>
      <c r="AZ13" s="3923"/>
      <c r="BA13" s="339"/>
      <c r="BB13" s="3923"/>
      <c r="BC13" s="339"/>
      <c r="BD13" s="3923"/>
      <c r="BE13" s="339"/>
      <c r="BF13" s="3923"/>
      <c r="BG13" s="339"/>
      <c r="BH13" s="3907"/>
      <c r="BI13" s="3810"/>
      <c r="BJ13" s="340"/>
      <c r="BK13" s="341"/>
      <c r="BL13" s="341"/>
      <c r="BM13" s="3921"/>
      <c r="BN13" s="3907"/>
      <c r="BO13" s="342"/>
      <c r="BP13" s="3907"/>
      <c r="BQ13" s="342"/>
      <c r="BR13" s="3909"/>
    </row>
    <row r="14" spans="1:70" s="337" customFormat="1" ht="63" customHeight="1" x14ac:dyDescent="0.2">
      <c r="A14" s="322"/>
      <c r="B14" s="323"/>
      <c r="C14" s="324"/>
      <c r="D14" s="325"/>
      <c r="E14" s="326"/>
      <c r="F14" s="327"/>
      <c r="G14" s="3932"/>
      <c r="H14" s="3952"/>
      <c r="I14" s="3953"/>
      <c r="J14" s="3934"/>
      <c r="K14" s="3943"/>
      <c r="L14" s="3943"/>
      <c r="M14" s="3934"/>
      <c r="N14" s="3934"/>
      <c r="O14" s="3946"/>
      <c r="P14" s="3946"/>
      <c r="Q14" s="3943"/>
      <c r="R14" s="3984"/>
      <c r="S14" s="3947"/>
      <c r="T14" s="3943"/>
      <c r="U14" s="3945"/>
      <c r="V14" s="343" t="s">
        <v>217</v>
      </c>
      <c r="W14" s="344">
        <f>694363</f>
        <v>694363</v>
      </c>
      <c r="X14" s="329"/>
      <c r="Y14" s="329"/>
      <c r="Z14" s="330">
        <v>33</v>
      </c>
      <c r="AA14" s="331" t="s">
        <v>214</v>
      </c>
      <c r="AB14" s="3946"/>
      <c r="AC14" s="345"/>
      <c r="AD14" s="3946"/>
      <c r="AE14" s="345"/>
      <c r="AF14" s="3944"/>
      <c r="AG14" s="346"/>
      <c r="AH14" s="3944"/>
      <c r="AI14" s="346"/>
      <c r="AJ14" s="3944"/>
      <c r="AK14" s="346"/>
      <c r="AL14" s="3944"/>
      <c r="AM14" s="346"/>
      <c r="AN14" s="3944"/>
      <c r="AO14" s="346"/>
      <c r="AP14" s="3944"/>
      <c r="AQ14" s="346"/>
      <c r="AR14" s="3944"/>
      <c r="AS14" s="346"/>
      <c r="AT14" s="3944"/>
      <c r="AU14" s="346"/>
      <c r="AV14" s="3944"/>
      <c r="AW14" s="346"/>
      <c r="AX14" s="3944"/>
      <c r="AY14" s="346"/>
      <c r="AZ14" s="3944"/>
      <c r="BA14" s="346"/>
      <c r="BB14" s="3944"/>
      <c r="BC14" s="346"/>
      <c r="BD14" s="3944"/>
      <c r="BE14" s="346"/>
      <c r="BF14" s="3944"/>
      <c r="BG14" s="346"/>
      <c r="BH14" s="3964"/>
      <c r="BI14" s="3811"/>
      <c r="BJ14" s="347"/>
      <c r="BK14" s="348"/>
      <c r="BL14" s="348"/>
      <c r="BM14" s="3966"/>
      <c r="BN14" s="3964"/>
      <c r="BO14" s="349"/>
      <c r="BP14" s="3964"/>
      <c r="BQ14" s="349"/>
      <c r="BR14" s="3965"/>
    </row>
    <row r="15" spans="1:70" s="337" customFormat="1" ht="39" customHeight="1" x14ac:dyDescent="0.2">
      <c r="A15" s="322"/>
      <c r="B15" s="323"/>
      <c r="C15" s="324"/>
      <c r="D15" s="325"/>
      <c r="E15" s="326"/>
      <c r="F15" s="327"/>
      <c r="G15" s="3932"/>
      <c r="H15" s="3952"/>
      <c r="I15" s="3953"/>
      <c r="J15" s="3912">
        <v>114</v>
      </c>
      <c r="K15" s="3914" t="s">
        <v>218</v>
      </c>
      <c r="L15" s="3928" t="s">
        <v>219</v>
      </c>
      <c r="M15" s="3912">
        <v>30</v>
      </c>
      <c r="N15" s="3912">
        <v>29</v>
      </c>
      <c r="O15" s="3931" t="s">
        <v>220</v>
      </c>
      <c r="P15" s="3931">
        <v>46</v>
      </c>
      <c r="Q15" s="3928" t="s">
        <v>221</v>
      </c>
      <c r="R15" s="3982">
        <f>SUM(W15:W18)/S15</f>
        <v>0.46737569540763191</v>
      </c>
      <c r="S15" s="3994">
        <f>SUM(W15:W26)</f>
        <v>3213783215</v>
      </c>
      <c r="T15" s="3928" t="s">
        <v>222</v>
      </c>
      <c r="U15" s="3985" t="s">
        <v>223</v>
      </c>
      <c r="V15" s="343" t="s">
        <v>224</v>
      </c>
      <c r="W15" s="350">
        <f>543106000-185044900-1199868-25208999</f>
        <v>331652233</v>
      </c>
      <c r="X15" s="351">
        <v>311652233</v>
      </c>
      <c r="Y15" s="351">
        <f>39407000-14332000+1791000+2798000+2798000+1791000+1791000+1791000+1791000+1671600+1569000+1791000+1791000+1791000+2798000+2798000+1791000+1791000+1791000+1791000+1791000+36828000+51541500+31044000+40410000</f>
        <v>222614100</v>
      </c>
      <c r="Z15" s="352">
        <v>20</v>
      </c>
      <c r="AA15" s="331" t="s">
        <v>124</v>
      </c>
      <c r="AB15" s="3931">
        <v>85275</v>
      </c>
      <c r="AC15" s="3931">
        <v>3210</v>
      </c>
      <c r="AD15" s="3931">
        <v>85275</v>
      </c>
      <c r="AE15" s="3931">
        <v>2174</v>
      </c>
      <c r="AF15" s="3922">
        <v>25580</v>
      </c>
      <c r="AG15" s="3922">
        <f>615+3142</f>
        <v>3757</v>
      </c>
      <c r="AH15" s="3931">
        <v>42638</v>
      </c>
      <c r="AI15" s="3922">
        <v>726</v>
      </c>
      <c r="AJ15" s="3931">
        <v>68221</v>
      </c>
      <c r="AK15" s="3922">
        <v>399</v>
      </c>
      <c r="AL15" s="3931">
        <v>17055</v>
      </c>
      <c r="AM15" s="3922">
        <v>502</v>
      </c>
      <c r="AN15" s="3931">
        <v>8528</v>
      </c>
      <c r="AO15" s="3922">
        <f>2+21</f>
        <v>23</v>
      </c>
      <c r="AP15" s="3931">
        <v>8527.5</v>
      </c>
      <c r="AQ15" s="3922">
        <f>14+15+12+31+14+15+12+30+1</f>
        <v>144</v>
      </c>
      <c r="AR15" s="3922"/>
      <c r="AS15" s="3922"/>
      <c r="AT15" s="3922"/>
      <c r="AU15" s="3922"/>
      <c r="AV15" s="3922"/>
      <c r="AW15" s="3922"/>
      <c r="AX15" s="3922"/>
      <c r="AY15" s="3922"/>
      <c r="AZ15" s="3922"/>
      <c r="BA15" s="3922">
        <f>6+36+5+16+3+4+1+4+2+2+2</f>
        <v>81</v>
      </c>
      <c r="BB15" s="3691"/>
      <c r="BC15" s="3922">
        <f>120+4+2</f>
        <v>126</v>
      </c>
      <c r="BD15" s="3922"/>
      <c r="BE15" s="3922"/>
      <c r="BF15" s="3931">
        <f>AB15+AD15</f>
        <v>170550</v>
      </c>
      <c r="BG15" s="3922">
        <f>AG15+AI15+AK15+AM15</f>
        <v>5384</v>
      </c>
      <c r="BH15" s="3924">
        <f>28+1+3+6+1+5+65</f>
        <v>109</v>
      </c>
      <c r="BI15" s="3809">
        <f>SUM(X15:X26)</f>
        <v>2903924644.9700003</v>
      </c>
      <c r="BJ15" s="3809">
        <f>Y15+Y16+Y18+Y19+Y20+Y21+Y23+Y24+Y26+Y22+Y17+Y25</f>
        <v>1450648828.5999999</v>
      </c>
      <c r="BK15" s="3978">
        <f>BJ15/BI15</f>
        <v>0.49954768320614812</v>
      </c>
      <c r="BL15" s="3924" t="s">
        <v>225</v>
      </c>
      <c r="BM15" s="3928" t="s">
        <v>226</v>
      </c>
      <c r="BN15" s="3935">
        <v>43466</v>
      </c>
      <c r="BO15" s="3935">
        <v>43482</v>
      </c>
      <c r="BP15" s="3935">
        <v>43830</v>
      </c>
      <c r="BQ15" s="3935">
        <v>43812</v>
      </c>
      <c r="BR15" s="3940" t="s">
        <v>227</v>
      </c>
    </row>
    <row r="16" spans="1:70" s="337" customFormat="1" ht="27" customHeight="1" x14ac:dyDescent="0.2">
      <c r="A16" s="322"/>
      <c r="B16" s="323"/>
      <c r="C16" s="324"/>
      <c r="D16" s="325"/>
      <c r="E16" s="326"/>
      <c r="F16" s="327"/>
      <c r="G16" s="3932"/>
      <c r="H16" s="3952"/>
      <c r="I16" s="3953"/>
      <c r="J16" s="3913"/>
      <c r="K16" s="3915"/>
      <c r="L16" s="3929"/>
      <c r="M16" s="3913"/>
      <c r="N16" s="3913"/>
      <c r="O16" s="3932"/>
      <c r="P16" s="3932"/>
      <c r="Q16" s="3929"/>
      <c r="R16" s="3983"/>
      <c r="S16" s="3995"/>
      <c r="T16" s="3929"/>
      <c r="U16" s="3915"/>
      <c r="V16" s="3977" t="s">
        <v>228</v>
      </c>
      <c r="W16" s="351">
        <f>457100000+195470065+1199868+25208999</f>
        <v>678978932</v>
      </c>
      <c r="X16" s="351">
        <v>646605933</v>
      </c>
      <c r="Y16" s="351">
        <f>7166000+3583000+3583000+3583000+118016769.24+154582856.24</f>
        <v>290514625.48000002</v>
      </c>
      <c r="Z16" s="353">
        <v>20</v>
      </c>
      <c r="AA16" s="343" t="s">
        <v>124</v>
      </c>
      <c r="AB16" s="3932"/>
      <c r="AC16" s="3932"/>
      <c r="AD16" s="3932"/>
      <c r="AE16" s="3932"/>
      <c r="AF16" s="3923"/>
      <c r="AG16" s="3923"/>
      <c r="AH16" s="3932"/>
      <c r="AI16" s="3923"/>
      <c r="AJ16" s="3932"/>
      <c r="AK16" s="3923"/>
      <c r="AL16" s="3932"/>
      <c r="AM16" s="3923"/>
      <c r="AN16" s="3932"/>
      <c r="AO16" s="3923"/>
      <c r="AP16" s="3932"/>
      <c r="AQ16" s="3923"/>
      <c r="AR16" s="3923"/>
      <c r="AS16" s="3923"/>
      <c r="AT16" s="3923"/>
      <c r="AU16" s="3923"/>
      <c r="AV16" s="3923"/>
      <c r="AW16" s="3923"/>
      <c r="AX16" s="3923"/>
      <c r="AY16" s="3923"/>
      <c r="AZ16" s="3923"/>
      <c r="BA16" s="3923"/>
      <c r="BB16" s="3712"/>
      <c r="BC16" s="3923"/>
      <c r="BD16" s="3923"/>
      <c r="BE16" s="3923"/>
      <c r="BF16" s="3932"/>
      <c r="BG16" s="3932"/>
      <c r="BH16" s="3925"/>
      <c r="BI16" s="3810"/>
      <c r="BJ16" s="3810"/>
      <c r="BK16" s="3979"/>
      <c r="BL16" s="3925"/>
      <c r="BM16" s="3929"/>
      <c r="BN16" s="3936"/>
      <c r="BO16" s="3938"/>
      <c r="BP16" s="3936"/>
      <c r="BQ16" s="3936"/>
      <c r="BR16" s="3941"/>
    </row>
    <row r="17" spans="1:70" s="337" customFormat="1" ht="30" customHeight="1" x14ac:dyDescent="0.2">
      <c r="A17" s="322"/>
      <c r="B17" s="323"/>
      <c r="C17" s="324"/>
      <c r="D17" s="325"/>
      <c r="E17" s="326"/>
      <c r="F17" s="327"/>
      <c r="G17" s="3932"/>
      <c r="H17" s="3952"/>
      <c r="I17" s="3953"/>
      <c r="J17" s="3913"/>
      <c r="K17" s="3915"/>
      <c r="L17" s="3929"/>
      <c r="M17" s="3913"/>
      <c r="N17" s="3913"/>
      <c r="O17" s="3932"/>
      <c r="P17" s="3932"/>
      <c r="Q17" s="3929"/>
      <c r="R17" s="3983"/>
      <c r="S17" s="3995"/>
      <c r="T17" s="3929"/>
      <c r="U17" s="3915"/>
      <c r="V17" s="3961"/>
      <c r="W17" s="351">
        <v>400000000</v>
      </c>
      <c r="X17" s="351">
        <v>400000000</v>
      </c>
      <c r="Y17" s="351">
        <f>104040000+63800000</f>
        <v>167840000</v>
      </c>
      <c r="Z17" s="354">
        <v>88</v>
      </c>
      <c r="AA17" s="355" t="s">
        <v>76</v>
      </c>
      <c r="AB17" s="3932"/>
      <c r="AC17" s="3932"/>
      <c r="AD17" s="3932"/>
      <c r="AE17" s="3932"/>
      <c r="AF17" s="3923"/>
      <c r="AG17" s="3923"/>
      <c r="AH17" s="3932"/>
      <c r="AI17" s="3923"/>
      <c r="AJ17" s="3932"/>
      <c r="AK17" s="3923"/>
      <c r="AL17" s="3932"/>
      <c r="AM17" s="3923"/>
      <c r="AN17" s="3932"/>
      <c r="AO17" s="3923"/>
      <c r="AP17" s="3932"/>
      <c r="AQ17" s="3923"/>
      <c r="AR17" s="3923"/>
      <c r="AS17" s="3923"/>
      <c r="AT17" s="3923"/>
      <c r="AU17" s="3923"/>
      <c r="AV17" s="3923"/>
      <c r="AW17" s="3923"/>
      <c r="AX17" s="3923"/>
      <c r="AY17" s="3923"/>
      <c r="AZ17" s="3923"/>
      <c r="BA17" s="3923"/>
      <c r="BB17" s="3712"/>
      <c r="BC17" s="3923"/>
      <c r="BD17" s="3923"/>
      <c r="BE17" s="3923"/>
      <c r="BF17" s="3932"/>
      <c r="BG17" s="3932"/>
      <c r="BH17" s="3925"/>
      <c r="BI17" s="3810"/>
      <c r="BJ17" s="3810"/>
      <c r="BK17" s="3979"/>
      <c r="BL17" s="3925"/>
      <c r="BM17" s="3929"/>
      <c r="BN17" s="3936"/>
      <c r="BO17" s="3938"/>
      <c r="BP17" s="3936"/>
      <c r="BQ17" s="3936"/>
      <c r="BR17" s="3941"/>
    </row>
    <row r="18" spans="1:70" s="337" customFormat="1" ht="44.25" customHeight="1" x14ac:dyDescent="0.2">
      <c r="A18" s="322"/>
      <c r="B18" s="323"/>
      <c r="C18" s="324"/>
      <c r="D18" s="325"/>
      <c r="E18" s="326"/>
      <c r="F18" s="327"/>
      <c r="G18" s="3932"/>
      <c r="H18" s="3952"/>
      <c r="I18" s="3953"/>
      <c r="J18" s="3934"/>
      <c r="K18" s="3960"/>
      <c r="L18" s="3943"/>
      <c r="M18" s="3934"/>
      <c r="N18" s="3934"/>
      <c r="O18" s="3932"/>
      <c r="P18" s="3932"/>
      <c r="Q18" s="3929"/>
      <c r="R18" s="3984"/>
      <c r="S18" s="3995"/>
      <c r="T18" s="3929"/>
      <c r="U18" s="3960"/>
      <c r="V18" s="356" t="s">
        <v>229</v>
      </c>
      <c r="W18" s="351">
        <f>101838165-10425165</f>
        <v>91413000</v>
      </c>
      <c r="X18" s="351">
        <v>91413000</v>
      </c>
      <c r="Y18" s="351">
        <f>7166000+3583000+3583000+3583000+3583000+3583000+3583000+11066000+3900000</f>
        <v>43630000</v>
      </c>
      <c r="Z18" s="357">
        <v>20</v>
      </c>
      <c r="AA18" s="358" t="s">
        <v>124</v>
      </c>
      <c r="AB18" s="3932"/>
      <c r="AC18" s="3932"/>
      <c r="AD18" s="3932"/>
      <c r="AE18" s="3932"/>
      <c r="AF18" s="3923"/>
      <c r="AG18" s="3923"/>
      <c r="AH18" s="3932"/>
      <c r="AI18" s="3923"/>
      <c r="AJ18" s="3932"/>
      <c r="AK18" s="3923"/>
      <c r="AL18" s="3932"/>
      <c r="AM18" s="3923"/>
      <c r="AN18" s="3932"/>
      <c r="AO18" s="3923"/>
      <c r="AP18" s="3932"/>
      <c r="AQ18" s="3923"/>
      <c r="AR18" s="3923"/>
      <c r="AS18" s="3923"/>
      <c r="AT18" s="3923"/>
      <c r="AU18" s="3923"/>
      <c r="AV18" s="3923"/>
      <c r="AW18" s="3923"/>
      <c r="AX18" s="3923"/>
      <c r="AY18" s="3923"/>
      <c r="AZ18" s="3923"/>
      <c r="BA18" s="3923"/>
      <c r="BB18" s="3712"/>
      <c r="BC18" s="3923"/>
      <c r="BD18" s="3923"/>
      <c r="BE18" s="3923"/>
      <c r="BF18" s="3932"/>
      <c r="BG18" s="3932"/>
      <c r="BH18" s="3925"/>
      <c r="BI18" s="3810"/>
      <c r="BJ18" s="3810"/>
      <c r="BK18" s="3979"/>
      <c r="BL18" s="3925"/>
      <c r="BM18" s="3929"/>
      <c r="BN18" s="3936"/>
      <c r="BO18" s="3938"/>
      <c r="BP18" s="3936"/>
      <c r="BQ18" s="3936"/>
      <c r="BR18" s="3941"/>
    </row>
    <row r="19" spans="1:70" s="337" customFormat="1" ht="44.25" customHeight="1" x14ac:dyDescent="0.2">
      <c r="A19" s="322"/>
      <c r="B19" s="323"/>
      <c r="C19" s="324"/>
      <c r="D19" s="325"/>
      <c r="E19" s="326"/>
      <c r="F19" s="327"/>
      <c r="G19" s="3932"/>
      <c r="H19" s="3952"/>
      <c r="I19" s="3953"/>
      <c r="J19" s="3912">
        <v>115</v>
      </c>
      <c r="K19" s="3914" t="s">
        <v>230</v>
      </c>
      <c r="L19" s="3928" t="s">
        <v>219</v>
      </c>
      <c r="M19" s="3912">
        <v>34</v>
      </c>
      <c r="N19" s="3912">
        <v>55</v>
      </c>
      <c r="O19" s="3932" t="s">
        <v>231</v>
      </c>
      <c r="P19" s="3932"/>
      <c r="Q19" s="3929"/>
      <c r="R19" s="3982">
        <f>SUM(W19:W22)/S15</f>
        <v>0.45757094508939988</v>
      </c>
      <c r="S19" s="3995"/>
      <c r="T19" s="3929"/>
      <c r="U19" s="3914" t="s">
        <v>232</v>
      </c>
      <c r="V19" s="356" t="s">
        <v>233</v>
      </c>
      <c r="W19" s="350">
        <f>867953723*11%-33504910+621800</f>
        <v>62591799.530000001</v>
      </c>
      <c r="X19" s="351">
        <v>39027033</v>
      </c>
      <c r="Y19" s="351">
        <f>2798000+2798000+2798000+2798000+2798000+2798000+2798000+3583000</f>
        <v>23169000</v>
      </c>
      <c r="Z19" s="352">
        <v>39</v>
      </c>
      <c r="AA19" s="331" t="s">
        <v>234</v>
      </c>
      <c r="AB19" s="3932"/>
      <c r="AC19" s="3932"/>
      <c r="AD19" s="3932"/>
      <c r="AE19" s="3932"/>
      <c r="AF19" s="3923"/>
      <c r="AG19" s="3923"/>
      <c r="AH19" s="3932"/>
      <c r="AI19" s="3923"/>
      <c r="AJ19" s="3932"/>
      <c r="AK19" s="3923"/>
      <c r="AL19" s="3932"/>
      <c r="AM19" s="3923"/>
      <c r="AN19" s="3932"/>
      <c r="AO19" s="3923"/>
      <c r="AP19" s="3932"/>
      <c r="AQ19" s="3923"/>
      <c r="AR19" s="3923"/>
      <c r="AS19" s="3923"/>
      <c r="AT19" s="3923"/>
      <c r="AU19" s="3923"/>
      <c r="AV19" s="3923"/>
      <c r="AW19" s="3923"/>
      <c r="AX19" s="3923"/>
      <c r="AY19" s="3923"/>
      <c r="AZ19" s="3923"/>
      <c r="BA19" s="3923"/>
      <c r="BB19" s="3712"/>
      <c r="BC19" s="3923"/>
      <c r="BD19" s="3923"/>
      <c r="BE19" s="3923"/>
      <c r="BF19" s="3932"/>
      <c r="BG19" s="3932"/>
      <c r="BH19" s="3925"/>
      <c r="BI19" s="3810"/>
      <c r="BJ19" s="3810"/>
      <c r="BK19" s="3979"/>
      <c r="BL19" s="3925"/>
      <c r="BM19" s="3929"/>
      <c r="BN19" s="3936"/>
      <c r="BO19" s="3938"/>
      <c r="BP19" s="3936"/>
      <c r="BQ19" s="3936"/>
      <c r="BR19" s="3941"/>
    </row>
    <row r="20" spans="1:70" s="337" customFormat="1" ht="44.25" customHeight="1" x14ac:dyDescent="0.2">
      <c r="A20" s="322"/>
      <c r="B20" s="323"/>
      <c r="C20" s="324"/>
      <c r="D20" s="325"/>
      <c r="E20" s="326"/>
      <c r="F20" s="327"/>
      <c r="G20" s="3932"/>
      <c r="H20" s="3952"/>
      <c r="I20" s="3953"/>
      <c r="J20" s="3913"/>
      <c r="K20" s="3915"/>
      <c r="L20" s="3929"/>
      <c r="M20" s="3913"/>
      <c r="N20" s="3913"/>
      <c r="O20" s="3932"/>
      <c r="P20" s="3932"/>
      <c r="Q20" s="3929"/>
      <c r="R20" s="3983"/>
      <c r="S20" s="3995"/>
      <c r="T20" s="3929"/>
      <c r="U20" s="3915"/>
      <c r="V20" s="356" t="s">
        <v>235</v>
      </c>
      <c r="W20" s="351">
        <f>867953723*4%+33504910+56122942+7965008.08</f>
        <v>132311009</v>
      </c>
      <c r="X20" s="351">
        <v>132288743</v>
      </c>
      <c r="Y20" s="351">
        <f>6381000+3583000+2798000+2798000+3583000+3583000+3583000+1621000+2798000+1791000+3583000+1791000+2798000+3583000+2798000+3583000+2798000+1791000</f>
        <v>55244000</v>
      </c>
      <c r="Z20" s="352">
        <v>39</v>
      </c>
      <c r="AA20" s="331" t="s">
        <v>234</v>
      </c>
      <c r="AB20" s="3932"/>
      <c r="AC20" s="3932"/>
      <c r="AD20" s="3932"/>
      <c r="AE20" s="3932"/>
      <c r="AF20" s="3923"/>
      <c r="AG20" s="3923"/>
      <c r="AH20" s="3932"/>
      <c r="AI20" s="3923"/>
      <c r="AJ20" s="3932"/>
      <c r="AK20" s="3923"/>
      <c r="AL20" s="3932"/>
      <c r="AM20" s="3923"/>
      <c r="AN20" s="3932"/>
      <c r="AO20" s="3923"/>
      <c r="AP20" s="3932"/>
      <c r="AQ20" s="3923"/>
      <c r="AR20" s="3923"/>
      <c r="AS20" s="3923"/>
      <c r="AT20" s="3923"/>
      <c r="AU20" s="3923"/>
      <c r="AV20" s="3923"/>
      <c r="AW20" s="3923"/>
      <c r="AX20" s="3923"/>
      <c r="AY20" s="3923"/>
      <c r="AZ20" s="3923"/>
      <c r="BA20" s="3923"/>
      <c r="BB20" s="3712"/>
      <c r="BC20" s="3923"/>
      <c r="BD20" s="3923"/>
      <c r="BE20" s="3923"/>
      <c r="BF20" s="3932"/>
      <c r="BG20" s="3932"/>
      <c r="BH20" s="3925"/>
      <c r="BI20" s="3810"/>
      <c r="BJ20" s="3810"/>
      <c r="BK20" s="3979"/>
      <c r="BL20" s="3925"/>
      <c r="BM20" s="3929"/>
      <c r="BN20" s="3936"/>
      <c r="BO20" s="3938"/>
      <c r="BP20" s="3936"/>
      <c r="BQ20" s="3936"/>
      <c r="BR20" s="3941"/>
    </row>
    <row r="21" spans="1:70" s="337" customFormat="1" ht="44.25" customHeight="1" x14ac:dyDescent="0.2">
      <c r="A21" s="322"/>
      <c r="B21" s="323"/>
      <c r="C21" s="324"/>
      <c r="D21" s="325"/>
      <c r="E21" s="326"/>
      <c r="F21" s="327"/>
      <c r="G21" s="3932"/>
      <c r="H21" s="3952"/>
      <c r="I21" s="3953"/>
      <c r="J21" s="3913"/>
      <c r="K21" s="3915"/>
      <c r="L21" s="3929"/>
      <c r="M21" s="3913"/>
      <c r="N21" s="3913"/>
      <c r="O21" s="3932"/>
      <c r="P21" s="3932"/>
      <c r="Q21" s="3929"/>
      <c r="R21" s="3983"/>
      <c r="S21" s="3995"/>
      <c r="T21" s="3929"/>
      <c r="U21" s="3915"/>
      <c r="V21" s="3981" t="s">
        <v>236</v>
      </c>
      <c r="W21" s="351">
        <f>867953723*85%-56122942-621800-7965008.08</f>
        <v>673050914.46999991</v>
      </c>
      <c r="X21" s="351">
        <v>455667375.97000003</v>
      </c>
      <c r="Y21" s="351">
        <f>4787037.04+28671296.31+91461551.6+104801571.54</f>
        <v>229721456.49000001</v>
      </c>
      <c r="Z21" s="352">
        <v>39</v>
      </c>
      <c r="AA21" s="331" t="s">
        <v>234</v>
      </c>
      <c r="AB21" s="3932"/>
      <c r="AC21" s="3932"/>
      <c r="AD21" s="3932"/>
      <c r="AE21" s="3932"/>
      <c r="AF21" s="3923"/>
      <c r="AG21" s="3923"/>
      <c r="AH21" s="3932"/>
      <c r="AI21" s="3923"/>
      <c r="AJ21" s="3932"/>
      <c r="AK21" s="3923"/>
      <c r="AL21" s="3932"/>
      <c r="AM21" s="3923"/>
      <c r="AN21" s="3932"/>
      <c r="AO21" s="3923"/>
      <c r="AP21" s="3932"/>
      <c r="AQ21" s="3923"/>
      <c r="AR21" s="3923"/>
      <c r="AS21" s="3923"/>
      <c r="AT21" s="3923"/>
      <c r="AU21" s="3923"/>
      <c r="AV21" s="3923"/>
      <c r="AW21" s="3923"/>
      <c r="AX21" s="3923"/>
      <c r="AY21" s="3923"/>
      <c r="AZ21" s="3923"/>
      <c r="BA21" s="3923"/>
      <c r="BB21" s="3712"/>
      <c r="BC21" s="3923"/>
      <c r="BD21" s="3923"/>
      <c r="BE21" s="3923"/>
      <c r="BF21" s="3932"/>
      <c r="BG21" s="3932"/>
      <c r="BH21" s="3925"/>
      <c r="BI21" s="3810"/>
      <c r="BJ21" s="3810"/>
      <c r="BK21" s="3979"/>
      <c r="BL21" s="3925"/>
      <c r="BM21" s="3929"/>
      <c r="BN21" s="3936"/>
      <c r="BO21" s="3938"/>
      <c r="BP21" s="3936"/>
      <c r="BQ21" s="3936"/>
      <c r="BR21" s="3941"/>
    </row>
    <row r="22" spans="1:70" s="337" customFormat="1" ht="36.75" customHeight="1" x14ac:dyDescent="0.2">
      <c r="A22" s="322"/>
      <c r="B22" s="323"/>
      <c r="C22" s="324"/>
      <c r="D22" s="325"/>
      <c r="E22" s="326"/>
      <c r="F22" s="327"/>
      <c r="G22" s="3932"/>
      <c r="H22" s="3952"/>
      <c r="I22" s="3953"/>
      <c r="J22" s="3934"/>
      <c r="K22" s="3960"/>
      <c r="L22" s="3929"/>
      <c r="M22" s="3934"/>
      <c r="N22" s="3934"/>
      <c r="O22" s="3932"/>
      <c r="P22" s="3932"/>
      <c r="Q22" s="3929"/>
      <c r="R22" s="3984"/>
      <c r="S22" s="3995"/>
      <c r="T22" s="3929"/>
      <c r="U22" s="3960"/>
      <c r="V22" s="3911"/>
      <c r="W22" s="351">
        <f>0+602580100</f>
        <v>602580100</v>
      </c>
      <c r="X22" s="351">
        <v>602580100</v>
      </c>
      <c r="Y22" s="351">
        <f>198092470.71+64604175.92</f>
        <v>262696646.63</v>
      </c>
      <c r="Z22" s="354">
        <v>83</v>
      </c>
      <c r="AA22" s="355" t="s">
        <v>237</v>
      </c>
      <c r="AB22" s="3932"/>
      <c r="AC22" s="3932"/>
      <c r="AD22" s="3932"/>
      <c r="AE22" s="3932"/>
      <c r="AF22" s="3923"/>
      <c r="AG22" s="3923"/>
      <c r="AH22" s="3932"/>
      <c r="AI22" s="3923"/>
      <c r="AJ22" s="3932"/>
      <c r="AK22" s="3923"/>
      <c r="AL22" s="3932"/>
      <c r="AM22" s="3923"/>
      <c r="AN22" s="3932"/>
      <c r="AO22" s="3923"/>
      <c r="AP22" s="3932"/>
      <c r="AQ22" s="3923"/>
      <c r="AR22" s="3923"/>
      <c r="AS22" s="3923"/>
      <c r="AT22" s="3923"/>
      <c r="AU22" s="3923"/>
      <c r="AV22" s="3923"/>
      <c r="AW22" s="3923"/>
      <c r="AX22" s="3923"/>
      <c r="AY22" s="3923"/>
      <c r="AZ22" s="3923"/>
      <c r="BA22" s="3923"/>
      <c r="BB22" s="3712"/>
      <c r="BC22" s="3923"/>
      <c r="BD22" s="3923"/>
      <c r="BE22" s="3923"/>
      <c r="BF22" s="3932"/>
      <c r="BG22" s="3932"/>
      <c r="BH22" s="3925"/>
      <c r="BI22" s="3810"/>
      <c r="BJ22" s="3810"/>
      <c r="BK22" s="3979"/>
      <c r="BL22" s="3925"/>
      <c r="BM22" s="3929"/>
      <c r="BN22" s="3936"/>
      <c r="BO22" s="3938"/>
      <c r="BP22" s="3936"/>
      <c r="BQ22" s="3936"/>
      <c r="BR22" s="3941"/>
    </row>
    <row r="23" spans="1:70" s="360" customFormat="1" ht="49.5" customHeight="1" x14ac:dyDescent="0.2">
      <c r="A23" s="322"/>
      <c r="B23" s="323"/>
      <c r="C23" s="324"/>
      <c r="D23" s="325"/>
      <c r="E23" s="326"/>
      <c r="F23" s="327"/>
      <c r="G23" s="3932"/>
      <c r="H23" s="3952"/>
      <c r="I23" s="3953"/>
      <c r="J23" s="3912">
        <v>116</v>
      </c>
      <c r="K23" s="3914" t="s">
        <v>238</v>
      </c>
      <c r="L23" s="3973" t="s">
        <v>219</v>
      </c>
      <c r="M23" s="3912">
        <v>10</v>
      </c>
      <c r="N23" s="3912">
        <v>14</v>
      </c>
      <c r="O23" s="3932" t="s">
        <v>239</v>
      </c>
      <c r="P23" s="3932"/>
      <c r="Q23" s="3929"/>
      <c r="R23" s="3982">
        <f>SUM(W23:W26)/S15</f>
        <v>7.5053359502968223E-2</v>
      </c>
      <c r="S23" s="3995"/>
      <c r="T23" s="3929"/>
      <c r="U23" s="3914" t="s">
        <v>240</v>
      </c>
      <c r="V23" s="359" t="s">
        <v>233</v>
      </c>
      <c r="W23" s="350">
        <f>13887260+19454056+15026684-1074900</f>
        <v>47293100</v>
      </c>
      <c r="X23" s="351">
        <v>47293100</v>
      </c>
      <c r="Y23" s="351">
        <f>10748000+5374000+5374000+5374000+3583000+3583000+3583000</f>
        <v>37619000</v>
      </c>
      <c r="Z23" s="357">
        <v>41</v>
      </c>
      <c r="AA23" s="358" t="s">
        <v>241</v>
      </c>
      <c r="AB23" s="3932"/>
      <c r="AC23" s="3932"/>
      <c r="AD23" s="3932"/>
      <c r="AE23" s="3932"/>
      <c r="AF23" s="3923"/>
      <c r="AG23" s="3923"/>
      <c r="AH23" s="3932"/>
      <c r="AI23" s="3923"/>
      <c r="AJ23" s="3932"/>
      <c r="AK23" s="3923"/>
      <c r="AL23" s="3932"/>
      <c r="AM23" s="3923"/>
      <c r="AN23" s="3932"/>
      <c r="AO23" s="3923"/>
      <c r="AP23" s="3932"/>
      <c r="AQ23" s="3923"/>
      <c r="AR23" s="3923"/>
      <c r="AS23" s="3923"/>
      <c r="AT23" s="3923"/>
      <c r="AU23" s="3923"/>
      <c r="AV23" s="3923"/>
      <c r="AW23" s="3923"/>
      <c r="AX23" s="3923"/>
      <c r="AY23" s="3923"/>
      <c r="AZ23" s="3923"/>
      <c r="BA23" s="3923"/>
      <c r="BB23" s="3712"/>
      <c r="BC23" s="3923"/>
      <c r="BD23" s="3923"/>
      <c r="BE23" s="3923"/>
      <c r="BF23" s="3932"/>
      <c r="BG23" s="3932"/>
      <c r="BH23" s="3925"/>
      <c r="BI23" s="3810"/>
      <c r="BJ23" s="3810"/>
      <c r="BK23" s="3979"/>
      <c r="BL23" s="3925"/>
      <c r="BM23" s="3929"/>
      <c r="BN23" s="3936"/>
      <c r="BO23" s="3938"/>
      <c r="BP23" s="3936"/>
      <c r="BQ23" s="3936"/>
      <c r="BR23" s="3941"/>
    </row>
    <row r="24" spans="1:70" s="360" customFormat="1" ht="42" customHeight="1" x14ac:dyDescent="0.2">
      <c r="A24" s="322"/>
      <c r="B24" s="323"/>
      <c r="C24" s="324"/>
      <c r="D24" s="325"/>
      <c r="E24" s="326"/>
      <c r="F24" s="327"/>
      <c r="G24" s="3932"/>
      <c r="H24" s="3952"/>
      <c r="I24" s="3953"/>
      <c r="J24" s="3913"/>
      <c r="K24" s="3915"/>
      <c r="L24" s="3973"/>
      <c r="M24" s="3913"/>
      <c r="N24" s="3913"/>
      <c r="O24" s="3932"/>
      <c r="P24" s="3932"/>
      <c r="Q24" s="3929"/>
      <c r="R24" s="3983"/>
      <c r="S24" s="3995"/>
      <c r="T24" s="3929"/>
      <c r="U24" s="3915"/>
      <c r="V24" s="359" t="s">
        <v>242</v>
      </c>
      <c r="W24" s="351">
        <f>36454056-19454056+837227+1074900</f>
        <v>18912127</v>
      </c>
      <c r="X24" s="351">
        <v>18897127</v>
      </c>
      <c r="Y24" s="351">
        <v>4050000</v>
      </c>
      <c r="Z24" s="352">
        <v>41</v>
      </c>
      <c r="AA24" s="331" t="s">
        <v>241</v>
      </c>
      <c r="AB24" s="3932"/>
      <c r="AC24" s="3932"/>
      <c r="AD24" s="3932"/>
      <c r="AE24" s="3932"/>
      <c r="AF24" s="3923"/>
      <c r="AG24" s="3923"/>
      <c r="AH24" s="3932"/>
      <c r="AI24" s="3923"/>
      <c r="AJ24" s="3932"/>
      <c r="AK24" s="3923"/>
      <c r="AL24" s="3932"/>
      <c r="AM24" s="3923"/>
      <c r="AN24" s="3932"/>
      <c r="AO24" s="3923"/>
      <c r="AP24" s="3932"/>
      <c r="AQ24" s="3923"/>
      <c r="AR24" s="3923"/>
      <c r="AS24" s="3923"/>
      <c r="AT24" s="3923"/>
      <c r="AU24" s="3923"/>
      <c r="AV24" s="3923"/>
      <c r="AW24" s="3923"/>
      <c r="AX24" s="3923"/>
      <c r="AY24" s="3923"/>
      <c r="AZ24" s="3923"/>
      <c r="BA24" s="3923"/>
      <c r="BB24" s="3712"/>
      <c r="BC24" s="3923"/>
      <c r="BD24" s="3923"/>
      <c r="BE24" s="3923"/>
      <c r="BF24" s="3932"/>
      <c r="BG24" s="3932"/>
      <c r="BH24" s="3925"/>
      <c r="BI24" s="3810"/>
      <c r="BJ24" s="3810"/>
      <c r="BK24" s="3979"/>
      <c r="BL24" s="3925"/>
      <c r="BM24" s="3929"/>
      <c r="BN24" s="3936"/>
      <c r="BO24" s="3938"/>
      <c r="BP24" s="3936"/>
      <c r="BQ24" s="3936"/>
      <c r="BR24" s="3941"/>
    </row>
    <row r="25" spans="1:70" s="360" customFormat="1" ht="42" customHeight="1" x14ac:dyDescent="0.2">
      <c r="A25" s="322"/>
      <c r="B25" s="323"/>
      <c r="C25" s="324"/>
      <c r="D25" s="325"/>
      <c r="E25" s="326"/>
      <c r="F25" s="327"/>
      <c r="G25" s="3932"/>
      <c r="H25" s="3952"/>
      <c r="I25" s="3953"/>
      <c r="J25" s="3913"/>
      <c r="K25" s="3915"/>
      <c r="L25" s="3973"/>
      <c r="M25" s="3913"/>
      <c r="N25" s="3913"/>
      <c r="O25" s="3932"/>
      <c r="P25" s="3932"/>
      <c r="Q25" s="3929"/>
      <c r="R25" s="3983"/>
      <c r="S25" s="3995"/>
      <c r="T25" s="3929"/>
      <c r="U25" s="3915"/>
      <c r="V25" s="3981" t="s">
        <v>236</v>
      </c>
      <c r="W25" s="351">
        <f>123249428-15026684-837227</f>
        <v>107385517</v>
      </c>
      <c r="X25" s="351">
        <v>90885517</v>
      </c>
      <c r="Y25" s="351">
        <f>41950000+6650000+6650000+6650000</f>
        <v>61900000</v>
      </c>
      <c r="Z25" s="353">
        <v>41</v>
      </c>
      <c r="AA25" s="343" t="s">
        <v>243</v>
      </c>
      <c r="AB25" s="3932"/>
      <c r="AC25" s="3932"/>
      <c r="AD25" s="3932"/>
      <c r="AE25" s="3932"/>
      <c r="AF25" s="3923"/>
      <c r="AG25" s="3923"/>
      <c r="AH25" s="3932"/>
      <c r="AI25" s="3923"/>
      <c r="AJ25" s="3932"/>
      <c r="AK25" s="3923"/>
      <c r="AL25" s="3932"/>
      <c r="AM25" s="3923"/>
      <c r="AN25" s="3932"/>
      <c r="AO25" s="3923"/>
      <c r="AP25" s="3932"/>
      <c r="AQ25" s="3923"/>
      <c r="AR25" s="3923"/>
      <c r="AS25" s="3923"/>
      <c r="AT25" s="3923"/>
      <c r="AU25" s="3923"/>
      <c r="AV25" s="3923"/>
      <c r="AW25" s="3923"/>
      <c r="AX25" s="3923"/>
      <c r="AY25" s="3923"/>
      <c r="AZ25" s="3923"/>
      <c r="BA25" s="3923"/>
      <c r="BB25" s="3712"/>
      <c r="BC25" s="3923"/>
      <c r="BD25" s="3923"/>
      <c r="BE25" s="3923"/>
      <c r="BF25" s="3932"/>
      <c r="BG25" s="3932"/>
      <c r="BH25" s="3925"/>
      <c r="BI25" s="3810"/>
      <c r="BJ25" s="3810"/>
      <c r="BK25" s="3979"/>
      <c r="BL25" s="3925"/>
      <c r="BM25" s="3929"/>
      <c r="BN25" s="3936"/>
      <c r="BO25" s="3938"/>
      <c r="BP25" s="3936"/>
      <c r="BQ25" s="3936"/>
      <c r="BR25" s="3941"/>
    </row>
    <row r="26" spans="1:70" s="360" customFormat="1" ht="48.75" customHeight="1" x14ac:dyDescent="0.2">
      <c r="A26" s="322"/>
      <c r="B26" s="323"/>
      <c r="C26" s="324"/>
      <c r="D26" s="325"/>
      <c r="E26" s="326"/>
      <c r="F26" s="327"/>
      <c r="G26" s="3946"/>
      <c r="H26" s="3956"/>
      <c r="I26" s="3957"/>
      <c r="J26" s="3934"/>
      <c r="K26" s="3960"/>
      <c r="L26" s="3973"/>
      <c r="M26" s="3934"/>
      <c r="N26" s="3934"/>
      <c r="O26" s="3946"/>
      <c r="P26" s="3946"/>
      <c r="Q26" s="3943"/>
      <c r="R26" s="3984"/>
      <c r="S26" s="3996"/>
      <c r="T26" s="3943"/>
      <c r="U26" s="3960"/>
      <c r="V26" s="3911"/>
      <c r="W26" s="351">
        <f>0+67614483</f>
        <v>67614483</v>
      </c>
      <c r="X26" s="351">
        <v>67614483</v>
      </c>
      <c r="Y26" s="351">
        <f>7600000+6650000+26000000+6650000+4750000</f>
        <v>51650000</v>
      </c>
      <c r="Z26" s="354">
        <v>83</v>
      </c>
      <c r="AA26" s="355" t="s">
        <v>237</v>
      </c>
      <c r="AB26" s="3946"/>
      <c r="AC26" s="3946"/>
      <c r="AD26" s="3946"/>
      <c r="AE26" s="3946"/>
      <c r="AF26" s="3944"/>
      <c r="AG26" s="3944"/>
      <c r="AH26" s="3946"/>
      <c r="AI26" s="3944"/>
      <c r="AJ26" s="3946"/>
      <c r="AK26" s="3944"/>
      <c r="AL26" s="3946"/>
      <c r="AM26" s="3944"/>
      <c r="AN26" s="3946"/>
      <c r="AO26" s="3944"/>
      <c r="AP26" s="3946"/>
      <c r="AQ26" s="3944"/>
      <c r="AR26" s="3944"/>
      <c r="AS26" s="3944"/>
      <c r="AT26" s="3944"/>
      <c r="AU26" s="3944"/>
      <c r="AV26" s="3944"/>
      <c r="AW26" s="3944"/>
      <c r="AX26" s="3944"/>
      <c r="AY26" s="3944"/>
      <c r="AZ26" s="3944"/>
      <c r="BA26" s="3944"/>
      <c r="BB26" s="3713"/>
      <c r="BC26" s="3944"/>
      <c r="BD26" s="3944"/>
      <c r="BE26" s="3944"/>
      <c r="BF26" s="3946"/>
      <c r="BG26" s="3946"/>
      <c r="BH26" s="3951"/>
      <c r="BI26" s="3811"/>
      <c r="BJ26" s="3811"/>
      <c r="BK26" s="3980"/>
      <c r="BL26" s="3951"/>
      <c r="BM26" s="3943"/>
      <c r="BN26" s="3937"/>
      <c r="BO26" s="3939"/>
      <c r="BP26" s="3937"/>
      <c r="BQ26" s="3937"/>
      <c r="BR26" s="3942"/>
    </row>
    <row r="27" spans="1:70" s="360" customFormat="1" ht="27.75" customHeight="1" x14ac:dyDescent="0.2">
      <c r="A27" s="322"/>
      <c r="B27" s="323"/>
      <c r="C27" s="324"/>
      <c r="D27" s="325"/>
      <c r="E27" s="326"/>
      <c r="F27" s="327"/>
      <c r="G27" s="361">
        <v>30</v>
      </c>
      <c r="H27" s="3958" t="s">
        <v>244</v>
      </c>
      <c r="I27" s="3959"/>
      <c r="J27" s="3959"/>
      <c r="K27" s="3959"/>
      <c r="L27" s="362"/>
      <c r="M27" s="363"/>
      <c r="N27" s="363"/>
      <c r="O27" s="364"/>
      <c r="P27" s="363"/>
      <c r="Q27" s="362"/>
      <c r="R27" s="363"/>
      <c r="S27" s="365"/>
      <c r="T27" s="362"/>
      <c r="U27" s="362"/>
      <c r="V27" s="362"/>
      <c r="W27" s="366"/>
      <c r="X27" s="366"/>
      <c r="Y27" s="366"/>
      <c r="Z27" s="367"/>
      <c r="AA27" s="368"/>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3"/>
      <c r="BF27" s="363"/>
      <c r="BG27" s="363"/>
      <c r="BH27" s="363"/>
      <c r="BI27" s="369"/>
      <c r="BJ27" s="369"/>
      <c r="BK27" s="363"/>
      <c r="BL27" s="363"/>
      <c r="BM27" s="370"/>
      <c r="BN27" s="363"/>
      <c r="BO27" s="363"/>
      <c r="BP27" s="363"/>
      <c r="BQ27" s="363"/>
      <c r="BR27" s="371"/>
    </row>
    <row r="28" spans="1:70" s="360" customFormat="1" ht="27" customHeight="1" x14ac:dyDescent="0.2">
      <c r="A28" s="322"/>
      <c r="B28" s="323"/>
      <c r="C28" s="324"/>
      <c r="D28" s="325"/>
      <c r="E28" s="326"/>
      <c r="F28" s="327"/>
      <c r="G28" s="372"/>
      <c r="H28" s="3954"/>
      <c r="I28" s="3955"/>
      <c r="J28" s="3912">
        <v>117</v>
      </c>
      <c r="K28" s="3928" t="s">
        <v>245</v>
      </c>
      <c r="L28" s="3928" t="s">
        <v>219</v>
      </c>
      <c r="M28" s="3912">
        <v>1</v>
      </c>
      <c r="N28" s="3912">
        <v>4</v>
      </c>
      <c r="O28" s="3931" t="s">
        <v>246</v>
      </c>
      <c r="P28" s="3931">
        <v>47</v>
      </c>
      <c r="Q28" s="3928" t="s">
        <v>247</v>
      </c>
      <c r="R28" s="3792">
        <f>(W28+W29+W30)/S28</f>
        <v>1</v>
      </c>
      <c r="S28" s="3926">
        <f>W28+W30</f>
        <v>79500000</v>
      </c>
      <c r="T28" s="3928" t="s">
        <v>248</v>
      </c>
      <c r="U28" s="3928" t="s">
        <v>249</v>
      </c>
      <c r="V28" s="3973" t="s">
        <v>250</v>
      </c>
      <c r="W28" s="3974">
        <f>75525000-5525000</f>
        <v>70000000</v>
      </c>
      <c r="X28" s="3809">
        <v>50000000</v>
      </c>
      <c r="Y28" s="3975">
        <f>32600000+7600000</f>
        <v>40200000</v>
      </c>
      <c r="Z28" s="3972">
        <v>20</v>
      </c>
      <c r="AA28" s="3928" t="s">
        <v>251</v>
      </c>
      <c r="AB28" s="3931">
        <v>75</v>
      </c>
      <c r="AC28" s="3931"/>
      <c r="AD28" s="3931">
        <v>75</v>
      </c>
      <c r="AE28" s="3931"/>
      <c r="AF28" s="3922">
        <v>0</v>
      </c>
      <c r="AG28" s="3922"/>
      <c r="AH28" s="3922">
        <v>0</v>
      </c>
      <c r="AI28" s="3922"/>
      <c r="AJ28" s="3922">
        <v>150</v>
      </c>
      <c r="AK28" s="3922"/>
      <c r="AL28" s="3922">
        <v>0</v>
      </c>
      <c r="AM28" s="3922"/>
      <c r="AN28" s="3922">
        <v>0</v>
      </c>
      <c r="AO28" s="3922"/>
      <c r="AP28" s="3922">
        <v>0</v>
      </c>
      <c r="AQ28" s="3922"/>
      <c r="AR28" s="3922">
        <v>0</v>
      </c>
      <c r="AS28" s="3922"/>
      <c r="AT28" s="3922">
        <v>0</v>
      </c>
      <c r="AU28" s="3922"/>
      <c r="AV28" s="3922">
        <v>0</v>
      </c>
      <c r="AW28" s="3922"/>
      <c r="AX28" s="3922">
        <v>0</v>
      </c>
      <c r="AY28" s="3922"/>
      <c r="AZ28" s="3922"/>
      <c r="BA28" s="3922"/>
      <c r="BB28" s="3922"/>
      <c r="BC28" s="3922"/>
      <c r="BD28" s="3922"/>
      <c r="BE28" s="3922"/>
      <c r="BF28" s="3922">
        <f>AB28+AD28</f>
        <v>150</v>
      </c>
      <c r="BG28" s="3922"/>
      <c r="BH28" s="3969">
        <f>1+5</f>
        <v>6</v>
      </c>
      <c r="BI28" s="3809">
        <f>X28+X29+X30</f>
        <v>59500000</v>
      </c>
      <c r="BJ28" s="3809">
        <f>Y28+Y29+Y30</f>
        <v>44175000</v>
      </c>
      <c r="BK28" s="3917">
        <f>BJ28/BI28</f>
        <v>0.74243697478991599</v>
      </c>
      <c r="BL28" s="3924">
        <v>20</v>
      </c>
      <c r="BM28" s="3920" t="s">
        <v>252</v>
      </c>
      <c r="BN28" s="3906">
        <v>43466</v>
      </c>
      <c r="BO28" s="3906">
        <v>43488</v>
      </c>
      <c r="BP28" s="3906">
        <v>43830</v>
      </c>
      <c r="BQ28" s="3906">
        <v>43809</v>
      </c>
      <c r="BR28" s="3908" t="s">
        <v>253</v>
      </c>
    </row>
    <row r="29" spans="1:70" s="360" customFormat="1" ht="34.5" customHeight="1" x14ac:dyDescent="0.2">
      <c r="A29" s="322"/>
      <c r="B29" s="323"/>
      <c r="C29" s="324"/>
      <c r="D29" s="325"/>
      <c r="E29" s="326"/>
      <c r="F29" s="327"/>
      <c r="G29" s="372"/>
      <c r="H29" s="3952"/>
      <c r="I29" s="3953"/>
      <c r="J29" s="3913"/>
      <c r="K29" s="3929"/>
      <c r="L29" s="3929"/>
      <c r="M29" s="3913"/>
      <c r="N29" s="3913"/>
      <c r="O29" s="3932"/>
      <c r="P29" s="3932"/>
      <c r="Q29" s="3929"/>
      <c r="R29" s="3793"/>
      <c r="S29" s="3927"/>
      <c r="T29" s="3929"/>
      <c r="U29" s="3929"/>
      <c r="V29" s="3973"/>
      <c r="W29" s="3974"/>
      <c r="X29" s="3811"/>
      <c r="Y29" s="3976"/>
      <c r="Z29" s="3972"/>
      <c r="AA29" s="3943"/>
      <c r="AB29" s="3932"/>
      <c r="AC29" s="3932"/>
      <c r="AD29" s="3932"/>
      <c r="AE29" s="3932"/>
      <c r="AF29" s="3923"/>
      <c r="AG29" s="3923"/>
      <c r="AH29" s="3923"/>
      <c r="AI29" s="3923"/>
      <c r="AJ29" s="3923"/>
      <c r="AK29" s="3923"/>
      <c r="AL29" s="3923"/>
      <c r="AM29" s="3923"/>
      <c r="AN29" s="3923"/>
      <c r="AO29" s="3923"/>
      <c r="AP29" s="3923"/>
      <c r="AQ29" s="3923"/>
      <c r="AR29" s="3923"/>
      <c r="AS29" s="3923"/>
      <c r="AT29" s="3923"/>
      <c r="AU29" s="3923"/>
      <c r="AV29" s="3923"/>
      <c r="AW29" s="3923"/>
      <c r="AX29" s="3923"/>
      <c r="AY29" s="3923"/>
      <c r="AZ29" s="3923"/>
      <c r="BA29" s="3923"/>
      <c r="BB29" s="3923"/>
      <c r="BC29" s="3923"/>
      <c r="BD29" s="3923"/>
      <c r="BE29" s="3923"/>
      <c r="BF29" s="3923"/>
      <c r="BG29" s="3923"/>
      <c r="BH29" s="3970"/>
      <c r="BI29" s="3810"/>
      <c r="BJ29" s="3810"/>
      <c r="BK29" s="3967"/>
      <c r="BL29" s="3925"/>
      <c r="BM29" s="3921"/>
      <c r="BN29" s="3907"/>
      <c r="BO29" s="3907"/>
      <c r="BP29" s="3907"/>
      <c r="BQ29" s="3907"/>
      <c r="BR29" s="3909"/>
    </row>
    <row r="30" spans="1:70" s="360" customFormat="1" ht="55.5" customHeight="1" x14ac:dyDescent="0.2">
      <c r="A30" s="322"/>
      <c r="B30" s="323"/>
      <c r="C30" s="324"/>
      <c r="D30" s="325"/>
      <c r="E30" s="326"/>
      <c r="F30" s="327"/>
      <c r="G30" s="372"/>
      <c r="H30" s="3956"/>
      <c r="I30" s="3957"/>
      <c r="J30" s="3934"/>
      <c r="K30" s="3943"/>
      <c r="L30" s="3943"/>
      <c r="M30" s="3934"/>
      <c r="N30" s="3934"/>
      <c r="O30" s="3946"/>
      <c r="P30" s="3946"/>
      <c r="Q30" s="3943"/>
      <c r="R30" s="3794"/>
      <c r="S30" s="3947"/>
      <c r="T30" s="3943"/>
      <c r="U30" s="3943"/>
      <c r="V30" s="373" t="s">
        <v>254</v>
      </c>
      <c r="W30" s="351">
        <f>3975000+5525000</f>
        <v>9500000</v>
      </c>
      <c r="X30" s="374">
        <v>9500000</v>
      </c>
      <c r="Y30" s="351">
        <f>3975000</f>
        <v>3975000</v>
      </c>
      <c r="Z30" s="375">
        <v>20</v>
      </c>
      <c r="AA30" s="331" t="s">
        <v>69</v>
      </c>
      <c r="AB30" s="3946"/>
      <c r="AC30" s="3946"/>
      <c r="AD30" s="3946"/>
      <c r="AE30" s="3946"/>
      <c r="AF30" s="3944"/>
      <c r="AG30" s="3944"/>
      <c r="AH30" s="3944"/>
      <c r="AI30" s="3944"/>
      <c r="AJ30" s="3944"/>
      <c r="AK30" s="3944"/>
      <c r="AL30" s="3944"/>
      <c r="AM30" s="3944"/>
      <c r="AN30" s="3944"/>
      <c r="AO30" s="3944"/>
      <c r="AP30" s="3944"/>
      <c r="AQ30" s="3944"/>
      <c r="AR30" s="3944"/>
      <c r="AS30" s="3944"/>
      <c r="AT30" s="3944"/>
      <c r="AU30" s="3944"/>
      <c r="AV30" s="3944"/>
      <c r="AW30" s="3944"/>
      <c r="AX30" s="3944"/>
      <c r="AY30" s="3944"/>
      <c r="AZ30" s="3944"/>
      <c r="BA30" s="3944"/>
      <c r="BB30" s="3944"/>
      <c r="BC30" s="3944"/>
      <c r="BD30" s="3944"/>
      <c r="BE30" s="3944"/>
      <c r="BF30" s="3944"/>
      <c r="BG30" s="3944"/>
      <c r="BH30" s="3971"/>
      <c r="BI30" s="3811"/>
      <c r="BJ30" s="3811"/>
      <c r="BK30" s="3968"/>
      <c r="BL30" s="3951"/>
      <c r="BM30" s="3966"/>
      <c r="BN30" s="3964"/>
      <c r="BO30" s="3964"/>
      <c r="BP30" s="3964"/>
      <c r="BQ30" s="3964"/>
      <c r="BR30" s="3965"/>
    </row>
    <row r="31" spans="1:70" s="360" customFormat="1" ht="27" customHeight="1" x14ac:dyDescent="0.2">
      <c r="A31" s="322"/>
      <c r="B31" s="323"/>
      <c r="C31" s="324"/>
      <c r="D31" s="325"/>
      <c r="E31" s="326"/>
      <c r="F31" s="327"/>
      <c r="G31" s="361">
        <v>31</v>
      </c>
      <c r="H31" s="3958" t="s">
        <v>255</v>
      </c>
      <c r="I31" s="3959"/>
      <c r="J31" s="3959"/>
      <c r="K31" s="3959"/>
      <c r="L31" s="362"/>
      <c r="M31" s="363"/>
      <c r="N31" s="363"/>
      <c r="O31" s="364"/>
      <c r="P31" s="363"/>
      <c r="Q31" s="362"/>
      <c r="R31" s="363"/>
      <c r="S31" s="365"/>
      <c r="T31" s="362"/>
      <c r="U31" s="362"/>
      <c r="V31" s="362"/>
      <c r="W31" s="376"/>
      <c r="X31" s="376"/>
      <c r="Y31" s="376"/>
      <c r="Z31" s="377"/>
      <c r="AA31" s="362"/>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c r="BB31" s="363"/>
      <c r="BC31" s="363"/>
      <c r="BD31" s="363"/>
      <c r="BE31" s="363"/>
      <c r="BF31" s="363"/>
      <c r="BG31" s="363"/>
      <c r="BH31" s="363"/>
      <c r="BI31" s="369"/>
      <c r="BJ31" s="369"/>
      <c r="BK31" s="363"/>
      <c r="BL31" s="363"/>
      <c r="BM31" s="370"/>
      <c r="BN31" s="363"/>
      <c r="BO31" s="363"/>
      <c r="BP31" s="363"/>
      <c r="BQ31" s="363"/>
      <c r="BR31" s="371"/>
    </row>
    <row r="32" spans="1:70" s="360" customFormat="1" ht="51.75" customHeight="1" x14ac:dyDescent="0.2">
      <c r="A32" s="322"/>
      <c r="B32" s="323"/>
      <c r="C32" s="324"/>
      <c r="D32" s="325"/>
      <c r="E32" s="326"/>
      <c r="F32" s="327"/>
      <c r="G32" s="372"/>
      <c r="H32" s="3954"/>
      <c r="I32" s="3955"/>
      <c r="J32" s="3912">
        <v>118</v>
      </c>
      <c r="K32" s="3914" t="s">
        <v>256</v>
      </c>
      <c r="L32" s="3928" t="s">
        <v>219</v>
      </c>
      <c r="M32" s="3912">
        <v>4</v>
      </c>
      <c r="N32" s="3912">
        <v>7</v>
      </c>
      <c r="O32" s="3931" t="s">
        <v>310</v>
      </c>
      <c r="P32" s="3931">
        <v>48</v>
      </c>
      <c r="Q32" s="3914" t="s">
        <v>257</v>
      </c>
      <c r="R32" s="3792">
        <f>SUM(W32:W39)/S32</f>
        <v>1</v>
      </c>
      <c r="S32" s="3926">
        <f>SUM(W32:W39)</f>
        <v>245423575</v>
      </c>
      <c r="T32" s="3928" t="s">
        <v>258</v>
      </c>
      <c r="U32" s="3914" t="s">
        <v>259</v>
      </c>
      <c r="V32" s="373" t="s">
        <v>260</v>
      </c>
      <c r="W32" s="351">
        <f>21698843-2698843</f>
        <v>19000000</v>
      </c>
      <c r="X32" s="351">
        <v>19000000</v>
      </c>
      <c r="Y32" s="351">
        <f>5250000</f>
        <v>5250000</v>
      </c>
      <c r="Z32" s="375">
        <v>34</v>
      </c>
      <c r="AA32" s="373" t="s">
        <v>261</v>
      </c>
      <c r="AB32" s="3922">
        <v>50476</v>
      </c>
      <c r="AC32" s="3931">
        <v>424</v>
      </c>
      <c r="AD32" s="3922">
        <v>50476</v>
      </c>
      <c r="AE32" s="3931">
        <v>340</v>
      </c>
      <c r="AF32" s="3922">
        <v>42400</v>
      </c>
      <c r="AG32" s="3922">
        <f>39+266</f>
        <v>305</v>
      </c>
      <c r="AH32" s="3922">
        <v>30286</v>
      </c>
      <c r="AI32" s="3922"/>
      <c r="AJ32" s="3922">
        <v>18171</v>
      </c>
      <c r="AK32" s="3922">
        <f>429</f>
        <v>429</v>
      </c>
      <c r="AL32" s="3922">
        <v>10095</v>
      </c>
      <c r="AM32" s="3922">
        <v>30</v>
      </c>
      <c r="AN32" s="3922"/>
      <c r="AO32" s="3922"/>
      <c r="AP32" s="3691"/>
      <c r="AQ32" s="3691"/>
      <c r="AR32" s="3922"/>
      <c r="AS32" s="3922"/>
      <c r="AT32" s="3922"/>
      <c r="AU32" s="3922"/>
      <c r="AV32" s="3922"/>
      <c r="AW32" s="3922"/>
      <c r="AX32" s="3922"/>
      <c r="AY32" s="3922"/>
      <c r="AZ32" s="3691"/>
      <c r="BA32" s="3691"/>
      <c r="BB32" s="3691"/>
      <c r="BC32" s="3691">
        <f>1+5</f>
        <v>6</v>
      </c>
      <c r="BD32" s="3922"/>
      <c r="BE32" s="3922"/>
      <c r="BF32" s="3922">
        <f>+AB32+AD32</f>
        <v>100952</v>
      </c>
      <c r="BG32" s="3922">
        <f>AG32+AI32+AK32+AM32</f>
        <v>764</v>
      </c>
      <c r="BH32" s="3924">
        <v>10</v>
      </c>
      <c r="BI32" s="3809">
        <f>SUM(X32:X39)</f>
        <v>217613954</v>
      </c>
      <c r="BJ32" s="3809">
        <f>SUM(Y32:Y39)</f>
        <v>79280000</v>
      </c>
      <c r="BK32" s="3948">
        <f>BJ32/BI32</f>
        <v>0.36431487293319437</v>
      </c>
      <c r="BL32" s="3924" t="s">
        <v>262</v>
      </c>
      <c r="BM32" s="3931" t="s">
        <v>263</v>
      </c>
      <c r="BN32" s="3935">
        <v>43466</v>
      </c>
      <c r="BO32" s="3935">
        <v>43493</v>
      </c>
      <c r="BP32" s="3935">
        <v>43830</v>
      </c>
      <c r="BQ32" s="3935">
        <v>43812</v>
      </c>
      <c r="BR32" s="3940" t="s">
        <v>227</v>
      </c>
    </row>
    <row r="33" spans="1:70" s="360" customFormat="1" ht="61.5" customHeight="1" x14ac:dyDescent="0.2">
      <c r="A33" s="322"/>
      <c r="B33" s="323"/>
      <c r="C33" s="324"/>
      <c r="D33" s="325"/>
      <c r="E33" s="326"/>
      <c r="F33" s="327"/>
      <c r="G33" s="372"/>
      <c r="H33" s="3952"/>
      <c r="I33" s="3953"/>
      <c r="J33" s="3913"/>
      <c r="K33" s="3915"/>
      <c r="L33" s="3929"/>
      <c r="M33" s="3913"/>
      <c r="N33" s="3913"/>
      <c r="O33" s="3932"/>
      <c r="P33" s="3932"/>
      <c r="Q33" s="3915"/>
      <c r="R33" s="3793"/>
      <c r="S33" s="3927"/>
      <c r="T33" s="3929"/>
      <c r="U33" s="3915"/>
      <c r="V33" s="373" t="s">
        <v>264</v>
      </c>
      <c r="W33" s="351">
        <f>11283398-1283398</f>
        <v>10000000</v>
      </c>
      <c r="X33" s="351">
        <v>10000000</v>
      </c>
      <c r="Y33" s="351"/>
      <c r="Z33" s="375">
        <v>34</v>
      </c>
      <c r="AA33" s="373" t="s">
        <v>261</v>
      </c>
      <c r="AB33" s="3923"/>
      <c r="AC33" s="3932"/>
      <c r="AD33" s="3923"/>
      <c r="AE33" s="3932"/>
      <c r="AF33" s="3923"/>
      <c r="AG33" s="3923"/>
      <c r="AH33" s="3923"/>
      <c r="AI33" s="3923"/>
      <c r="AJ33" s="3923"/>
      <c r="AK33" s="3923"/>
      <c r="AL33" s="3923"/>
      <c r="AM33" s="3923"/>
      <c r="AN33" s="3923"/>
      <c r="AO33" s="3923"/>
      <c r="AP33" s="3712"/>
      <c r="AQ33" s="3712"/>
      <c r="AR33" s="3923"/>
      <c r="AS33" s="3923"/>
      <c r="AT33" s="3923"/>
      <c r="AU33" s="3923"/>
      <c r="AV33" s="3923"/>
      <c r="AW33" s="3923"/>
      <c r="AX33" s="3923"/>
      <c r="AY33" s="3923"/>
      <c r="AZ33" s="3712"/>
      <c r="BA33" s="3712"/>
      <c r="BB33" s="3712"/>
      <c r="BC33" s="3712"/>
      <c r="BD33" s="3923"/>
      <c r="BE33" s="3923"/>
      <c r="BF33" s="3923"/>
      <c r="BG33" s="3923"/>
      <c r="BH33" s="3925"/>
      <c r="BI33" s="3810"/>
      <c r="BJ33" s="3810"/>
      <c r="BK33" s="3949"/>
      <c r="BL33" s="3925"/>
      <c r="BM33" s="3932"/>
      <c r="BN33" s="3936"/>
      <c r="BO33" s="3938"/>
      <c r="BP33" s="3936"/>
      <c r="BQ33" s="3938"/>
      <c r="BR33" s="3941"/>
    </row>
    <row r="34" spans="1:70" s="360" customFormat="1" ht="40.5" customHeight="1" x14ac:dyDescent="0.2">
      <c r="A34" s="322"/>
      <c r="B34" s="323"/>
      <c r="C34" s="324"/>
      <c r="D34" s="325"/>
      <c r="E34" s="326"/>
      <c r="F34" s="327"/>
      <c r="G34" s="372"/>
      <c r="H34" s="3952"/>
      <c r="I34" s="3953"/>
      <c r="J34" s="3913"/>
      <c r="K34" s="3915"/>
      <c r="L34" s="3929"/>
      <c r="M34" s="3913"/>
      <c r="N34" s="3913"/>
      <c r="O34" s="3932"/>
      <c r="P34" s="3932"/>
      <c r="Q34" s="3915"/>
      <c r="R34" s="3793"/>
      <c r="S34" s="3927"/>
      <c r="T34" s="3929"/>
      <c r="U34" s="3915"/>
      <c r="V34" s="373" t="s">
        <v>265</v>
      </c>
      <c r="W34" s="351">
        <f>26906565-26906565</f>
        <v>0</v>
      </c>
      <c r="X34" s="351">
        <v>0</v>
      </c>
      <c r="Y34" s="351"/>
      <c r="Z34" s="375">
        <v>34</v>
      </c>
      <c r="AA34" s="373" t="s">
        <v>261</v>
      </c>
      <c r="AB34" s="3923"/>
      <c r="AC34" s="3932"/>
      <c r="AD34" s="3923"/>
      <c r="AE34" s="3932"/>
      <c r="AF34" s="3923"/>
      <c r="AG34" s="3923"/>
      <c r="AH34" s="3923"/>
      <c r="AI34" s="3923"/>
      <c r="AJ34" s="3923"/>
      <c r="AK34" s="3923"/>
      <c r="AL34" s="3923"/>
      <c r="AM34" s="3923"/>
      <c r="AN34" s="3923"/>
      <c r="AO34" s="3923"/>
      <c r="AP34" s="3712"/>
      <c r="AQ34" s="3712"/>
      <c r="AR34" s="3923"/>
      <c r="AS34" s="3923"/>
      <c r="AT34" s="3923"/>
      <c r="AU34" s="3923"/>
      <c r="AV34" s="3923"/>
      <c r="AW34" s="3923"/>
      <c r="AX34" s="3923"/>
      <c r="AY34" s="3923"/>
      <c r="AZ34" s="3712"/>
      <c r="BA34" s="3712"/>
      <c r="BB34" s="3712"/>
      <c r="BC34" s="3712"/>
      <c r="BD34" s="3923"/>
      <c r="BE34" s="3923"/>
      <c r="BF34" s="3923"/>
      <c r="BG34" s="3923"/>
      <c r="BH34" s="3925"/>
      <c r="BI34" s="3810"/>
      <c r="BJ34" s="3810"/>
      <c r="BK34" s="3949"/>
      <c r="BL34" s="3925"/>
      <c r="BM34" s="3932"/>
      <c r="BN34" s="3936"/>
      <c r="BO34" s="3938"/>
      <c r="BP34" s="3936"/>
      <c r="BQ34" s="3938"/>
      <c r="BR34" s="3941"/>
    </row>
    <row r="35" spans="1:70" s="360" customFormat="1" ht="48" customHeight="1" x14ac:dyDescent="0.2">
      <c r="A35" s="322"/>
      <c r="B35" s="323"/>
      <c r="C35" s="324"/>
      <c r="D35" s="325"/>
      <c r="E35" s="326"/>
      <c r="F35" s="327"/>
      <c r="G35" s="372"/>
      <c r="H35" s="3952"/>
      <c r="I35" s="3953"/>
      <c r="J35" s="3913"/>
      <c r="K35" s="3915"/>
      <c r="L35" s="3929"/>
      <c r="M35" s="3913"/>
      <c r="N35" s="3913"/>
      <c r="O35" s="3932"/>
      <c r="P35" s="3932"/>
      <c r="Q35" s="3915"/>
      <c r="R35" s="3793"/>
      <c r="S35" s="3927"/>
      <c r="T35" s="3929"/>
      <c r="U35" s="3915"/>
      <c r="V35" s="373" t="s">
        <v>266</v>
      </c>
      <c r="W35" s="351">
        <f>21698843-7698843</f>
        <v>14000000</v>
      </c>
      <c r="X35" s="351">
        <v>10719988</v>
      </c>
      <c r="Y35" s="351"/>
      <c r="Z35" s="375">
        <v>34</v>
      </c>
      <c r="AA35" s="373" t="s">
        <v>261</v>
      </c>
      <c r="AB35" s="3923"/>
      <c r="AC35" s="3932"/>
      <c r="AD35" s="3923"/>
      <c r="AE35" s="3932"/>
      <c r="AF35" s="3923"/>
      <c r="AG35" s="3923"/>
      <c r="AH35" s="3923"/>
      <c r="AI35" s="3923"/>
      <c r="AJ35" s="3923"/>
      <c r="AK35" s="3923"/>
      <c r="AL35" s="3923"/>
      <c r="AM35" s="3923"/>
      <c r="AN35" s="3923"/>
      <c r="AO35" s="3923"/>
      <c r="AP35" s="3712"/>
      <c r="AQ35" s="3712"/>
      <c r="AR35" s="3923"/>
      <c r="AS35" s="3923"/>
      <c r="AT35" s="3923"/>
      <c r="AU35" s="3923"/>
      <c r="AV35" s="3923"/>
      <c r="AW35" s="3923"/>
      <c r="AX35" s="3923"/>
      <c r="AY35" s="3923"/>
      <c r="AZ35" s="3712"/>
      <c r="BA35" s="3712"/>
      <c r="BB35" s="3712"/>
      <c r="BC35" s="3712"/>
      <c r="BD35" s="3923"/>
      <c r="BE35" s="3923"/>
      <c r="BF35" s="3923"/>
      <c r="BG35" s="3923"/>
      <c r="BH35" s="3925"/>
      <c r="BI35" s="3810"/>
      <c r="BJ35" s="3810"/>
      <c r="BK35" s="3949"/>
      <c r="BL35" s="3925"/>
      <c r="BM35" s="3932"/>
      <c r="BN35" s="3936"/>
      <c r="BO35" s="3938"/>
      <c r="BP35" s="3936"/>
      <c r="BQ35" s="3938"/>
      <c r="BR35" s="3941"/>
    </row>
    <row r="36" spans="1:70" s="360" customFormat="1" ht="117" customHeight="1" x14ac:dyDescent="0.2">
      <c r="A36" s="322"/>
      <c r="B36" s="323"/>
      <c r="C36" s="324"/>
      <c r="D36" s="325"/>
      <c r="E36" s="326"/>
      <c r="F36" s="327"/>
      <c r="G36" s="372"/>
      <c r="H36" s="3952"/>
      <c r="I36" s="3953"/>
      <c r="J36" s="3913"/>
      <c r="K36" s="3915"/>
      <c r="L36" s="3929"/>
      <c r="M36" s="3913"/>
      <c r="N36" s="3913"/>
      <c r="O36" s="3932"/>
      <c r="P36" s="3932"/>
      <c r="Q36" s="3915"/>
      <c r="R36" s="3793"/>
      <c r="S36" s="3927"/>
      <c r="T36" s="3929"/>
      <c r="U36" s="3960"/>
      <c r="V36" s="359" t="s">
        <v>267</v>
      </c>
      <c r="W36" s="378">
        <f>0+28350000</f>
        <v>28350000</v>
      </c>
      <c r="X36" s="378">
        <v>27235000</v>
      </c>
      <c r="Y36" s="378">
        <v>10894000</v>
      </c>
      <c r="Z36" s="375">
        <v>159</v>
      </c>
      <c r="AA36" s="373" t="s">
        <v>268</v>
      </c>
      <c r="AB36" s="3923"/>
      <c r="AC36" s="3932"/>
      <c r="AD36" s="3923"/>
      <c r="AE36" s="3932"/>
      <c r="AF36" s="3923"/>
      <c r="AG36" s="3923"/>
      <c r="AH36" s="3923"/>
      <c r="AI36" s="3923"/>
      <c r="AJ36" s="3923"/>
      <c r="AK36" s="3923"/>
      <c r="AL36" s="3923"/>
      <c r="AM36" s="3923"/>
      <c r="AN36" s="3923"/>
      <c r="AO36" s="3923"/>
      <c r="AP36" s="3712"/>
      <c r="AQ36" s="3712"/>
      <c r="AR36" s="3923"/>
      <c r="AS36" s="3923"/>
      <c r="AT36" s="3923"/>
      <c r="AU36" s="3923"/>
      <c r="AV36" s="3923"/>
      <c r="AW36" s="3923"/>
      <c r="AX36" s="3923"/>
      <c r="AY36" s="3923"/>
      <c r="AZ36" s="3712"/>
      <c r="BA36" s="3712"/>
      <c r="BB36" s="3712"/>
      <c r="BC36" s="3712"/>
      <c r="BD36" s="3923"/>
      <c r="BE36" s="3923"/>
      <c r="BF36" s="3923"/>
      <c r="BG36" s="3923"/>
      <c r="BH36" s="3925"/>
      <c r="BI36" s="3810"/>
      <c r="BJ36" s="3810"/>
      <c r="BK36" s="3949"/>
      <c r="BL36" s="3925"/>
      <c r="BM36" s="3932"/>
      <c r="BN36" s="3936"/>
      <c r="BO36" s="3938"/>
      <c r="BP36" s="3936"/>
      <c r="BQ36" s="3938"/>
      <c r="BR36" s="3941"/>
    </row>
    <row r="37" spans="1:70" s="360" customFormat="1" ht="42" customHeight="1" x14ac:dyDescent="0.2">
      <c r="A37" s="322"/>
      <c r="B37" s="323"/>
      <c r="C37" s="324"/>
      <c r="D37" s="325"/>
      <c r="E37" s="326"/>
      <c r="F37" s="327"/>
      <c r="G37" s="372"/>
      <c r="H37" s="3952"/>
      <c r="I37" s="3953"/>
      <c r="J37" s="3913"/>
      <c r="K37" s="3915"/>
      <c r="L37" s="3929"/>
      <c r="M37" s="3913"/>
      <c r="N37" s="3913"/>
      <c r="O37" s="3932"/>
      <c r="P37" s="3932"/>
      <c r="Q37" s="3915"/>
      <c r="R37" s="3793"/>
      <c r="S37" s="3927"/>
      <c r="T37" s="3929"/>
      <c r="U37" s="3914" t="s">
        <v>269</v>
      </c>
      <c r="V37" s="3910" t="s">
        <v>270</v>
      </c>
      <c r="W37" s="378">
        <f>26038612-8482831</f>
        <v>17555781</v>
      </c>
      <c r="X37" s="378">
        <v>10797169</v>
      </c>
      <c r="Y37" s="378"/>
      <c r="Z37" s="375">
        <v>34</v>
      </c>
      <c r="AA37" s="373" t="s">
        <v>261</v>
      </c>
      <c r="AB37" s="3923"/>
      <c r="AC37" s="3932"/>
      <c r="AD37" s="3923"/>
      <c r="AE37" s="3932"/>
      <c r="AF37" s="3923"/>
      <c r="AG37" s="3923"/>
      <c r="AH37" s="3923"/>
      <c r="AI37" s="3923"/>
      <c r="AJ37" s="3923"/>
      <c r="AK37" s="3923"/>
      <c r="AL37" s="3923"/>
      <c r="AM37" s="3923"/>
      <c r="AN37" s="3923"/>
      <c r="AO37" s="3923"/>
      <c r="AP37" s="3712"/>
      <c r="AQ37" s="3712"/>
      <c r="AR37" s="3923"/>
      <c r="AS37" s="3923"/>
      <c r="AT37" s="3923"/>
      <c r="AU37" s="3923"/>
      <c r="AV37" s="3923"/>
      <c r="AW37" s="3923"/>
      <c r="AX37" s="3923"/>
      <c r="AY37" s="3923"/>
      <c r="AZ37" s="3712"/>
      <c r="BA37" s="3712"/>
      <c r="BB37" s="3712"/>
      <c r="BC37" s="3712"/>
      <c r="BD37" s="3923"/>
      <c r="BE37" s="3923"/>
      <c r="BF37" s="3923"/>
      <c r="BG37" s="3923"/>
      <c r="BH37" s="3925"/>
      <c r="BI37" s="3810"/>
      <c r="BJ37" s="3810"/>
      <c r="BK37" s="3949"/>
      <c r="BL37" s="3925"/>
      <c r="BM37" s="3932"/>
      <c r="BN37" s="3936"/>
      <c r="BO37" s="3938"/>
      <c r="BP37" s="3936"/>
      <c r="BQ37" s="3938"/>
      <c r="BR37" s="3941"/>
    </row>
    <row r="38" spans="1:70" s="360" customFormat="1" ht="42" customHeight="1" x14ac:dyDescent="0.2">
      <c r="A38" s="322"/>
      <c r="B38" s="323"/>
      <c r="C38" s="324"/>
      <c r="D38" s="325"/>
      <c r="E38" s="326"/>
      <c r="F38" s="327"/>
      <c r="G38" s="372"/>
      <c r="H38" s="3952"/>
      <c r="I38" s="3953"/>
      <c r="J38" s="3913"/>
      <c r="K38" s="3915"/>
      <c r="L38" s="3929"/>
      <c r="M38" s="3913"/>
      <c r="N38" s="3913"/>
      <c r="O38" s="3932"/>
      <c r="P38" s="3932"/>
      <c r="Q38" s="3915"/>
      <c r="R38" s="3793"/>
      <c r="S38" s="3927"/>
      <c r="T38" s="3929"/>
      <c r="U38" s="3915"/>
      <c r="V38" s="3961"/>
      <c r="W38" s="378">
        <f>0+43482831</f>
        <v>43482831</v>
      </c>
      <c r="X38" s="378">
        <v>43482831</v>
      </c>
      <c r="Y38" s="378"/>
      <c r="Z38" s="375">
        <v>83</v>
      </c>
      <c r="AA38" s="373" t="s">
        <v>271</v>
      </c>
      <c r="AB38" s="3923"/>
      <c r="AC38" s="3932"/>
      <c r="AD38" s="3923"/>
      <c r="AE38" s="3932"/>
      <c r="AF38" s="3923"/>
      <c r="AG38" s="3923"/>
      <c r="AH38" s="3923"/>
      <c r="AI38" s="3923"/>
      <c r="AJ38" s="3923"/>
      <c r="AK38" s="3923"/>
      <c r="AL38" s="3923"/>
      <c r="AM38" s="3923"/>
      <c r="AN38" s="3923"/>
      <c r="AO38" s="3923"/>
      <c r="AP38" s="3712"/>
      <c r="AQ38" s="3712"/>
      <c r="AR38" s="3923"/>
      <c r="AS38" s="3923"/>
      <c r="AT38" s="3923"/>
      <c r="AU38" s="3923"/>
      <c r="AV38" s="3923"/>
      <c r="AW38" s="3923"/>
      <c r="AX38" s="3923"/>
      <c r="AY38" s="3923"/>
      <c r="AZ38" s="3712"/>
      <c r="BA38" s="3712"/>
      <c r="BB38" s="3712"/>
      <c r="BC38" s="3712"/>
      <c r="BD38" s="3923"/>
      <c r="BE38" s="3923"/>
      <c r="BF38" s="3923"/>
      <c r="BG38" s="3923"/>
      <c r="BH38" s="3925"/>
      <c r="BI38" s="3810"/>
      <c r="BJ38" s="3810"/>
      <c r="BK38" s="3949"/>
      <c r="BL38" s="3925"/>
      <c r="BM38" s="3932"/>
      <c r="BN38" s="3936"/>
      <c r="BO38" s="3938"/>
      <c r="BP38" s="3936"/>
      <c r="BQ38" s="3938"/>
      <c r="BR38" s="3941"/>
    </row>
    <row r="39" spans="1:70" s="360" customFormat="1" ht="59.25" customHeight="1" x14ac:dyDescent="0.2">
      <c r="A39" s="322"/>
      <c r="B39" s="323"/>
      <c r="C39" s="324"/>
      <c r="D39" s="325"/>
      <c r="E39" s="326"/>
      <c r="F39" s="327"/>
      <c r="G39" s="372"/>
      <c r="H39" s="3956"/>
      <c r="I39" s="3957"/>
      <c r="J39" s="3934"/>
      <c r="K39" s="3960"/>
      <c r="L39" s="3943"/>
      <c r="M39" s="3934"/>
      <c r="N39" s="3934"/>
      <c r="O39" s="3946"/>
      <c r="P39" s="3946"/>
      <c r="Q39" s="3960"/>
      <c r="R39" s="3794"/>
      <c r="S39" s="3947"/>
      <c r="T39" s="3943"/>
      <c r="U39" s="3960"/>
      <c r="V39" s="359" t="s">
        <v>272</v>
      </c>
      <c r="W39" s="378">
        <f>65964483+47070480</f>
        <v>113034963</v>
      </c>
      <c r="X39" s="378">
        <v>96378966</v>
      </c>
      <c r="Y39" s="378">
        <f>12316000+8956000+8956000+7387000+16343000+9178000</f>
        <v>63136000</v>
      </c>
      <c r="Z39" s="375">
        <v>34</v>
      </c>
      <c r="AA39" s="373" t="s">
        <v>261</v>
      </c>
      <c r="AB39" s="3944"/>
      <c r="AC39" s="3946"/>
      <c r="AD39" s="3944"/>
      <c r="AE39" s="3946"/>
      <c r="AF39" s="3944"/>
      <c r="AG39" s="3944"/>
      <c r="AH39" s="3944"/>
      <c r="AI39" s="3944"/>
      <c r="AJ39" s="3944"/>
      <c r="AK39" s="3944"/>
      <c r="AL39" s="3944"/>
      <c r="AM39" s="3944"/>
      <c r="AN39" s="3944"/>
      <c r="AO39" s="3944"/>
      <c r="AP39" s="3713"/>
      <c r="AQ39" s="3713"/>
      <c r="AR39" s="3944"/>
      <c r="AS39" s="3944"/>
      <c r="AT39" s="3944"/>
      <c r="AU39" s="3944"/>
      <c r="AV39" s="3944"/>
      <c r="AW39" s="3944"/>
      <c r="AX39" s="3944"/>
      <c r="AY39" s="3944"/>
      <c r="AZ39" s="3713"/>
      <c r="BA39" s="3713"/>
      <c r="BB39" s="3713"/>
      <c r="BC39" s="3713"/>
      <c r="BD39" s="3944"/>
      <c r="BE39" s="3944"/>
      <c r="BF39" s="3944"/>
      <c r="BG39" s="3944"/>
      <c r="BH39" s="3951"/>
      <c r="BI39" s="3811"/>
      <c r="BJ39" s="3811"/>
      <c r="BK39" s="3950"/>
      <c r="BL39" s="3951"/>
      <c r="BM39" s="3946"/>
      <c r="BN39" s="3937"/>
      <c r="BO39" s="3939"/>
      <c r="BP39" s="3937"/>
      <c r="BQ39" s="3939"/>
      <c r="BR39" s="3942"/>
    </row>
    <row r="40" spans="1:70" s="360" customFormat="1" ht="27" customHeight="1" x14ac:dyDescent="0.25">
      <c r="A40" s="379"/>
      <c r="B40" s="380"/>
      <c r="C40" s="381"/>
      <c r="D40" s="382">
        <v>10</v>
      </c>
      <c r="E40" s="3962" t="s">
        <v>273</v>
      </c>
      <c r="F40" s="3963"/>
      <c r="G40" s="3963"/>
      <c r="H40" s="3963"/>
      <c r="I40" s="3963"/>
      <c r="J40" s="3963"/>
      <c r="K40" s="3963"/>
      <c r="L40" s="383"/>
      <c r="M40" s="384"/>
      <c r="N40" s="384"/>
      <c r="O40" s="385"/>
      <c r="P40" s="384"/>
      <c r="Q40" s="383"/>
      <c r="R40" s="384"/>
      <c r="S40" s="386"/>
      <c r="T40" s="383"/>
      <c r="U40" s="383"/>
      <c r="V40" s="383"/>
      <c r="W40" s="387"/>
      <c r="X40" s="387"/>
      <c r="Y40" s="387"/>
      <c r="Z40" s="388"/>
      <c r="AA40" s="383"/>
      <c r="AB40" s="384"/>
      <c r="AC40" s="384"/>
      <c r="AD40" s="384"/>
      <c r="AE40" s="384"/>
      <c r="AF40" s="384"/>
      <c r="AG40" s="384"/>
      <c r="AH40" s="384"/>
      <c r="AI40" s="384"/>
      <c r="AJ40" s="384"/>
      <c r="AK40" s="384"/>
      <c r="AL40" s="384"/>
      <c r="AM40" s="384"/>
      <c r="AN40" s="384"/>
      <c r="AO40" s="384"/>
      <c r="AP40" s="384"/>
      <c r="AQ40" s="384"/>
      <c r="AR40" s="384"/>
      <c r="AS40" s="384"/>
      <c r="AT40" s="384"/>
      <c r="AU40" s="384"/>
      <c r="AV40" s="384"/>
      <c r="AW40" s="384"/>
      <c r="AX40" s="384"/>
      <c r="AY40" s="384"/>
      <c r="AZ40" s="384"/>
      <c r="BA40" s="384"/>
      <c r="BB40" s="384"/>
      <c r="BC40" s="384"/>
      <c r="BD40" s="384"/>
      <c r="BE40" s="384"/>
      <c r="BF40" s="384"/>
      <c r="BG40" s="384"/>
      <c r="BH40" s="384"/>
      <c r="BI40" s="389"/>
      <c r="BJ40" s="389"/>
      <c r="BK40" s="384"/>
      <c r="BL40" s="384"/>
      <c r="BM40" s="390"/>
      <c r="BN40" s="384"/>
      <c r="BO40" s="384"/>
      <c r="BP40" s="384"/>
      <c r="BQ40" s="384"/>
      <c r="BR40" s="391"/>
    </row>
    <row r="41" spans="1:70" s="360" customFormat="1" ht="27" customHeight="1" x14ac:dyDescent="0.2">
      <c r="A41" s="392"/>
      <c r="B41" s="393"/>
      <c r="C41" s="393"/>
      <c r="D41" s="394"/>
      <c r="E41" s="395"/>
      <c r="F41" s="396"/>
      <c r="G41" s="361">
        <v>32</v>
      </c>
      <c r="H41" s="3958" t="s">
        <v>274</v>
      </c>
      <c r="I41" s="3959"/>
      <c r="J41" s="3959"/>
      <c r="K41" s="3959"/>
      <c r="L41" s="3959"/>
      <c r="M41" s="363"/>
      <c r="N41" s="363"/>
      <c r="O41" s="364"/>
      <c r="P41" s="363"/>
      <c r="Q41" s="362"/>
      <c r="R41" s="363"/>
      <c r="S41" s="365"/>
      <c r="T41" s="362"/>
      <c r="U41" s="362"/>
      <c r="V41" s="362"/>
      <c r="W41" s="376" t="s">
        <v>275</v>
      </c>
      <c r="X41" s="376"/>
      <c r="Y41" s="376"/>
      <c r="Z41" s="377"/>
      <c r="AA41" s="362"/>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3"/>
      <c r="AY41" s="363"/>
      <c r="AZ41" s="363"/>
      <c r="BA41" s="363"/>
      <c r="BB41" s="363"/>
      <c r="BC41" s="363"/>
      <c r="BD41" s="363"/>
      <c r="BE41" s="363"/>
      <c r="BF41" s="363"/>
      <c r="BG41" s="363"/>
      <c r="BH41" s="363"/>
      <c r="BI41" s="369"/>
      <c r="BJ41" s="369"/>
      <c r="BK41" s="363"/>
      <c r="BL41" s="363"/>
      <c r="BM41" s="370"/>
      <c r="BN41" s="363"/>
      <c r="BO41" s="363"/>
      <c r="BP41" s="363"/>
      <c r="BQ41" s="363"/>
      <c r="BR41" s="371"/>
    </row>
    <row r="42" spans="1:70" s="360" customFormat="1" ht="48" customHeight="1" x14ac:dyDescent="0.2">
      <c r="A42" s="322"/>
      <c r="B42" s="323"/>
      <c r="C42" s="323"/>
      <c r="D42" s="325"/>
      <c r="E42" s="3952"/>
      <c r="F42" s="3953"/>
      <c r="G42" s="372"/>
      <c r="H42" s="3954"/>
      <c r="I42" s="3955"/>
      <c r="J42" s="3912">
        <v>119</v>
      </c>
      <c r="K42" s="3928" t="s">
        <v>276</v>
      </c>
      <c r="L42" s="3928" t="s">
        <v>219</v>
      </c>
      <c r="M42" s="3912">
        <v>7</v>
      </c>
      <c r="N42" s="3912">
        <v>12</v>
      </c>
      <c r="O42" s="3931" t="s">
        <v>277</v>
      </c>
      <c r="P42" s="3931">
        <v>49</v>
      </c>
      <c r="Q42" s="3928" t="s">
        <v>278</v>
      </c>
      <c r="R42" s="3792">
        <f>SUM(W42:W48)/S42</f>
        <v>1</v>
      </c>
      <c r="S42" s="3926">
        <f>SUM(W42:W48)</f>
        <v>542559393</v>
      </c>
      <c r="T42" s="3928" t="s">
        <v>279</v>
      </c>
      <c r="U42" s="3928" t="s">
        <v>280</v>
      </c>
      <c r="V42" s="3928" t="s">
        <v>281</v>
      </c>
      <c r="W42" s="351">
        <f>175000000-8217634</f>
        <v>166782366</v>
      </c>
      <c r="X42" s="351">
        <v>149308483</v>
      </c>
      <c r="Y42" s="351">
        <f>34681183+40000000+40577300+30000000+4050000</f>
        <v>149308483</v>
      </c>
      <c r="Z42" s="375">
        <v>47</v>
      </c>
      <c r="AA42" s="373" t="s">
        <v>282</v>
      </c>
      <c r="AB42" s="3931">
        <v>85278</v>
      </c>
      <c r="AC42" s="3931"/>
      <c r="AD42" s="3931">
        <v>85277</v>
      </c>
      <c r="AE42" s="3931"/>
      <c r="AF42" s="3922">
        <v>17056</v>
      </c>
      <c r="AG42" s="333"/>
      <c r="AH42" s="3922">
        <v>34111</v>
      </c>
      <c r="AI42" s="3922"/>
      <c r="AJ42" s="3922">
        <v>85278</v>
      </c>
      <c r="AK42" s="3922"/>
      <c r="AL42" s="3922">
        <v>25582</v>
      </c>
      <c r="AM42" s="333"/>
      <c r="AN42" s="3922">
        <v>4263.875</v>
      </c>
      <c r="AO42" s="3922"/>
      <c r="AP42" s="3922">
        <v>4264</v>
      </c>
      <c r="AQ42" s="333"/>
      <c r="AR42" s="3922"/>
      <c r="AS42" s="333"/>
      <c r="AT42" s="3922"/>
      <c r="AU42" s="333"/>
      <c r="AV42" s="3922"/>
      <c r="AW42" s="333"/>
      <c r="AX42" s="333"/>
      <c r="AY42" s="333"/>
      <c r="AZ42" s="333"/>
      <c r="BA42" s="333"/>
      <c r="BB42" s="333"/>
      <c r="BC42" s="3922"/>
      <c r="BD42" s="333"/>
      <c r="BE42" s="333"/>
      <c r="BF42" s="3922">
        <v>170555</v>
      </c>
      <c r="BG42" s="3922"/>
      <c r="BH42" s="3924">
        <f>1+10+2</f>
        <v>13</v>
      </c>
      <c r="BI42" s="3809">
        <f>SUM(X42:X48)</f>
        <v>436681507</v>
      </c>
      <c r="BJ42" s="3809">
        <f>Y42+Y45+Y46+Y48+Y43+Y44+Y47</f>
        <v>323516536</v>
      </c>
      <c r="BK42" s="3948">
        <f>+BJ42/BI42</f>
        <v>0.74085238512287166</v>
      </c>
      <c r="BL42" s="3924" t="s">
        <v>283</v>
      </c>
      <c r="BM42" s="3928" t="s">
        <v>284</v>
      </c>
      <c r="BN42" s="3935">
        <v>43466</v>
      </c>
      <c r="BO42" s="3935">
        <v>43502</v>
      </c>
      <c r="BP42" s="3935">
        <v>43830</v>
      </c>
      <c r="BQ42" s="3935">
        <v>43812</v>
      </c>
      <c r="BR42" s="3940" t="s">
        <v>227</v>
      </c>
    </row>
    <row r="43" spans="1:70" s="360" customFormat="1" ht="48" customHeight="1" x14ac:dyDescent="0.2">
      <c r="A43" s="322"/>
      <c r="B43" s="323"/>
      <c r="C43" s="323"/>
      <c r="D43" s="325"/>
      <c r="E43" s="3952"/>
      <c r="F43" s="3953"/>
      <c r="G43" s="372"/>
      <c r="H43" s="3952"/>
      <c r="I43" s="3953"/>
      <c r="J43" s="3913"/>
      <c r="K43" s="3929"/>
      <c r="L43" s="3929"/>
      <c r="M43" s="3913"/>
      <c r="N43" s="3913"/>
      <c r="O43" s="3932"/>
      <c r="P43" s="3932"/>
      <c r="Q43" s="3929"/>
      <c r="R43" s="3793"/>
      <c r="S43" s="3927"/>
      <c r="T43" s="3929"/>
      <c r="U43" s="3929"/>
      <c r="V43" s="3929"/>
      <c r="W43" s="350">
        <v>61380526</v>
      </c>
      <c r="X43" s="350">
        <v>61380000</v>
      </c>
      <c r="Y43" s="350">
        <f>3729654+3740808</f>
        <v>7470462</v>
      </c>
      <c r="Z43" s="397">
        <v>20</v>
      </c>
      <c r="AA43" s="373" t="s">
        <v>285</v>
      </c>
      <c r="AB43" s="3932"/>
      <c r="AC43" s="3932"/>
      <c r="AD43" s="3932"/>
      <c r="AE43" s="3932"/>
      <c r="AF43" s="3923"/>
      <c r="AG43" s="339"/>
      <c r="AH43" s="3923"/>
      <c r="AI43" s="3923"/>
      <c r="AJ43" s="3923"/>
      <c r="AK43" s="3923"/>
      <c r="AL43" s="3923"/>
      <c r="AM43" s="339"/>
      <c r="AN43" s="3923"/>
      <c r="AO43" s="3923"/>
      <c r="AP43" s="3923"/>
      <c r="AQ43" s="339"/>
      <c r="AR43" s="3923"/>
      <c r="AS43" s="339"/>
      <c r="AT43" s="3923"/>
      <c r="AU43" s="339"/>
      <c r="AV43" s="3923"/>
      <c r="AW43" s="339"/>
      <c r="AX43" s="339"/>
      <c r="AY43" s="339"/>
      <c r="AZ43" s="339"/>
      <c r="BA43" s="339"/>
      <c r="BB43" s="339"/>
      <c r="BC43" s="3923"/>
      <c r="BD43" s="339"/>
      <c r="BE43" s="339"/>
      <c r="BF43" s="3923"/>
      <c r="BG43" s="3923"/>
      <c r="BH43" s="3925"/>
      <c r="BI43" s="3810"/>
      <c r="BJ43" s="3810"/>
      <c r="BK43" s="3949"/>
      <c r="BL43" s="3925"/>
      <c r="BM43" s="3929"/>
      <c r="BN43" s="3936"/>
      <c r="BO43" s="3936"/>
      <c r="BP43" s="3936"/>
      <c r="BQ43" s="3936"/>
      <c r="BR43" s="3941"/>
    </row>
    <row r="44" spans="1:70" s="360" customFormat="1" ht="51" customHeight="1" x14ac:dyDescent="0.2">
      <c r="A44" s="322"/>
      <c r="B44" s="323"/>
      <c r="C44" s="323"/>
      <c r="D44" s="325"/>
      <c r="E44" s="3952"/>
      <c r="F44" s="3953"/>
      <c r="G44" s="372"/>
      <c r="H44" s="3952"/>
      <c r="I44" s="3953"/>
      <c r="J44" s="3913"/>
      <c r="K44" s="3929"/>
      <c r="L44" s="3929"/>
      <c r="M44" s="3913"/>
      <c r="N44" s="3913"/>
      <c r="O44" s="3932"/>
      <c r="P44" s="3932"/>
      <c r="Q44" s="3929"/>
      <c r="R44" s="3793"/>
      <c r="S44" s="3927"/>
      <c r="T44" s="3929"/>
      <c r="U44" s="3929"/>
      <c r="V44" s="3945"/>
      <c r="W44" s="398">
        <f>0+219596501</f>
        <v>219596501</v>
      </c>
      <c r="X44" s="399">
        <v>135656591</v>
      </c>
      <c r="Y44" s="399">
        <f>19355000+116301591</f>
        <v>135656591</v>
      </c>
      <c r="Z44" s="400">
        <v>93</v>
      </c>
      <c r="AA44" s="359" t="s">
        <v>286</v>
      </c>
      <c r="AB44" s="3932"/>
      <c r="AC44" s="3932"/>
      <c r="AD44" s="3932"/>
      <c r="AE44" s="3932"/>
      <c r="AF44" s="3923"/>
      <c r="AG44" s="339"/>
      <c r="AH44" s="3923"/>
      <c r="AI44" s="3923"/>
      <c r="AJ44" s="3923"/>
      <c r="AK44" s="3923"/>
      <c r="AL44" s="3923"/>
      <c r="AM44" s="339"/>
      <c r="AN44" s="3923"/>
      <c r="AO44" s="3923"/>
      <c r="AP44" s="3923"/>
      <c r="AQ44" s="339"/>
      <c r="AR44" s="3923"/>
      <c r="AS44" s="339"/>
      <c r="AT44" s="3923"/>
      <c r="AU44" s="339"/>
      <c r="AV44" s="3923"/>
      <c r="AW44" s="339"/>
      <c r="AX44" s="339"/>
      <c r="AY44" s="339"/>
      <c r="AZ44" s="339"/>
      <c r="BA44" s="339"/>
      <c r="BB44" s="339"/>
      <c r="BC44" s="3923"/>
      <c r="BD44" s="339"/>
      <c r="BE44" s="339"/>
      <c r="BF44" s="3923"/>
      <c r="BG44" s="3923"/>
      <c r="BH44" s="3925"/>
      <c r="BI44" s="3810"/>
      <c r="BJ44" s="3810"/>
      <c r="BK44" s="3949"/>
      <c r="BL44" s="3925"/>
      <c r="BM44" s="3929"/>
      <c r="BN44" s="3936"/>
      <c r="BO44" s="3936"/>
      <c r="BP44" s="3936"/>
      <c r="BQ44" s="3936"/>
      <c r="BR44" s="3941"/>
    </row>
    <row r="45" spans="1:70" s="360" customFormat="1" ht="47.25" customHeight="1" x14ac:dyDescent="0.2">
      <c r="A45" s="322"/>
      <c r="B45" s="323"/>
      <c r="C45" s="323"/>
      <c r="D45" s="325"/>
      <c r="E45" s="3952"/>
      <c r="F45" s="3953"/>
      <c r="G45" s="372"/>
      <c r="H45" s="3952"/>
      <c r="I45" s="3953"/>
      <c r="J45" s="3913"/>
      <c r="K45" s="3929"/>
      <c r="L45" s="3929"/>
      <c r="M45" s="3913"/>
      <c r="N45" s="3913"/>
      <c r="O45" s="3932"/>
      <c r="P45" s="3932"/>
      <c r="Q45" s="3929"/>
      <c r="R45" s="3793"/>
      <c r="S45" s="3927"/>
      <c r="T45" s="3929"/>
      <c r="U45" s="3929"/>
      <c r="V45" s="401" t="s">
        <v>287</v>
      </c>
      <c r="W45" s="402">
        <v>1000000</v>
      </c>
      <c r="X45" s="351">
        <v>0</v>
      </c>
      <c r="Y45" s="351"/>
      <c r="Z45" s="403">
        <v>47</v>
      </c>
      <c r="AA45" s="359" t="s">
        <v>282</v>
      </c>
      <c r="AB45" s="3932"/>
      <c r="AC45" s="3932"/>
      <c r="AD45" s="3932"/>
      <c r="AE45" s="3932"/>
      <c r="AF45" s="3923"/>
      <c r="AG45" s="339"/>
      <c r="AH45" s="3923"/>
      <c r="AI45" s="3923"/>
      <c r="AJ45" s="3923"/>
      <c r="AK45" s="3923"/>
      <c r="AL45" s="3923"/>
      <c r="AM45" s="339"/>
      <c r="AN45" s="3923"/>
      <c r="AO45" s="3923"/>
      <c r="AP45" s="3923"/>
      <c r="AQ45" s="339"/>
      <c r="AR45" s="3923"/>
      <c r="AS45" s="339"/>
      <c r="AT45" s="3923"/>
      <c r="AU45" s="339"/>
      <c r="AV45" s="3923"/>
      <c r="AW45" s="339"/>
      <c r="AX45" s="339"/>
      <c r="AY45" s="339"/>
      <c r="AZ45" s="339"/>
      <c r="BA45" s="339"/>
      <c r="BB45" s="339"/>
      <c r="BC45" s="3923"/>
      <c r="BD45" s="339"/>
      <c r="BE45" s="339"/>
      <c r="BF45" s="3923"/>
      <c r="BG45" s="3923"/>
      <c r="BH45" s="3925"/>
      <c r="BI45" s="3810"/>
      <c r="BJ45" s="3810"/>
      <c r="BK45" s="3949"/>
      <c r="BL45" s="3925"/>
      <c r="BM45" s="3929"/>
      <c r="BN45" s="3936"/>
      <c r="BO45" s="3938"/>
      <c r="BP45" s="3936"/>
      <c r="BQ45" s="3938"/>
      <c r="BR45" s="3941"/>
    </row>
    <row r="46" spans="1:70" s="360" customFormat="1" ht="48" customHeight="1" x14ac:dyDescent="0.2">
      <c r="A46" s="322"/>
      <c r="B46" s="323"/>
      <c r="C46" s="323"/>
      <c r="D46" s="325"/>
      <c r="E46" s="3952"/>
      <c r="F46" s="3953"/>
      <c r="G46" s="372"/>
      <c r="H46" s="3952"/>
      <c r="I46" s="3953"/>
      <c r="J46" s="3913"/>
      <c r="K46" s="3929"/>
      <c r="L46" s="3929"/>
      <c r="M46" s="3913"/>
      <c r="N46" s="3913"/>
      <c r="O46" s="3932"/>
      <c r="P46" s="3932"/>
      <c r="Q46" s="3929"/>
      <c r="R46" s="3793"/>
      <c r="S46" s="3927"/>
      <c r="T46" s="3929"/>
      <c r="U46" s="3943"/>
      <c r="V46" s="404" t="s">
        <v>288</v>
      </c>
      <c r="W46" s="405">
        <f>33800000+5613000</f>
        <v>39413000</v>
      </c>
      <c r="X46" s="351">
        <v>35949433</v>
      </c>
      <c r="Y46" s="351">
        <f>3583000+3583000+3583000+3583000+7166000+3583000</f>
        <v>25081000</v>
      </c>
      <c r="Z46" s="406">
        <v>20</v>
      </c>
      <c r="AA46" s="359" t="s">
        <v>285</v>
      </c>
      <c r="AB46" s="3932"/>
      <c r="AC46" s="3932"/>
      <c r="AD46" s="3932"/>
      <c r="AE46" s="3932"/>
      <c r="AF46" s="3923"/>
      <c r="AG46" s="339"/>
      <c r="AH46" s="3923"/>
      <c r="AI46" s="3923"/>
      <c r="AJ46" s="3923"/>
      <c r="AK46" s="3923"/>
      <c r="AL46" s="3923"/>
      <c r="AM46" s="339"/>
      <c r="AN46" s="3923"/>
      <c r="AO46" s="3923"/>
      <c r="AP46" s="3923"/>
      <c r="AQ46" s="339"/>
      <c r="AR46" s="3923"/>
      <c r="AS46" s="339"/>
      <c r="AT46" s="3923"/>
      <c r="AU46" s="339"/>
      <c r="AV46" s="3923"/>
      <c r="AW46" s="339"/>
      <c r="AX46" s="339"/>
      <c r="AY46" s="339"/>
      <c r="AZ46" s="339"/>
      <c r="BA46" s="339"/>
      <c r="BB46" s="339"/>
      <c r="BC46" s="3923"/>
      <c r="BD46" s="339"/>
      <c r="BE46" s="339"/>
      <c r="BF46" s="3923"/>
      <c r="BG46" s="3923"/>
      <c r="BH46" s="3925"/>
      <c r="BI46" s="3810"/>
      <c r="BJ46" s="3810"/>
      <c r="BK46" s="3949"/>
      <c r="BL46" s="3925"/>
      <c r="BM46" s="3929"/>
      <c r="BN46" s="3936"/>
      <c r="BO46" s="3938"/>
      <c r="BP46" s="3936"/>
      <c r="BQ46" s="3938"/>
      <c r="BR46" s="3941"/>
    </row>
    <row r="47" spans="1:70" s="360" customFormat="1" ht="33" customHeight="1" x14ac:dyDescent="0.2">
      <c r="A47" s="322"/>
      <c r="B47" s="323"/>
      <c r="C47" s="323"/>
      <c r="D47" s="325"/>
      <c r="E47" s="3952"/>
      <c r="F47" s="3953"/>
      <c r="G47" s="372"/>
      <c r="H47" s="3952"/>
      <c r="I47" s="3953"/>
      <c r="J47" s="3913"/>
      <c r="K47" s="3929"/>
      <c r="L47" s="3929"/>
      <c r="M47" s="3913"/>
      <c r="N47" s="3913"/>
      <c r="O47" s="3932"/>
      <c r="P47" s="3932"/>
      <c r="Q47" s="3929"/>
      <c r="R47" s="3793"/>
      <c r="S47" s="3927"/>
      <c r="T47" s="3929"/>
      <c r="U47" s="3928" t="s">
        <v>289</v>
      </c>
      <c r="V47" s="3928" t="s">
        <v>290</v>
      </c>
      <c r="W47" s="350">
        <f>54000000-5613000</f>
        <v>48387000</v>
      </c>
      <c r="X47" s="350">
        <v>48387000</v>
      </c>
      <c r="Y47" s="350"/>
      <c r="Z47" s="375">
        <v>20</v>
      </c>
      <c r="AA47" s="359" t="s">
        <v>285</v>
      </c>
      <c r="AB47" s="3932"/>
      <c r="AC47" s="3932"/>
      <c r="AD47" s="3932"/>
      <c r="AE47" s="3932"/>
      <c r="AF47" s="3923"/>
      <c r="AG47" s="339"/>
      <c r="AH47" s="3923"/>
      <c r="AI47" s="3923"/>
      <c r="AJ47" s="3923"/>
      <c r="AK47" s="3923"/>
      <c r="AL47" s="3923"/>
      <c r="AM47" s="339"/>
      <c r="AN47" s="3923"/>
      <c r="AO47" s="3923"/>
      <c r="AP47" s="3923"/>
      <c r="AQ47" s="339"/>
      <c r="AR47" s="3923"/>
      <c r="AS47" s="339"/>
      <c r="AT47" s="3923"/>
      <c r="AU47" s="339"/>
      <c r="AV47" s="3923"/>
      <c r="AW47" s="339"/>
      <c r="AX47" s="339"/>
      <c r="AY47" s="339"/>
      <c r="AZ47" s="339"/>
      <c r="BA47" s="339"/>
      <c r="BB47" s="339"/>
      <c r="BC47" s="3923"/>
      <c r="BD47" s="339"/>
      <c r="BE47" s="339"/>
      <c r="BF47" s="3923"/>
      <c r="BG47" s="3923"/>
      <c r="BH47" s="3925"/>
      <c r="BI47" s="3810"/>
      <c r="BJ47" s="3810"/>
      <c r="BK47" s="3949"/>
      <c r="BL47" s="3925"/>
      <c r="BM47" s="3929"/>
      <c r="BN47" s="3936"/>
      <c r="BO47" s="3938"/>
      <c r="BP47" s="3936"/>
      <c r="BQ47" s="3938"/>
      <c r="BR47" s="3941"/>
    </row>
    <row r="48" spans="1:70" s="360" customFormat="1" ht="37.5" customHeight="1" x14ac:dyDescent="0.2">
      <c r="A48" s="322"/>
      <c r="B48" s="323"/>
      <c r="C48" s="323"/>
      <c r="D48" s="325"/>
      <c r="E48" s="3952"/>
      <c r="F48" s="3953"/>
      <c r="G48" s="372"/>
      <c r="H48" s="3956"/>
      <c r="I48" s="3957"/>
      <c r="J48" s="3934"/>
      <c r="K48" s="3943"/>
      <c r="L48" s="3943"/>
      <c r="M48" s="3934"/>
      <c r="N48" s="3934"/>
      <c r="O48" s="3946"/>
      <c r="P48" s="3946"/>
      <c r="Q48" s="3943"/>
      <c r="R48" s="3794"/>
      <c r="S48" s="3947"/>
      <c r="T48" s="3943"/>
      <c r="U48" s="3943"/>
      <c r="V48" s="3943"/>
      <c r="W48" s="350">
        <v>6000000</v>
      </c>
      <c r="X48" s="350">
        <v>6000000</v>
      </c>
      <c r="Y48" s="350">
        <v>6000000</v>
      </c>
      <c r="Z48" s="375">
        <v>47</v>
      </c>
      <c r="AA48" s="373" t="s">
        <v>291</v>
      </c>
      <c r="AB48" s="3946"/>
      <c r="AC48" s="3946"/>
      <c r="AD48" s="3946"/>
      <c r="AE48" s="3946"/>
      <c r="AF48" s="3944"/>
      <c r="AG48" s="346"/>
      <c r="AH48" s="3944"/>
      <c r="AI48" s="3944"/>
      <c r="AJ48" s="3944"/>
      <c r="AK48" s="3944"/>
      <c r="AL48" s="3944"/>
      <c r="AM48" s="346"/>
      <c r="AN48" s="3944"/>
      <c r="AO48" s="3944"/>
      <c r="AP48" s="3944"/>
      <c r="AQ48" s="346"/>
      <c r="AR48" s="3944"/>
      <c r="AS48" s="346"/>
      <c r="AT48" s="3944"/>
      <c r="AU48" s="346"/>
      <c r="AV48" s="3944"/>
      <c r="AW48" s="346"/>
      <c r="AX48" s="346"/>
      <c r="AY48" s="346"/>
      <c r="AZ48" s="346"/>
      <c r="BA48" s="346"/>
      <c r="BB48" s="346"/>
      <c r="BC48" s="3944"/>
      <c r="BD48" s="346"/>
      <c r="BE48" s="346"/>
      <c r="BF48" s="3944"/>
      <c r="BG48" s="3944"/>
      <c r="BH48" s="3951"/>
      <c r="BI48" s="3811"/>
      <c r="BJ48" s="3811"/>
      <c r="BK48" s="3950"/>
      <c r="BL48" s="3951"/>
      <c r="BM48" s="3943"/>
      <c r="BN48" s="3937"/>
      <c r="BO48" s="3939"/>
      <c r="BP48" s="3937"/>
      <c r="BQ48" s="3939"/>
      <c r="BR48" s="3942"/>
    </row>
    <row r="49" spans="1:70" s="360" customFormat="1" ht="27" customHeight="1" x14ac:dyDescent="0.2">
      <c r="A49" s="407"/>
      <c r="B49" s="408"/>
      <c r="C49" s="408"/>
      <c r="D49" s="409"/>
      <c r="E49" s="3952"/>
      <c r="F49" s="3953"/>
      <c r="G49" s="361">
        <v>32</v>
      </c>
      <c r="H49" s="3958" t="s">
        <v>274</v>
      </c>
      <c r="I49" s="3959"/>
      <c r="J49" s="3959"/>
      <c r="K49" s="3959"/>
      <c r="L49" s="3959"/>
      <c r="M49" s="363"/>
      <c r="N49" s="363"/>
      <c r="O49" s="364"/>
      <c r="P49" s="363"/>
      <c r="Q49" s="362"/>
      <c r="R49" s="363"/>
      <c r="S49" s="365"/>
      <c r="T49" s="362"/>
      <c r="U49" s="362"/>
      <c r="V49" s="362"/>
      <c r="W49" s="410"/>
      <c r="X49" s="410"/>
      <c r="Y49" s="410"/>
      <c r="Z49" s="377"/>
      <c r="AA49" s="362"/>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9"/>
      <c r="BJ49" s="369"/>
      <c r="BK49" s="363"/>
      <c r="BL49" s="363"/>
      <c r="BM49" s="370"/>
      <c r="BN49" s="363"/>
      <c r="BO49" s="363"/>
      <c r="BP49" s="363"/>
      <c r="BQ49" s="363"/>
      <c r="BR49" s="371"/>
    </row>
    <row r="50" spans="1:70" s="360" customFormat="1" ht="38.25" customHeight="1" x14ac:dyDescent="0.2">
      <c r="A50" s="322"/>
      <c r="B50" s="323"/>
      <c r="C50" s="323"/>
      <c r="D50" s="325"/>
      <c r="E50" s="3952"/>
      <c r="F50" s="3953"/>
      <c r="G50" s="372"/>
      <c r="H50" s="3954"/>
      <c r="I50" s="3955"/>
      <c r="J50" s="3912">
        <v>120</v>
      </c>
      <c r="K50" s="3914" t="s">
        <v>292</v>
      </c>
      <c r="L50" s="3928" t="s">
        <v>219</v>
      </c>
      <c r="M50" s="3912">
        <v>2</v>
      </c>
      <c r="N50" s="3912">
        <v>1</v>
      </c>
      <c r="O50" s="3931" t="s">
        <v>293</v>
      </c>
      <c r="P50" s="3931">
        <v>50</v>
      </c>
      <c r="Q50" s="3928" t="s">
        <v>294</v>
      </c>
      <c r="R50" s="3792">
        <f>(W50+W51+W52)/S50</f>
        <v>0.46469303182579563</v>
      </c>
      <c r="S50" s="3926">
        <f>SUM(W50:W55)</f>
        <v>119400000</v>
      </c>
      <c r="T50" s="3928" t="s">
        <v>295</v>
      </c>
      <c r="U50" s="3930" t="s">
        <v>296</v>
      </c>
      <c r="V50" s="373" t="s">
        <v>297</v>
      </c>
      <c r="W50" s="351">
        <f>20000000-7000000</f>
        <v>13000000</v>
      </c>
      <c r="X50" s="351">
        <v>13000000</v>
      </c>
      <c r="Y50" s="351"/>
      <c r="Z50" s="375">
        <v>20</v>
      </c>
      <c r="AA50" s="373" t="s">
        <v>124</v>
      </c>
      <c r="AB50" s="3931">
        <v>142127</v>
      </c>
      <c r="AC50" s="332"/>
      <c r="AD50" s="3931">
        <v>142127</v>
      </c>
      <c r="AE50" s="332"/>
      <c r="AF50" s="3922">
        <v>85276</v>
      </c>
      <c r="AG50" s="333"/>
      <c r="AH50" s="3922">
        <v>85276</v>
      </c>
      <c r="AI50" s="333"/>
      <c r="AJ50" s="3922">
        <v>99489</v>
      </c>
      <c r="AK50" s="333"/>
      <c r="AL50" s="3922">
        <v>14212.7</v>
      </c>
      <c r="AM50" s="333"/>
      <c r="AN50" s="3922">
        <v>0</v>
      </c>
      <c r="AO50" s="333"/>
      <c r="AP50" s="3922">
        <v>0</v>
      </c>
      <c r="AQ50" s="333"/>
      <c r="AR50" s="3922">
        <v>0</v>
      </c>
      <c r="AS50" s="333"/>
      <c r="AT50" s="3922">
        <v>0</v>
      </c>
      <c r="AU50" s="333"/>
      <c r="AV50" s="3922">
        <v>0</v>
      </c>
      <c r="AW50" s="333"/>
      <c r="AX50" s="3922">
        <v>0</v>
      </c>
      <c r="AY50" s="333"/>
      <c r="AZ50" s="333"/>
      <c r="BA50" s="333"/>
      <c r="BB50" s="333"/>
      <c r="BC50" s="333"/>
      <c r="BD50" s="333"/>
      <c r="BE50" s="333"/>
      <c r="BF50" s="3922">
        <f>AB50+AD50</f>
        <v>284254</v>
      </c>
      <c r="BG50" s="333"/>
      <c r="BH50" s="3924">
        <f>4+2</f>
        <v>6</v>
      </c>
      <c r="BI50" s="3809">
        <f>X50+X51+X52+X53+X54+X55</f>
        <v>72680200</v>
      </c>
      <c r="BJ50" s="3809">
        <f>Y50+Y51+Y52+Y54+Y53+Y55</f>
        <v>34587900</v>
      </c>
      <c r="BK50" s="3916">
        <f>BJ50/BI50</f>
        <v>0.47589164586778793</v>
      </c>
      <c r="BL50" s="3918" t="s">
        <v>298</v>
      </c>
      <c r="BM50" s="3920" t="s">
        <v>299</v>
      </c>
      <c r="BN50" s="3906">
        <v>43466</v>
      </c>
      <c r="BO50" s="3906">
        <v>43489</v>
      </c>
      <c r="BP50" s="3906">
        <v>43830</v>
      </c>
      <c r="BQ50" s="3906">
        <v>43812</v>
      </c>
      <c r="BR50" s="3908" t="s">
        <v>253</v>
      </c>
    </row>
    <row r="51" spans="1:70" s="360" customFormat="1" ht="38.25" customHeight="1" x14ac:dyDescent="0.2">
      <c r="A51" s="322"/>
      <c r="B51" s="323"/>
      <c r="C51" s="323"/>
      <c r="D51" s="325"/>
      <c r="E51" s="3952"/>
      <c r="F51" s="3953"/>
      <c r="G51" s="372"/>
      <c r="H51" s="3952"/>
      <c r="I51" s="3953"/>
      <c r="J51" s="3913"/>
      <c r="K51" s="3915"/>
      <c r="L51" s="3929"/>
      <c r="M51" s="3913"/>
      <c r="N51" s="3913"/>
      <c r="O51" s="3932"/>
      <c r="P51" s="3932"/>
      <c r="Q51" s="3929"/>
      <c r="R51" s="3793"/>
      <c r="S51" s="3927"/>
      <c r="T51" s="3929"/>
      <c r="U51" s="3930"/>
      <c r="V51" s="3910" t="s">
        <v>300</v>
      </c>
      <c r="W51" s="411">
        <v>2484348</v>
      </c>
      <c r="X51" s="411">
        <v>2484000</v>
      </c>
      <c r="Y51" s="411">
        <v>2484000</v>
      </c>
      <c r="Z51" s="397">
        <v>20</v>
      </c>
      <c r="AA51" s="331" t="s">
        <v>124</v>
      </c>
      <c r="AB51" s="3932"/>
      <c r="AC51" s="338"/>
      <c r="AD51" s="3932"/>
      <c r="AE51" s="338"/>
      <c r="AF51" s="3923"/>
      <c r="AG51" s="339"/>
      <c r="AH51" s="3923"/>
      <c r="AI51" s="339"/>
      <c r="AJ51" s="3923"/>
      <c r="AK51" s="339"/>
      <c r="AL51" s="3923"/>
      <c r="AM51" s="339"/>
      <c r="AN51" s="3923"/>
      <c r="AO51" s="339"/>
      <c r="AP51" s="3923"/>
      <c r="AQ51" s="339"/>
      <c r="AR51" s="3923"/>
      <c r="AS51" s="339"/>
      <c r="AT51" s="3923"/>
      <c r="AU51" s="339"/>
      <c r="AV51" s="3923"/>
      <c r="AW51" s="339"/>
      <c r="AX51" s="3923"/>
      <c r="AY51" s="339"/>
      <c r="AZ51" s="339"/>
      <c r="BA51" s="339"/>
      <c r="BB51" s="339"/>
      <c r="BC51" s="339"/>
      <c r="BD51" s="339"/>
      <c r="BE51" s="339"/>
      <c r="BF51" s="3923"/>
      <c r="BG51" s="339"/>
      <c r="BH51" s="3925"/>
      <c r="BI51" s="3810"/>
      <c r="BJ51" s="3810"/>
      <c r="BK51" s="3916"/>
      <c r="BL51" s="3919"/>
      <c r="BM51" s="3921"/>
      <c r="BN51" s="3907"/>
      <c r="BO51" s="3907"/>
      <c r="BP51" s="3907"/>
      <c r="BQ51" s="3907"/>
      <c r="BR51" s="3909"/>
    </row>
    <row r="52" spans="1:70" s="360" customFormat="1" ht="45" customHeight="1" x14ac:dyDescent="0.2">
      <c r="A52" s="322"/>
      <c r="B52" s="323"/>
      <c r="C52" s="323"/>
      <c r="D52" s="325"/>
      <c r="E52" s="3952"/>
      <c r="F52" s="3953"/>
      <c r="G52" s="372"/>
      <c r="H52" s="3952"/>
      <c r="I52" s="3953"/>
      <c r="J52" s="3913"/>
      <c r="K52" s="3915"/>
      <c r="L52" s="3929"/>
      <c r="M52" s="3913"/>
      <c r="N52" s="3934"/>
      <c r="O52" s="3932"/>
      <c r="P52" s="3932"/>
      <c r="Q52" s="3929"/>
      <c r="R52" s="3793"/>
      <c r="S52" s="3927"/>
      <c r="T52" s="3929"/>
      <c r="U52" s="3930"/>
      <c r="V52" s="3911"/>
      <c r="W52" s="412">
        <f>0+40000000</f>
        <v>40000000</v>
      </c>
      <c r="X52" s="412">
        <v>0</v>
      </c>
      <c r="Y52" s="412"/>
      <c r="Z52" s="413">
        <v>88</v>
      </c>
      <c r="AA52" s="414" t="s">
        <v>301</v>
      </c>
      <c r="AB52" s="3933"/>
      <c r="AC52" s="415"/>
      <c r="AD52" s="3932"/>
      <c r="AE52" s="338"/>
      <c r="AF52" s="3923"/>
      <c r="AG52" s="339"/>
      <c r="AH52" s="3923"/>
      <c r="AI52" s="339"/>
      <c r="AJ52" s="3923"/>
      <c r="AK52" s="339"/>
      <c r="AL52" s="3923"/>
      <c r="AM52" s="339"/>
      <c r="AN52" s="3923"/>
      <c r="AO52" s="339"/>
      <c r="AP52" s="3923"/>
      <c r="AQ52" s="339"/>
      <c r="AR52" s="3923"/>
      <c r="AS52" s="339"/>
      <c r="AT52" s="3923"/>
      <c r="AU52" s="339"/>
      <c r="AV52" s="3923"/>
      <c r="AW52" s="339"/>
      <c r="AX52" s="3923"/>
      <c r="AY52" s="339"/>
      <c r="AZ52" s="339"/>
      <c r="BA52" s="339"/>
      <c r="BB52" s="339"/>
      <c r="BC52" s="339"/>
      <c r="BD52" s="339"/>
      <c r="BE52" s="339"/>
      <c r="BF52" s="3923"/>
      <c r="BG52" s="339"/>
      <c r="BH52" s="3925"/>
      <c r="BI52" s="3810"/>
      <c r="BJ52" s="3810"/>
      <c r="BK52" s="3916"/>
      <c r="BL52" s="3919"/>
      <c r="BM52" s="3921"/>
      <c r="BN52" s="3907"/>
      <c r="BO52" s="3907"/>
      <c r="BP52" s="3907"/>
      <c r="BQ52" s="3907"/>
      <c r="BR52" s="3909"/>
    </row>
    <row r="53" spans="1:70" s="360" customFormat="1" ht="27" customHeight="1" x14ac:dyDescent="0.2">
      <c r="A53" s="322"/>
      <c r="B53" s="323"/>
      <c r="C53" s="323"/>
      <c r="D53" s="325"/>
      <c r="E53" s="3952"/>
      <c r="F53" s="3953"/>
      <c r="G53" s="372"/>
      <c r="H53" s="3952"/>
      <c r="I53" s="3953"/>
      <c r="J53" s="3912">
        <v>121</v>
      </c>
      <c r="K53" s="3914" t="s">
        <v>302</v>
      </c>
      <c r="L53" s="3929"/>
      <c r="M53" s="3912">
        <v>4</v>
      </c>
      <c r="N53" s="3913">
        <v>3</v>
      </c>
      <c r="O53" s="3932"/>
      <c r="P53" s="3932"/>
      <c r="Q53" s="3929"/>
      <c r="R53" s="3792">
        <f>(W53+W54+W55)/S50</f>
        <v>0.53530696817420431</v>
      </c>
      <c r="S53" s="3927"/>
      <c r="T53" s="3929"/>
      <c r="U53" s="3914" t="s">
        <v>303</v>
      </c>
      <c r="V53" s="359" t="s">
        <v>304</v>
      </c>
      <c r="W53" s="378">
        <f>5558000-5558000</f>
        <v>0</v>
      </c>
      <c r="X53" s="378">
        <v>0</v>
      </c>
      <c r="Y53" s="378"/>
      <c r="Z53" s="416">
        <v>20</v>
      </c>
      <c r="AA53" s="359" t="s">
        <v>124</v>
      </c>
      <c r="AB53" s="3932"/>
      <c r="AC53" s="338"/>
      <c r="AD53" s="3932"/>
      <c r="AE53" s="338"/>
      <c r="AF53" s="3923"/>
      <c r="AG53" s="339"/>
      <c r="AH53" s="3923"/>
      <c r="AI53" s="339"/>
      <c r="AJ53" s="3923"/>
      <c r="AK53" s="339"/>
      <c r="AL53" s="3923"/>
      <c r="AM53" s="339"/>
      <c r="AN53" s="3923"/>
      <c r="AO53" s="339"/>
      <c r="AP53" s="3923"/>
      <c r="AQ53" s="339"/>
      <c r="AR53" s="3923"/>
      <c r="AS53" s="339"/>
      <c r="AT53" s="3923"/>
      <c r="AU53" s="339"/>
      <c r="AV53" s="3923"/>
      <c r="AW53" s="339"/>
      <c r="AX53" s="3923"/>
      <c r="AY53" s="339"/>
      <c r="AZ53" s="339"/>
      <c r="BA53" s="339"/>
      <c r="BB53" s="339"/>
      <c r="BC53" s="339"/>
      <c r="BD53" s="339"/>
      <c r="BE53" s="339"/>
      <c r="BF53" s="3923"/>
      <c r="BG53" s="339"/>
      <c r="BH53" s="3925"/>
      <c r="BI53" s="3810"/>
      <c r="BJ53" s="3810"/>
      <c r="BK53" s="3916"/>
      <c r="BL53" s="3919"/>
      <c r="BM53" s="3921"/>
      <c r="BN53" s="3907"/>
      <c r="BO53" s="3907"/>
      <c r="BP53" s="3907"/>
      <c r="BQ53" s="3907"/>
      <c r="BR53" s="3909"/>
    </row>
    <row r="54" spans="1:70" s="360" customFormat="1" ht="36.75" customHeight="1" x14ac:dyDescent="0.2">
      <c r="A54" s="322"/>
      <c r="B54" s="323"/>
      <c r="C54" s="323"/>
      <c r="D54" s="325"/>
      <c r="E54" s="3952"/>
      <c r="F54" s="3953"/>
      <c r="G54" s="372"/>
      <c r="H54" s="3952"/>
      <c r="I54" s="3953"/>
      <c r="J54" s="3913"/>
      <c r="K54" s="3915"/>
      <c r="L54" s="3929"/>
      <c r="M54" s="3913"/>
      <c r="N54" s="3913"/>
      <c r="O54" s="3932"/>
      <c r="P54" s="3932"/>
      <c r="Q54" s="3929"/>
      <c r="R54" s="3793"/>
      <c r="S54" s="3927"/>
      <c r="T54" s="3929"/>
      <c r="U54" s="3915"/>
      <c r="V54" s="359" t="s">
        <v>305</v>
      </c>
      <c r="W54" s="378">
        <f>31760000+23772000-2484348</f>
        <v>53047652</v>
      </c>
      <c r="X54" s="378">
        <v>46328200</v>
      </c>
      <c r="Y54" s="378">
        <f>7166000+5374000+1791000+836033+6737267+4789000+2798000+1991000</f>
        <v>31482300</v>
      </c>
      <c r="Z54" s="375">
        <v>20</v>
      </c>
      <c r="AA54" s="373" t="s">
        <v>124</v>
      </c>
      <c r="AB54" s="3932"/>
      <c r="AC54" s="338"/>
      <c r="AD54" s="3932"/>
      <c r="AE54" s="338"/>
      <c r="AF54" s="3923"/>
      <c r="AG54" s="339"/>
      <c r="AH54" s="3923"/>
      <c r="AI54" s="339"/>
      <c r="AJ54" s="3923"/>
      <c r="AK54" s="339"/>
      <c r="AL54" s="3923"/>
      <c r="AM54" s="339"/>
      <c r="AN54" s="3923"/>
      <c r="AO54" s="339"/>
      <c r="AP54" s="3923"/>
      <c r="AQ54" s="339"/>
      <c r="AR54" s="3923"/>
      <c r="AS54" s="339"/>
      <c r="AT54" s="3923"/>
      <c r="AU54" s="339"/>
      <c r="AV54" s="3923"/>
      <c r="AW54" s="339"/>
      <c r="AX54" s="3923"/>
      <c r="AY54" s="339"/>
      <c r="AZ54" s="339"/>
      <c r="BA54" s="339"/>
      <c r="BB54" s="339"/>
      <c r="BC54" s="339"/>
      <c r="BD54" s="339"/>
      <c r="BE54" s="339"/>
      <c r="BF54" s="3923"/>
      <c r="BG54" s="339"/>
      <c r="BH54" s="3925"/>
      <c r="BI54" s="3810"/>
      <c r="BJ54" s="3810"/>
      <c r="BK54" s="3916"/>
      <c r="BL54" s="3919"/>
      <c r="BM54" s="3921"/>
      <c r="BN54" s="3907"/>
      <c r="BO54" s="3907"/>
      <c r="BP54" s="3907"/>
      <c r="BQ54" s="3907"/>
      <c r="BR54" s="3909"/>
    </row>
    <row r="55" spans="1:70" s="360" customFormat="1" ht="36" customHeight="1" thickBot="1" x14ac:dyDescent="0.25">
      <c r="A55" s="322"/>
      <c r="B55" s="323"/>
      <c r="C55" s="323"/>
      <c r="D55" s="325"/>
      <c r="E55" s="3952"/>
      <c r="F55" s="3953"/>
      <c r="G55" s="372"/>
      <c r="H55" s="3952"/>
      <c r="I55" s="3953"/>
      <c r="J55" s="3913"/>
      <c r="K55" s="3915"/>
      <c r="L55" s="3929"/>
      <c r="M55" s="3913"/>
      <c r="N55" s="3913"/>
      <c r="O55" s="3932"/>
      <c r="P55" s="3932"/>
      <c r="Q55" s="3929"/>
      <c r="R55" s="3793"/>
      <c r="S55" s="3927"/>
      <c r="T55" s="3929"/>
      <c r="U55" s="3915"/>
      <c r="V55" s="358" t="s">
        <v>306</v>
      </c>
      <c r="W55" s="411">
        <f>2382000+8486000</f>
        <v>10868000</v>
      </c>
      <c r="X55" s="411">
        <v>10868000</v>
      </c>
      <c r="Y55" s="411">
        <v>621600</v>
      </c>
      <c r="Z55" s="397">
        <v>20</v>
      </c>
      <c r="AA55" s="331" t="s">
        <v>124</v>
      </c>
      <c r="AB55" s="3932"/>
      <c r="AC55" s="338"/>
      <c r="AD55" s="3932"/>
      <c r="AE55" s="338"/>
      <c r="AF55" s="3923"/>
      <c r="AG55" s="339"/>
      <c r="AH55" s="3923"/>
      <c r="AI55" s="339"/>
      <c r="AJ55" s="3923"/>
      <c r="AK55" s="339"/>
      <c r="AL55" s="3923"/>
      <c r="AM55" s="339"/>
      <c r="AN55" s="3923"/>
      <c r="AO55" s="339"/>
      <c r="AP55" s="3923"/>
      <c r="AQ55" s="339"/>
      <c r="AR55" s="3923"/>
      <c r="AS55" s="339"/>
      <c r="AT55" s="3923"/>
      <c r="AU55" s="339"/>
      <c r="AV55" s="3923"/>
      <c r="AW55" s="339"/>
      <c r="AX55" s="3923"/>
      <c r="AY55" s="339"/>
      <c r="AZ55" s="339"/>
      <c r="BA55" s="339"/>
      <c r="BB55" s="339"/>
      <c r="BC55" s="339"/>
      <c r="BD55" s="339"/>
      <c r="BE55" s="339"/>
      <c r="BF55" s="3923"/>
      <c r="BG55" s="339"/>
      <c r="BH55" s="3925"/>
      <c r="BI55" s="3810"/>
      <c r="BJ55" s="3810"/>
      <c r="BK55" s="3917"/>
      <c r="BL55" s="3919"/>
      <c r="BM55" s="3921"/>
      <c r="BN55" s="3907"/>
      <c r="BO55" s="3907"/>
      <c r="BP55" s="3907"/>
      <c r="BQ55" s="3907"/>
      <c r="BR55" s="3909"/>
    </row>
    <row r="56" spans="1:70" s="360" customFormat="1" ht="27" customHeight="1" thickBot="1" x14ac:dyDescent="0.25">
      <c r="A56" s="417"/>
      <c r="B56" s="418"/>
      <c r="C56" s="418"/>
      <c r="D56" s="418"/>
      <c r="E56" s="3903" t="s">
        <v>104</v>
      </c>
      <c r="F56" s="3904"/>
      <c r="G56" s="419"/>
      <c r="H56" s="419"/>
      <c r="I56" s="419"/>
      <c r="J56" s="420"/>
      <c r="K56" s="421"/>
      <c r="L56" s="421"/>
      <c r="M56" s="419"/>
      <c r="N56" s="419"/>
      <c r="O56" s="419"/>
      <c r="P56" s="419"/>
      <c r="Q56" s="422"/>
      <c r="R56" s="423"/>
      <c r="S56" s="424">
        <f>SUM(S12:S55)</f>
        <v>5449943900</v>
      </c>
      <c r="T56" s="421"/>
      <c r="U56" s="421"/>
      <c r="V56" s="425"/>
      <c r="W56" s="424">
        <f>SUM(W12:W55)</f>
        <v>5449943900</v>
      </c>
      <c r="X56" s="424">
        <f>SUM(X12:X55)</f>
        <v>3690400305.9700003</v>
      </c>
      <c r="Y56" s="424">
        <f>SUM(Y12:Y55)</f>
        <v>1932208264.5999999</v>
      </c>
      <c r="Z56" s="426"/>
      <c r="AA56" s="419"/>
      <c r="AB56" s="419"/>
      <c r="AC56" s="419"/>
      <c r="AD56" s="419"/>
      <c r="AE56" s="419"/>
      <c r="AF56" s="427"/>
      <c r="AG56" s="427"/>
      <c r="AH56" s="428"/>
      <c r="AI56" s="428"/>
      <c r="AJ56" s="427"/>
      <c r="AK56" s="427"/>
      <c r="AL56" s="427"/>
      <c r="AM56" s="427"/>
      <c r="AN56" s="427"/>
      <c r="AO56" s="427"/>
      <c r="AP56" s="427"/>
      <c r="AQ56" s="427"/>
      <c r="AR56" s="427"/>
      <c r="AS56" s="427"/>
      <c r="AT56" s="427"/>
      <c r="AU56" s="427"/>
      <c r="AV56" s="427"/>
      <c r="AW56" s="427"/>
      <c r="AX56" s="427"/>
      <c r="AY56" s="427"/>
      <c r="AZ56" s="427"/>
      <c r="BA56" s="427"/>
      <c r="BB56" s="427"/>
      <c r="BC56" s="427"/>
      <c r="BD56" s="427"/>
      <c r="BE56" s="427"/>
      <c r="BF56" s="427"/>
      <c r="BG56" s="429"/>
      <c r="BH56" s="430">
        <f>BH50+BH42+BH32+BH28+BH15+BH12</f>
        <v>144</v>
      </c>
      <c r="BI56" s="431">
        <f>BI50+BI42+BI32+BI28+BI15+BI12</f>
        <v>3690400305.9700003</v>
      </c>
      <c r="BJ56" s="432">
        <f>BJ50+BJ42+BJ32+BJ28+BJ15+BJ13</f>
        <v>1932208264.5999999</v>
      </c>
      <c r="BK56" s="433"/>
      <c r="BL56" s="434"/>
      <c r="BM56" s="435"/>
      <c r="BN56" s="434"/>
      <c r="BO56" s="434"/>
      <c r="BP56" s="434"/>
      <c r="BQ56" s="434"/>
      <c r="BR56" s="436"/>
    </row>
    <row r="57" spans="1:70" s="360" customFormat="1" ht="27" customHeight="1" x14ac:dyDescent="0.2">
      <c r="A57" s="437"/>
      <c r="E57" s="438"/>
      <c r="F57" s="438"/>
      <c r="G57" s="438"/>
      <c r="H57" s="438"/>
      <c r="I57" s="438"/>
      <c r="J57" s="438"/>
      <c r="K57" s="439"/>
      <c r="L57" s="440"/>
      <c r="M57" s="440"/>
      <c r="N57" s="440"/>
      <c r="O57" s="441"/>
      <c r="P57" s="441"/>
      <c r="Q57" s="439"/>
      <c r="R57" s="442"/>
      <c r="S57" s="443"/>
      <c r="T57" s="439"/>
      <c r="U57" s="439"/>
      <c r="V57" s="439"/>
      <c r="W57" s="444"/>
      <c r="X57" s="444"/>
      <c r="Y57" s="444"/>
      <c r="Z57" s="445"/>
      <c r="AA57" s="446"/>
      <c r="AB57" s="438"/>
      <c r="AC57" s="438"/>
      <c r="AD57" s="438"/>
      <c r="AE57" s="438"/>
      <c r="AF57" s="438"/>
      <c r="AG57" s="438"/>
      <c r="AH57" s="438"/>
      <c r="AI57" s="438"/>
      <c r="AJ57" s="438"/>
      <c r="AK57" s="438"/>
      <c r="AL57" s="438"/>
      <c r="AM57" s="438"/>
      <c r="AN57" s="438"/>
      <c r="AO57" s="438"/>
      <c r="AP57" s="438"/>
      <c r="AQ57" s="438"/>
      <c r="AR57" s="438"/>
      <c r="AS57" s="438"/>
      <c r="AT57" s="438"/>
      <c r="AU57" s="438"/>
      <c r="AV57" s="438"/>
      <c r="AW57" s="438"/>
      <c r="AX57" s="438"/>
      <c r="AY57" s="438"/>
      <c r="AZ57" s="438"/>
      <c r="BA57" s="438"/>
      <c r="BB57" s="438"/>
      <c r="BC57" s="438"/>
      <c r="BD57" s="438"/>
      <c r="BE57" s="438"/>
      <c r="BF57" s="438"/>
      <c r="BG57" s="438"/>
      <c r="BH57" s="447"/>
      <c r="BI57" s="448"/>
      <c r="BJ57" s="448"/>
      <c r="BK57" s="449"/>
      <c r="BL57" s="449"/>
      <c r="BM57" s="450"/>
      <c r="BN57" s="438"/>
      <c r="BO57" s="438"/>
      <c r="BP57" s="438"/>
      <c r="BQ57" s="438"/>
      <c r="BR57" s="438"/>
    </row>
    <row r="58" spans="1:70" customFormat="1" ht="40.5" customHeight="1" x14ac:dyDescent="0.25">
      <c r="A58" s="451"/>
      <c r="B58" s="451"/>
      <c r="C58" s="451"/>
      <c r="D58" s="451"/>
      <c r="E58" s="452"/>
      <c r="F58" s="452"/>
      <c r="G58" s="452"/>
      <c r="H58" s="452"/>
      <c r="I58" s="452"/>
      <c r="J58" s="452"/>
      <c r="K58" s="452"/>
      <c r="L58" s="452"/>
      <c r="M58" s="452"/>
      <c r="N58" s="452"/>
      <c r="O58" s="453"/>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452"/>
      <c r="BE58" s="452"/>
      <c r="BF58" s="452"/>
      <c r="BG58" s="452"/>
      <c r="BH58" s="452"/>
      <c r="BI58" s="454"/>
      <c r="BJ58" s="454"/>
      <c r="BK58" s="452"/>
      <c r="BL58" s="452"/>
      <c r="BM58" s="452"/>
      <c r="BN58" s="452"/>
      <c r="BO58" s="452"/>
      <c r="BP58" s="452"/>
      <c r="BQ58" s="452"/>
      <c r="BR58" s="452"/>
    </row>
    <row r="59" spans="1:70" s="360" customFormat="1" ht="27" customHeight="1" x14ac:dyDescent="0.2">
      <c r="A59" s="437"/>
      <c r="K59" s="455"/>
      <c r="L59" s="337"/>
      <c r="M59" s="337"/>
      <c r="N59" s="337"/>
      <c r="O59" s="456"/>
      <c r="P59" s="456"/>
      <c r="Q59" s="455"/>
      <c r="R59" s="457"/>
      <c r="S59" s="458"/>
      <c r="T59" s="455"/>
      <c r="U59" s="455"/>
      <c r="V59" s="455"/>
      <c r="W59" s="459"/>
      <c r="X59" s="459"/>
      <c r="Y59" s="459"/>
      <c r="Z59" s="460"/>
      <c r="AA59" s="461"/>
      <c r="BH59" s="462"/>
      <c r="BI59" s="463"/>
      <c r="BJ59" s="463"/>
      <c r="BK59" s="464"/>
      <c r="BL59" s="464"/>
      <c r="BM59" s="465"/>
    </row>
    <row r="60" spans="1:70" s="360" customFormat="1" ht="27" customHeight="1" x14ac:dyDescent="0.2">
      <c r="A60" s="437"/>
      <c r="K60" s="455"/>
      <c r="L60" s="337"/>
      <c r="M60" s="337"/>
      <c r="N60" s="337"/>
      <c r="O60" s="456"/>
      <c r="P60" s="456"/>
      <c r="Q60" s="455"/>
      <c r="R60" s="457"/>
      <c r="S60" s="458"/>
      <c r="T60" s="455"/>
      <c r="U60" s="455"/>
      <c r="V60" s="455"/>
      <c r="W60" s="459"/>
      <c r="X60" s="459"/>
      <c r="Y60" s="459"/>
      <c r="Z60" s="460"/>
      <c r="AA60" s="461"/>
      <c r="BH60" s="462"/>
      <c r="BI60" s="463"/>
      <c r="BJ60" s="463"/>
      <c r="BK60" s="464"/>
      <c r="BL60" s="464"/>
      <c r="BM60" s="465"/>
    </row>
    <row r="61" spans="1:70" s="360" customFormat="1" ht="27" customHeight="1" x14ac:dyDescent="0.2">
      <c r="A61" s="437"/>
      <c r="K61" s="3905" t="s">
        <v>307</v>
      </c>
      <c r="L61" s="3905"/>
      <c r="M61" s="337"/>
      <c r="N61" s="337"/>
      <c r="O61" s="456"/>
      <c r="P61" s="456"/>
      <c r="Q61" s="455"/>
      <c r="R61" s="457"/>
      <c r="S61" s="458"/>
      <c r="T61" s="455"/>
      <c r="U61" s="455"/>
      <c r="V61" s="455"/>
      <c r="W61" s="459"/>
      <c r="X61" s="459"/>
      <c r="Y61" s="459"/>
      <c r="Z61" s="460"/>
      <c r="AA61" s="461"/>
      <c r="BH61" s="462"/>
      <c r="BI61" s="463"/>
      <c r="BJ61" s="463"/>
      <c r="BK61" s="464"/>
      <c r="BL61" s="464"/>
      <c r="BM61" s="465"/>
    </row>
    <row r="62" spans="1:70" s="360" customFormat="1" ht="27" customHeight="1" x14ac:dyDescent="0.2">
      <c r="A62" s="437"/>
      <c r="K62" s="3905" t="s">
        <v>308</v>
      </c>
      <c r="L62" s="3905"/>
      <c r="M62" s="337"/>
      <c r="N62" s="337"/>
      <c r="O62" s="456"/>
      <c r="P62" s="456"/>
      <c r="Q62" s="455"/>
      <c r="R62" s="457"/>
      <c r="S62" s="458"/>
      <c r="T62" s="455"/>
      <c r="U62" s="455"/>
      <c r="V62" s="455"/>
      <c r="W62" s="459"/>
      <c r="X62" s="459"/>
      <c r="Y62" s="459"/>
      <c r="Z62" s="460"/>
      <c r="AA62" s="461"/>
      <c r="BH62" s="462"/>
      <c r="BI62" s="463"/>
      <c r="BJ62" s="463"/>
      <c r="BK62" s="464"/>
      <c r="BL62" s="464"/>
      <c r="BM62" s="465"/>
    </row>
    <row r="63" spans="1:70" s="360" customFormat="1" ht="27" customHeight="1" x14ac:dyDescent="0.2">
      <c r="A63" s="437"/>
      <c r="K63" s="455"/>
      <c r="L63" s="337"/>
      <c r="M63" s="337"/>
      <c r="N63" s="337"/>
      <c r="O63" s="456"/>
      <c r="P63" s="456"/>
      <c r="Q63" s="455"/>
      <c r="R63" s="457"/>
      <c r="S63" s="458"/>
      <c r="T63" s="455"/>
      <c r="U63" s="455"/>
      <c r="V63" s="455"/>
      <c r="W63" s="459"/>
      <c r="X63" s="459"/>
      <c r="Y63" s="459"/>
      <c r="Z63" s="460"/>
      <c r="AA63" s="461"/>
      <c r="BH63" s="462"/>
      <c r="BI63" s="463"/>
      <c r="BJ63" s="463"/>
      <c r="BK63" s="464"/>
      <c r="BL63" s="464"/>
      <c r="BM63" s="465"/>
    </row>
    <row r="64" spans="1:70" s="360" customFormat="1" ht="27" customHeight="1" x14ac:dyDescent="0.2">
      <c r="A64" s="437"/>
      <c r="K64" s="455"/>
      <c r="L64" s="337"/>
      <c r="M64" s="337"/>
      <c r="N64" s="337"/>
      <c r="O64" s="456"/>
      <c r="P64" s="456"/>
      <c r="Q64" s="455"/>
      <c r="R64" s="457"/>
      <c r="S64" s="458"/>
      <c r="T64" s="455"/>
      <c r="U64" s="455"/>
      <c r="V64" s="455"/>
      <c r="W64" s="459"/>
      <c r="X64" s="459"/>
      <c r="Y64" s="459"/>
      <c r="Z64" s="460"/>
      <c r="AA64" s="461"/>
      <c r="BH64" s="462"/>
      <c r="BI64" s="463"/>
      <c r="BJ64" s="463"/>
      <c r="BK64" s="464"/>
      <c r="BL64" s="464"/>
      <c r="BM64" s="465"/>
    </row>
    <row r="65" spans="1:65" s="360" customFormat="1" ht="27" customHeight="1" x14ac:dyDescent="0.2">
      <c r="A65" s="437"/>
      <c r="K65" s="455"/>
      <c r="L65" s="337"/>
      <c r="M65" s="337"/>
      <c r="N65" s="337"/>
      <c r="O65" s="456"/>
      <c r="P65" s="456"/>
      <c r="Q65" s="455"/>
      <c r="R65" s="457"/>
      <c r="S65" s="458"/>
      <c r="T65" s="455"/>
      <c r="U65" s="455"/>
      <c r="V65" s="455"/>
      <c r="W65" s="459"/>
      <c r="X65" s="459"/>
      <c r="Y65" s="459"/>
      <c r="Z65" s="460"/>
      <c r="AA65" s="461"/>
      <c r="BH65" s="462"/>
      <c r="BI65" s="463"/>
      <c r="BJ65" s="463"/>
      <c r="BK65" s="464"/>
      <c r="BL65" s="464"/>
      <c r="BM65" s="465"/>
    </row>
    <row r="66" spans="1:65" s="360" customFormat="1" ht="27" customHeight="1" x14ac:dyDescent="0.2">
      <c r="A66" s="437"/>
      <c r="K66" s="455"/>
      <c r="L66" s="337"/>
      <c r="M66" s="337"/>
      <c r="N66" s="337"/>
      <c r="O66" s="456"/>
      <c r="P66" s="456"/>
      <c r="Q66" s="455"/>
      <c r="R66" s="457"/>
      <c r="S66" s="458"/>
      <c r="T66" s="455"/>
      <c r="U66" s="455"/>
      <c r="V66" s="455"/>
      <c r="W66" s="459"/>
      <c r="X66" s="459"/>
      <c r="Y66" s="459"/>
      <c r="Z66" s="460"/>
      <c r="AA66" s="461"/>
      <c r="BH66" s="462"/>
      <c r="BI66" s="463"/>
      <c r="BJ66" s="463"/>
      <c r="BK66" s="464"/>
      <c r="BL66" s="464"/>
      <c r="BM66" s="465"/>
    </row>
    <row r="67" spans="1:65" s="360" customFormat="1" ht="27" customHeight="1" x14ac:dyDescent="0.2">
      <c r="A67" s="437"/>
      <c r="K67" s="455"/>
      <c r="L67" s="337"/>
      <c r="M67" s="337"/>
      <c r="N67" s="337"/>
      <c r="O67" s="456"/>
      <c r="P67" s="456"/>
      <c r="Q67" s="455"/>
      <c r="R67" s="457"/>
      <c r="S67" s="458"/>
      <c r="T67" s="455"/>
      <c r="U67" s="455"/>
      <c r="V67" s="455"/>
      <c r="W67" s="459"/>
      <c r="X67" s="459"/>
      <c r="Y67" s="459"/>
      <c r="Z67" s="460"/>
      <c r="AA67" s="461"/>
      <c r="BH67" s="462"/>
      <c r="BI67" s="463"/>
      <c r="BJ67" s="463"/>
      <c r="BK67" s="464"/>
      <c r="BL67" s="464"/>
      <c r="BM67" s="465"/>
    </row>
    <row r="68" spans="1:65" s="360" customFormat="1" ht="27" customHeight="1" x14ac:dyDescent="0.2">
      <c r="A68" s="437"/>
      <c r="K68" s="455"/>
      <c r="L68" s="337"/>
      <c r="M68" s="337"/>
      <c r="N68" s="337"/>
      <c r="O68" s="456"/>
      <c r="P68" s="456"/>
      <c r="Q68" s="455"/>
      <c r="R68" s="457"/>
      <c r="S68" s="458"/>
      <c r="T68" s="455"/>
      <c r="U68" s="455"/>
      <c r="V68" s="455"/>
      <c r="W68" s="459"/>
      <c r="X68" s="459"/>
      <c r="Y68" s="459"/>
      <c r="Z68" s="460"/>
      <c r="AA68" s="461"/>
      <c r="BH68" s="462"/>
      <c r="BI68" s="463"/>
      <c r="BJ68" s="463"/>
      <c r="BK68" s="464"/>
      <c r="BL68" s="464"/>
      <c r="BM68" s="465"/>
    </row>
    <row r="69" spans="1:65" s="360" customFormat="1" ht="27" customHeight="1" x14ac:dyDescent="0.2">
      <c r="A69" s="437"/>
      <c r="K69" s="455"/>
      <c r="L69" s="337"/>
      <c r="M69" s="337"/>
      <c r="N69" s="337"/>
      <c r="O69" s="456"/>
      <c r="P69" s="456"/>
      <c r="Q69" s="455"/>
      <c r="R69" s="457"/>
      <c r="S69" s="458"/>
      <c r="T69" s="455"/>
      <c r="U69" s="455"/>
      <c r="V69" s="455"/>
      <c r="W69" s="459"/>
      <c r="X69" s="459"/>
      <c r="Y69" s="459"/>
      <c r="Z69" s="460"/>
      <c r="AA69" s="461"/>
      <c r="BH69" s="462"/>
      <c r="BI69" s="463"/>
      <c r="BJ69" s="463"/>
      <c r="BK69" s="464"/>
      <c r="BL69" s="464"/>
      <c r="BM69" s="465"/>
    </row>
    <row r="70" spans="1:65" s="360" customFormat="1" ht="27" customHeight="1" x14ac:dyDescent="0.2">
      <c r="A70" s="437"/>
      <c r="K70" s="455"/>
      <c r="L70" s="337"/>
      <c r="M70" s="337"/>
      <c r="N70" s="337"/>
      <c r="O70" s="456"/>
      <c r="P70" s="456"/>
      <c r="Q70" s="455"/>
      <c r="R70" s="457"/>
      <c r="S70" s="458"/>
      <c r="T70" s="455"/>
      <c r="U70" s="455"/>
      <c r="V70" s="455"/>
      <c r="W70" s="459"/>
      <c r="X70" s="459"/>
      <c r="Y70" s="459"/>
      <c r="Z70" s="460"/>
      <c r="AA70" s="461"/>
      <c r="BH70" s="462"/>
      <c r="BI70" s="463"/>
      <c r="BJ70" s="463"/>
      <c r="BK70" s="464"/>
      <c r="BL70" s="464"/>
      <c r="BM70" s="465"/>
    </row>
    <row r="71" spans="1:65" s="360" customFormat="1" ht="27" customHeight="1" x14ac:dyDescent="0.2">
      <c r="A71" s="437"/>
      <c r="K71" s="455"/>
      <c r="L71" s="337"/>
      <c r="M71" s="337"/>
      <c r="N71" s="337"/>
      <c r="O71" s="456"/>
      <c r="P71" s="456"/>
      <c r="Q71" s="455"/>
      <c r="R71" s="457"/>
      <c r="S71" s="458"/>
      <c r="T71" s="455"/>
      <c r="U71" s="455"/>
      <c r="V71" s="455"/>
      <c r="W71" s="459"/>
      <c r="X71" s="459"/>
      <c r="Y71" s="459"/>
      <c r="Z71" s="460"/>
      <c r="AA71" s="461"/>
      <c r="BH71" s="462"/>
      <c r="BI71" s="463"/>
      <c r="BJ71" s="463"/>
      <c r="BK71" s="464"/>
      <c r="BL71" s="464"/>
      <c r="BM71" s="465"/>
    </row>
    <row r="72" spans="1:65" s="360" customFormat="1" ht="27" customHeight="1" x14ac:dyDescent="0.2">
      <c r="A72" s="437"/>
      <c r="K72" s="455"/>
      <c r="L72" s="337"/>
      <c r="M72" s="337"/>
      <c r="N72" s="337"/>
      <c r="O72" s="456"/>
      <c r="P72" s="456"/>
      <c r="Q72" s="455"/>
      <c r="R72" s="457"/>
      <c r="S72" s="458"/>
      <c r="T72" s="455"/>
      <c r="U72" s="455"/>
      <c r="V72" s="455"/>
      <c r="W72" s="459"/>
      <c r="X72" s="459"/>
      <c r="Y72" s="459"/>
      <c r="Z72" s="460"/>
      <c r="AA72" s="461"/>
      <c r="BH72" s="462"/>
      <c r="BI72" s="463"/>
      <c r="BJ72" s="463"/>
      <c r="BK72" s="464"/>
      <c r="BL72" s="464"/>
      <c r="BM72" s="465"/>
    </row>
    <row r="73" spans="1:65" s="360" customFormat="1" ht="27" customHeight="1" x14ac:dyDescent="0.2">
      <c r="A73" s="437"/>
      <c r="K73" s="455"/>
      <c r="L73" s="337"/>
      <c r="M73" s="337"/>
      <c r="N73" s="337"/>
      <c r="O73" s="456"/>
      <c r="P73" s="456"/>
      <c r="Q73" s="455"/>
      <c r="R73" s="457"/>
      <c r="S73" s="458"/>
      <c r="T73" s="455"/>
      <c r="U73" s="455"/>
      <c r="V73" s="455"/>
      <c r="W73" s="459"/>
      <c r="X73" s="459"/>
      <c r="Y73" s="459"/>
      <c r="Z73" s="460"/>
      <c r="AA73" s="461"/>
      <c r="BH73" s="462"/>
      <c r="BI73" s="463"/>
      <c r="BJ73" s="463"/>
      <c r="BK73" s="464"/>
      <c r="BL73" s="464"/>
      <c r="BM73" s="465"/>
    </row>
    <row r="74" spans="1:65" s="360" customFormat="1" ht="27" customHeight="1" x14ac:dyDescent="0.2">
      <c r="A74" s="437"/>
      <c r="K74" s="455"/>
      <c r="L74" s="337"/>
      <c r="M74" s="337"/>
      <c r="N74" s="337"/>
      <c r="O74" s="456"/>
      <c r="P74" s="456"/>
      <c r="Q74" s="455"/>
      <c r="R74" s="457"/>
      <c r="S74" s="458"/>
      <c r="T74" s="455"/>
      <c r="U74" s="455"/>
      <c r="V74" s="455"/>
      <c r="W74" s="459"/>
      <c r="X74" s="459"/>
      <c r="Y74" s="459"/>
      <c r="Z74" s="460"/>
      <c r="AA74" s="461"/>
      <c r="BH74" s="462"/>
      <c r="BI74" s="463"/>
      <c r="BJ74" s="463"/>
      <c r="BK74" s="464"/>
      <c r="BL74" s="464"/>
      <c r="BM74" s="465"/>
    </row>
    <row r="75" spans="1:65" s="360" customFormat="1" ht="27" customHeight="1" x14ac:dyDescent="0.2">
      <c r="A75" s="437"/>
      <c r="K75" s="455"/>
      <c r="L75" s="337"/>
      <c r="M75" s="337"/>
      <c r="N75" s="337"/>
      <c r="O75" s="456"/>
      <c r="P75" s="456"/>
      <c r="Q75" s="455"/>
      <c r="R75" s="457"/>
      <c r="S75" s="458"/>
      <c r="T75" s="455"/>
      <c r="U75" s="455"/>
      <c r="V75" s="455"/>
      <c r="W75" s="459"/>
      <c r="X75" s="459"/>
      <c r="Y75" s="459"/>
      <c r="Z75" s="460"/>
      <c r="AA75" s="461"/>
      <c r="BH75" s="462"/>
      <c r="BI75" s="463"/>
      <c r="BJ75" s="463"/>
      <c r="BK75" s="464"/>
      <c r="BL75" s="464"/>
      <c r="BM75" s="465"/>
    </row>
    <row r="76" spans="1:65" s="360" customFormat="1" ht="27" customHeight="1" x14ac:dyDescent="0.2">
      <c r="A76" s="437"/>
      <c r="K76" s="455"/>
      <c r="L76" s="337"/>
      <c r="M76" s="337"/>
      <c r="N76" s="337"/>
      <c r="O76" s="456"/>
      <c r="P76" s="456"/>
      <c r="Q76" s="455"/>
      <c r="R76" s="457"/>
      <c r="S76" s="458"/>
      <c r="T76" s="455"/>
      <c r="U76" s="455"/>
      <c r="V76" s="455"/>
      <c r="W76" s="459"/>
      <c r="X76" s="459"/>
      <c r="Y76" s="459"/>
      <c r="Z76" s="460"/>
      <c r="AA76" s="461"/>
      <c r="BH76" s="462"/>
      <c r="BI76" s="463"/>
      <c r="BJ76" s="463"/>
      <c r="BK76" s="464"/>
      <c r="BL76" s="464"/>
      <c r="BM76" s="465"/>
    </row>
    <row r="77" spans="1:65" s="360" customFormat="1" ht="27" customHeight="1" x14ac:dyDescent="0.2">
      <c r="A77" s="437"/>
      <c r="K77" s="455"/>
      <c r="L77" s="337"/>
      <c r="M77" s="337"/>
      <c r="N77" s="337"/>
      <c r="O77" s="456"/>
      <c r="P77" s="456"/>
      <c r="Q77" s="455"/>
      <c r="R77" s="457"/>
      <c r="S77" s="458"/>
      <c r="T77" s="455"/>
      <c r="U77" s="455"/>
      <c r="V77" s="455"/>
      <c r="W77" s="459"/>
      <c r="X77" s="459"/>
      <c r="Y77" s="459"/>
      <c r="Z77" s="460"/>
      <c r="AA77" s="461"/>
      <c r="BH77" s="462"/>
      <c r="BI77" s="463"/>
      <c r="BJ77" s="463"/>
      <c r="BK77" s="464"/>
      <c r="BL77" s="464"/>
      <c r="BM77" s="465"/>
    </row>
    <row r="78" spans="1:65" s="360" customFormat="1" ht="27" customHeight="1" x14ac:dyDescent="0.2">
      <c r="A78" s="437"/>
      <c r="K78" s="455"/>
      <c r="L78" s="337"/>
      <c r="M78" s="337"/>
      <c r="N78" s="337"/>
      <c r="O78" s="456"/>
      <c r="P78" s="456"/>
      <c r="Q78" s="455"/>
      <c r="R78" s="457"/>
      <c r="S78" s="458"/>
      <c r="T78" s="455"/>
      <c r="U78" s="455"/>
      <c r="V78" s="455"/>
      <c r="W78" s="459"/>
      <c r="X78" s="459"/>
      <c r="Y78" s="459"/>
      <c r="Z78" s="460"/>
      <c r="AA78" s="461"/>
      <c r="BH78" s="462"/>
      <c r="BI78" s="463"/>
      <c r="BJ78" s="463"/>
      <c r="BK78" s="464"/>
      <c r="BL78" s="464"/>
      <c r="BM78" s="465"/>
    </row>
    <row r="79" spans="1:65" s="360" customFormat="1" ht="27" customHeight="1" x14ac:dyDescent="0.2">
      <c r="A79" s="437"/>
      <c r="K79" s="455"/>
      <c r="L79" s="337"/>
      <c r="M79" s="337"/>
      <c r="N79" s="337"/>
      <c r="O79" s="456"/>
      <c r="P79" s="456"/>
      <c r="Q79" s="455"/>
      <c r="R79" s="457"/>
      <c r="S79" s="458"/>
      <c r="T79" s="455"/>
      <c r="U79" s="455"/>
      <c r="V79" s="455"/>
      <c r="W79" s="459"/>
      <c r="X79" s="459"/>
      <c r="Y79" s="459"/>
      <c r="Z79" s="460"/>
      <c r="AA79" s="461"/>
      <c r="BH79" s="462"/>
      <c r="BI79" s="463"/>
      <c r="BJ79" s="463"/>
      <c r="BK79" s="464"/>
      <c r="BL79" s="464"/>
      <c r="BM79" s="465"/>
    </row>
    <row r="80" spans="1:65" s="360" customFormat="1" ht="27" customHeight="1" x14ac:dyDescent="0.2">
      <c r="A80" s="437"/>
      <c r="K80" s="455"/>
      <c r="L80" s="337"/>
      <c r="M80" s="337"/>
      <c r="N80" s="337"/>
      <c r="O80" s="456"/>
      <c r="P80" s="456"/>
      <c r="Q80" s="455"/>
      <c r="R80" s="457"/>
      <c r="S80" s="458"/>
      <c r="T80" s="455"/>
      <c r="U80" s="455"/>
      <c r="V80" s="455"/>
      <c r="W80" s="459"/>
      <c r="X80" s="459"/>
      <c r="Y80" s="459"/>
      <c r="Z80" s="460"/>
      <c r="AA80" s="461"/>
      <c r="BH80" s="462"/>
      <c r="BI80" s="463"/>
      <c r="BJ80" s="463"/>
      <c r="BK80" s="464"/>
      <c r="BL80" s="464"/>
      <c r="BM80" s="465"/>
    </row>
    <row r="81" spans="1:65" s="360" customFormat="1" ht="27" customHeight="1" x14ac:dyDescent="0.2">
      <c r="A81" s="437"/>
      <c r="K81" s="455"/>
      <c r="L81" s="337"/>
      <c r="M81" s="337"/>
      <c r="N81" s="337"/>
      <c r="O81" s="456"/>
      <c r="P81" s="456"/>
      <c r="Q81" s="455"/>
      <c r="R81" s="457"/>
      <c r="S81" s="458"/>
      <c r="T81" s="455"/>
      <c r="U81" s="455"/>
      <c r="V81" s="455"/>
      <c r="W81" s="459"/>
      <c r="X81" s="459"/>
      <c r="Y81" s="459"/>
      <c r="Z81" s="460"/>
      <c r="AA81" s="461"/>
      <c r="BH81" s="462"/>
      <c r="BI81" s="463"/>
      <c r="BJ81" s="463"/>
      <c r="BK81" s="464"/>
      <c r="BL81" s="464"/>
      <c r="BM81" s="465"/>
    </row>
    <row r="82" spans="1:65" s="360" customFormat="1" ht="27" customHeight="1" x14ac:dyDescent="0.2">
      <c r="A82" s="437"/>
      <c r="K82" s="455"/>
      <c r="L82" s="337"/>
      <c r="M82" s="337"/>
      <c r="N82" s="337"/>
      <c r="O82" s="456"/>
      <c r="P82" s="456"/>
      <c r="Q82" s="455"/>
      <c r="R82" s="457"/>
      <c r="S82" s="458"/>
      <c r="T82" s="455"/>
      <c r="U82" s="455"/>
      <c r="V82" s="455"/>
      <c r="W82" s="459"/>
      <c r="X82" s="459"/>
      <c r="Y82" s="459"/>
      <c r="Z82" s="460"/>
      <c r="AA82" s="461"/>
      <c r="BH82" s="462"/>
      <c r="BI82" s="463"/>
      <c r="BJ82" s="463"/>
      <c r="BK82" s="464"/>
      <c r="BL82" s="464"/>
      <c r="BM82" s="465"/>
    </row>
    <row r="83" spans="1:65" s="360" customFormat="1" ht="27" customHeight="1" x14ac:dyDescent="0.2">
      <c r="A83" s="437"/>
      <c r="K83" s="455"/>
      <c r="L83" s="337"/>
      <c r="M83" s="337"/>
      <c r="N83" s="337"/>
      <c r="O83" s="456"/>
      <c r="P83" s="456"/>
      <c r="Q83" s="455"/>
      <c r="R83" s="457"/>
      <c r="S83" s="458"/>
      <c r="T83" s="455"/>
      <c r="U83" s="455"/>
      <c r="V83" s="455"/>
      <c r="W83" s="459"/>
      <c r="X83" s="459"/>
      <c r="Y83" s="459"/>
      <c r="Z83" s="460"/>
      <c r="AA83" s="461"/>
      <c r="BH83" s="462"/>
      <c r="BI83" s="463"/>
      <c r="BJ83" s="463"/>
      <c r="BK83" s="464"/>
      <c r="BL83" s="464"/>
      <c r="BM83" s="465"/>
    </row>
    <row r="84" spans="1:65" s="360" customFormat="1" ht="27" customHeight="1" x14ac:dyDescent="0.2">
      <c r="A84" s="437"/>
      <c r="K84" s="455"/>
      <c r="L84" s="337"/>
      <c r="M84" s="337"/>
      <c r="N84" s="337"/>
      <c r="O84" s="456"/>
      <c r="P84" s="456"/>
      <c r="Q84" s="455"/>
      <c r="R84" s="457"/>
      <c r="S84" s="458"/>
      <c r="T84" s="455"/>
      <c r="U84" s="455"/>
      <c r="V84" s="455"/>
      <c r="W84" s="459"/>
      <c r="X84" s="459"/>
      <c r="Y84" s="459"/>
      <c r="Z84" s="460"/>
      <c r="AA84" s="461"/>
      <c r="BH84" s="462"/>
      <c r="BI84" s="463"/>
      <c r="BJ84" s="463"/>
      <c r="BK84" s="464"/>
      <c r="BL84" s="464"/>
      <c r="BM84" s="465"/>
    </row>
    <row r="85" spans="1:65" s="360" customFormat="1" ht="27" customHeight="1" x14ac:dyDescent="0.2">
      <c r="A85" s="437"/>
      <c r="K85" s="455"/>
      <c r="L85" s="337"/>
      <c r="M85" s="337"/>
      <c r="N85" s="337"/>
      <c r="O85" s="456"/>
      <c r="P85" s="456"/>
      <c r="Q85" s="455"/>
      <c r="R85" s="457"/>
      <c r="S85" s="458"/>
      <c r="T85" s="455"/>
      <c r="U85" s="455"/>
      <c r="V85" s="455"/>
      <c r="W85" s="459"/>
      <c r="X85" s="459"/>
      <c r="Y85" s="459"/>
      <c r="Z85" s="460"/>
      <c r="AA85" s="461"/>
      <c r="BH85" s="462"/>
      <c r="BI85" s="463"/>
      <c r="BJ85" s="463"/>
      <c r="BK85" s="464"/>
      <c r="BL85" s="464"/>
      <c r="BM85" s="465"/>
    </row>
    <row r="86" spans="1:65" s="360" customFormat="1" ht="27" customHeight="1" x14ac:dyDescent="0.2">
      <c r="A86" s="437"/>
      <c r="K86" s="455"/>
      <c r="L86" s="337"/>
      <c r="M86" s="337"/>
      <c r="N86" s="337"/>
      <c r="O86" s="456"/>
      <c r="P86" s="456"/>
      <c r="Q86" s="455"/>
      <c r="R86" s="457"/>
      <c r="S86" s="458"/>
      <c r="T86" s="455"/>
      <c r="U86" s="455"/>
      <c r="V86" s="455"/>
      <c r="W86" s="459"/>
      <c r="X86" s="459"/>
      <c r="Y86" s="459"/>
      <c r="Z86" s="460"/>
      <c r="AA86" s="461"/>
      <c r="BH86" s="462"/>
      <c r="BI86" s="463"/>
      <c r="BJ86" s="463"/>
      <c r="BK86" s="464"/>
      <c r="BL86" s="464"/>
      <c r="BM86" s="465"/>
    </row>
    <row r="87" spans="1:65" s="360" customFormat="1" ht="27" customHeight="1" x14ac:dyDescent="0.2">
      <c r="A87" s="437"/>
      <c r="K87" s="455"/>
      <c r="L87" s="337"/>
      <c r="M87" s="337"/>
      <c r="N87" s="337"/>
      <c r="O87" s="456"/>
      <c r="P87" s="456"/>
      <c r="Q87" s="455"/>
      <c r="R87" s="457"/>
      <c r="S87" s="458"/>
      <c r="T87" s="455"/>
      <c r="U87" s="455"/>
      <c r="V87" s="455"/>
      <c r="W87" s="459"/>
      <c r="X87" s="459"/>
      <c r="Y87" s="459"/>
      <c r="Z87" s="460"/>
      <c r="AA87" s="461"/>
      <c r="BH87" s="462"/>
      <c r="BI87" s="463"/>
      <c r="BJ87" s="463"/>
      <c r="BK87" s="464"/>
      <c r="BL87" s="464"/>
      <c r="BM87" s="465"/>
    </row>
    <row r="88" spans="1:65" s="360" customFormat="1" ht="27" customHeight="1" x14ac:dyDescent="0.2">
      <c r="A88" s="437"/>
      <c r="K88" s="455"/>
      <c r="L88" s="337"/>
      <c r="M88" s="337"/>
      <c r="N88" s="337"/>
      <c r="O88" s="456"/>
      <c r="P88" s="456"/>
      <c r="Q88" s="455"/>
      <c r="R88" s="457"/>
      <c r="S88" s="458"/>
      <c r="T88" s="455"/>
      <c r="U88" s="455"/>
      <c r="V88" s="455"/>
      <c r="W88" s="459"/>
      <c r="X88" s="459"/>
      <c r="Y88" s="459"/>
      <c r="Z88" s="460"/>
      <c r="AA88" s="461"/>
      <c r="BH88" s="462"/>
      <c r="BI88" s="463"/>
      <c r="BJ88" s="463"/>
      <c r="BK88" s="464"/>
      <c r="BL88" s="464"/>
      <c r="BM88" s="465"/>
    </row>
    <row r="89" spans="1:65" s="360" customFormat="1" ht="27" customHeight="1" x14ac:dyDescent="0.2">
      <c r="A89" s="437"/>
      <c r="K89" s="455"/>
      <c r="L89" s="337"/>
      <c r="M89" s="337"/>
      <c r="N89" s="337"/>
      <c r="O89" s="456"/>
      <c r="P89" s="456"/>
      <c r="Q89" s="455"/>
      <c r="R89" s="457"/>
      <c r="S89" s="458"/>
      <c r="T89" s="455"/>
      <c r="U89" s="455"/>
      <c r="V89" s="455"/>
      <c r="W89" s="459"/>
      <c r="X89" s="459"/>
      <c r="Y89" s="459"/>
      <c r="Z89" s="460"/>
      <c r="AA89" s="461"/>
      <c r="BH89" s="462"/>
      <c r="BI89" s="463"/>
      <c r="BJ89" s="463"/>
      <c r="BK89" s="464"/>
      <c r="BL89" s="464"/>
      <c r="BM89" s="465"/>
    </row>
    <row r="90" spans="1:65" s="360" customFormat="1" ht="27" customHeight="1" x14ac:dyDescent="0.2">
      <c r="A90" s="437"/>
      <c r="K90" s="455"/>
      <c r="L90" s="337"/>
      <c r="M90" s="337"/>
      <c r="N90" s="337"/>
      <c r="O90" s="456"/>
      <c r="P90" s="456"/>
      <c r="Q90" s="455"/>
      <c r="R90" s="457"/>
      <c r="S90" s="458"/>
      <c r="T90" s="455"/>
      <c r="U90" s="455"/>
      <c r="V90" s="455"/>
      <c r="W90" s="459"/>
      <c r="X90" s="459"/>
      <c r="Y90" s="459"/>
      <c r="Z90" s="460"/>
      <c r="AA90" s="461"/>
      <c r="BH90" s="462"/>
      <c r="BI90" s="463"/>
      <c r="BJ90" s="463"/>
      <c r="BK90" s="464"/>
      <c r="BL90" s="464"/>
      <c r="BM90" s="465"/>
    </row>
    <row r="91" spans="1:65" s="360" customFormat="1" ht="27" customHeight="1" x14ac:dyDescent="0.2">
      <c r="A91" s="437"/>
      <c r="K91" s="455"/>
      <c r="L91" s="337"/>
      <c r="M91" s="337"/>
      <c r="N91" s="337"/>
      <c r="O91" s="456"/>
      <c r="P91" s="456"/>
      <c r="Q91" s="455"/>
      <c r="R91" s="457"/>
      <c r="S91" s="458"/>
      <c r="T91" s="455"/>
      <c r="U91" s="455"/>
      <c r="V91" s="455"/>
      <c r="W91" s="459"/>
      <c r="X91" s="459"/>
      <c r="Y91" s="459"/>
      <c r="Z91" s="460"/>
      <c r="AA91" s="461"/>
      <c r="BH91" s="462"/>
      <c r="BI91" s="463"/>
      <c r="BJ91" s="463"/>
      <c r="BK91" s="464"/>
      <c r="BL91" s="464"/>
      <c r="BM91" s="465"/>
    </row>
    <row r="92" spans="1:65" s="360" customFormat="1" ht="27" customHeight="1" x14ac:dyDescent="0.2">
      <c r="A92" s="437"/>
      <c r="K92" s="455"/>
      <c r="L92" s="337"/>
      <c r="M92" s="337"/>
      <c r="N92" s="337"/>
      <c r="O92" s="456"/>
      <c r="P92" s="456"/>
      <c r="Q92" s="455"/>
      <c r="R92" s="457"/>
      <c r="S92" s="458"/>
      <c r="T92" s="455"/>
      <c r="U92" s="455"/>
      <c r="V92" s="455"/>
      <c r="W92" s="459"/>
      <c r="X92" s="459"/>
      <c r="Y92" s="459"/>
      <c r="Z92" s="460"/>
      <c r="AA92" s="461"/>
      <c r="BH92" s="462"/>
      <c r="BI92" s="463"/>
      <c r="BJ92" s="463"/>
      <c r="BK92" s="464"/>
      <c r="BL92" s="464"/>
      <c r="BM92" s="465"/>
    </row>
    <row r="93" spans="1:65" s="360" customFormat="1" ht="27" customHeight="1" x14ac:dyDescent="0.2">
      <c r="A93" s="437"/>
      <c r="K93" s="455"/>
      <c r="L93" s="337"/>
      <c r="M93" s="337"/>
      <c r="N93" s="337"/>
      <c r="O93" s="456"/>
      <c r="P93" s="456"/>
      <c r="Q93" s="455"/>
      <c r="R93" s="457"/>
      <c r="S93" s="458"/>
      <c r="T93" s="455"/>
      <c r="U93" s="455"/>
      <c r="V93" s="455"/>
      <c r="W93" s="459"/>
      <c r="X93" s="459"/>
      <c r="Y93" s="459"/>
      <c r="Z93" s="460"/>
      <c r="AA93" s="461"/>
      <c r="BH93" s="462"/>
      <c r="BI93" s="463"/>
      <c r="BJ93" s="463"/>
      <c r="BK93" s="464"/>
      <c r="BL93" s="464"/>
      <c r="BM93" s="465"/>
    </row>
    <row r="94" spans="1:65" s="360" customFormat="1" ht="27" customHeight="1" x14ac:dyDescent="0.2">
      <c r="A94" s="437"/>
      <c r="K94" s="455"/>
      <c r="L94" s="337"/>
      <c r="M94" s="337"/>
      <c r="N94" s="337"/>
      <c r="O94" s="456"/>
      <c r="P94" s="456"/>
      <c r="Q94" s="455"/>
      <c r="R94" s="457"/>
      <c r="S94" s="458"/>
      <c r="T94" s="455"/>
      <c r="U94" s="455"/>
      <c r="V94" s="455"/>
      <c r="W94" s="459"/>
      <c r="X94" s="459"/>
      <c r="Y94" s="459"/>
      <c r="Z94" s="460"/>
      <c r="AA94" s="461"/>
      <c r="BH94" s="462"/>
      <c r="BI94" s="463"/>
      <c r="BJ94" s="463"/>
      <c r="BK94" s="464"/>
      <c r="BL94" s="464"/>
      <c r="BM94" s="465"/>
    </row>
    <row r="95" spans="1:65" s="360" customFormat="1" ht="27" customHeight="1" x14ac:dyDescent="0.2">
      <c r="A95" s="437"/>
      <c r="K95" s="455"/>
      <c r="L95" s="337"/>
      <c r="M95" s="337"/>
      <c r="N95" s="337"/>
      <c r="O95" s="456"/>
      <c r="P95" s="456"/>
      <c r="Q95" s="455"/>
      <c r="R95" s="457"/>
      <c r="S95" s="458"/>
      <c r="T95" s="455"/>
      <c r="U95" s="455"/>
      <c r="V95" s="455"/>
      <c r="W95" s="459"/>
      <c r="X95" s="459"/>
      <c r="Y95" s="459"/>
      <c r="Z95" s="460"/>
      <c r="AA95" s="461"/>
      <c r="BH95" s="462"/>
      <c r="BI95" s="463"/>
      <c r="BJ95" s="463"/>
      <c r="BK95" s="464"/>
      <c r="BL95" s="464"/>
      <c r="BM95" s="465"/>
    </row>
    <row r="96" spans="1:65" s="360" customFormat="1" ht="27" customHeight="1" x14ac:dyDescent="0.2">
      <c r="A96" s="437"/>
      <c r="K96" s="455"/>
      <c r="L96" s="337"/>
      <c r="M96" s="337"/>
      <c r="N96" s="337"/>
      <c r="O96" s="456"/>
      <c r="P96" s="456"/>
      <c r="Q96" s="455"/>
      <c r="R96" s="457"/>
      <c r="S96" s="458"/>
      <c r="T96" s="455"/>
      <c r="U96" s="455"/>
      <c r="V96" s="455"/>
      <c r="W96" s="459"/>
      <c r="X96" s="459"/>
      <c r="Y96" s="459"/>
      <c r="Z96" s="460"/>
      <c r="AA96" s="461"/>
      <c r="BH96" s="462"/>
      <c r="BI96" s="463"/>
      <c r="BJ96" s="463"/>
      <c r="BK96" s="464"/>
      <c r="BL96" s="464"/>
      <c r="BM96" s="465"/>
    </row>
    <row r="97" spans="1:65" s="360" customFormat="1" ht="27" customHeight="1" x14ac:dyDescent="0.2">
      <c r="A97" s="437"/>
      <c r="K97" s="455"/>
      <c r="L97" s="337"/>
      <c r="M97" s="337"/>
      <c r="N97" s="337"/>
      <c r="O97" s="456"/>
      <c r="P97" s="456"/>
      <c r="Q97" s="455"/>
      <c r="R97" s="457"/>
      <c r="S97" s="458"/>
      <c r="T97" s="455"/>
      <c r="U97" s="455"/>
      <c r="V97" s="455"/>
      <c r="W97" s="459"/>
      <c r="X97" s="459"/>
      <c r="Y97" s="459"/>
      <c r="Z97" s="460"/>
      <c r="AA97" s="461"/>
      <c r="BH97" s="462"/>
      <c r="BI97" s="463"/>
      <c r="BJ97" s="463"/>
      <c r="BK97" s="464"/>
      <c r="BL97" s="464"/>
      <c r="BM97" s="465"/>
    </row>
    <row r="98" spans="1:65" s="360" customFormat="1" ht="27" customHeight="1" x14ac:dyDescent="0.2">
      <c r="A98" s="437"/>
      <c r="K98" s="455"/>
      <c r="L98" s="337"/>
      <c r="M98" s="337"/>
      <c r="N98" s="337"/>
      <c r="O98" s="456"/>
      <c r="P98" s="456"/>
      <c r="Q98" s="455"/>
      <c r="R98" s="457"/>
      <c r="S98" s="458"/>
      <c r="T98" s="455"/>
      <c r="U98" s="455"/>
      <c r="V98" s="455"/>
      <c r="W98" s="459"/>
      <c r="X98" s="459"/>
      <c r="Y98" s="459"/>
      <c r="Z98" s="460"/>
      <c r="AA98" s="461"/>
      <c r="BH98" s="462"/>
      <c r="BI98" s="463"/>
      <c r="BJ98" s="463"/>
      <c r="BK98" s="464"/>
      <c r="BL98" s="464"/>
      <c r="BM98" s="465"/>
    </row>
    <row r="99" spans="1:65" s="360" customFormat="1" ht="27" customHeight="1" x14ac:dyDescent="0.2">
      <c r="A99" s="437"/>
      <c r="K99" s="455"/>
      <c r="L99" s="337"/>
      <c r="M99" s="337"/>
      <c r="N99" s="337"/>
      <c r="O99" s="456"/>
      <c r="P99" s="456"/>
      <c r="Q99" s="455"/>
      <c r="R99" s="457"/>
      <c r="S99" s="458"/>
      <c r="T99" s="455"/>
      <c r="U99" s="455"/>
      <c r="V99" s="455"/>
      <c r="W99" s="459"/>
      <c r="X99" s="459"/>
      <c r="Y99" s="459"/>
      <c r="Z99" s="460"/>
      <c r="AA99" s="461"/>
      <c r="BH99" s="462"/>
      <c r="BI99" s="463"/>
      <c r="BJ99" s="463"/>
      <c r="BK99" s="464"/>
      <c r="BL99" s="464"/>
      <c r="BM99" s="465"/>
    </row>
    <row r="100" spans="1:65" s="360" customFormat="1" ht="27" customHeight="1" x14ac:dyDescent="0.2">
      <c r="A100" s="437"/>
      <c r="K100" s="455"/>
      <c r="L100" s="337"/>
      <c r="M100" s="337"/>
      <c r="N100" s="337"/>
      <c r="O100" s="456"/>
      <c r="P100" s="456"/>
      <c r="Q100" s="455"/>
      <c r="R100" s="457"/>
      <c r="S100" s="458"/>
      <c r="T100" s="455"/>
      <c r="U100" s="455"/>
      <c r="V100" s="455"/>
      <c r="W100" s="459"/>
      <c r="X100" s="459"/>
      <c r="Y100" s="459"/>
      <c r="Z100" s="460"/>
      <c r="AA100" s="461"/>
      <c r="BH100" s="462"/>
      <c r="BI100" s="463"/>
      <c r="BJ100" s="463"/>
      <c r="BK100" s="464"/>
      <c r="BL100" s="464"/>
      <c r="BM100" s="465"/>
    </row>
    <row r="101" spans="1:65" s="360" customFormat="1" ht="27" customHeight="1" x14ac:dyDescent="0.2">
      <c r="A101" s="437"/>
      <c r="K101" s="455"/>
      <c r="L101" s="337"/>
      <c r="M101" s="337"/>
      <c r="N101" s="337"/>
      <c r="O101" s="456"/>
      <c r="P101" s="456"/>
      <c r="Q101" s="455"/>
      <c r="R101" s="457"/>
      <c r="S101" s="458"/>
      <c r="T101" s="455"/>
      <c r="U101" s="455"/>
      <c r="V101" s="455"/>
      <c r="W101" s="459"/>
      <c r="X101" s="459"/>
      <c r="Y101" s="459"/>
      <c r="Z101" s="460"/>
      <c r="AA101" s="461"/>
      <c r="BH101" s="462"/>
      <c r="BI101" s="463"/>
      <c r="BJ101" s="463"/>
      <c r="BK101" s="464"/>
      <c r="BL101" s="464"/>
      <c r="BM101" s="465"/>
    </row>
    <row r="102" spans="1:65" s="360" customFormat="1" ht="27" customHeight="1" x14ac:dyDescent="0.2">
      <c r="A102" s="437"/>
      <c r="K102" s="455"/>
      <c r="L102" s="337"/>
      <c r="M102" s="337"/>
      <c r="N102" s="337"/>
      <c r="O102" s="456"/>
      <c r="P102" s="456"/>
      <c r="Q102" s="455"/>
      <c r="R102" s="457"/>
      <c r="S102" s="458"/>
      <c r="T102" s="455"/>
      <c r="U102" s="455"/>
      <c r="V102" s="455"/>
      <c r="W102" s="459"/>
      <c r="X102" s="459"/>
      <c r="Y102" s="459"/>
      <c r="Z102" s="460"/>
      <c r="AA102" s="461"/>
      <c r="BH102" s="462"/>
      <c r="BI102" s="463"/>
      <c r="BJ102" s="463"/>
      <c r="BK102" s="464"/>
      <c r="BL102" s="464"/>
      <c r="BM102" s="465"/>
    </row>
    <row r="103" spans="1:65" s="360" customFormat="1" ht="27" customHeight="1" x14ac:dyDescent="0.2">
      <c r="A103" s="437"/>
      <c r="K103" s="455"/>
      <c r="L103" s="337"/>
      <c r="M103" s="337"/>
      <c r="N103" s="337"/>
      <c r="O103" s="456"/>
      <c r="P103" s="456"/>
      <c r="Q103" s="455"/>
      <c r="R103" s="457"/>
      <c r="S103" s="458"/>
      <c r="T103" s="455"/>
      <c r="U103" s="455"/>
      <c r="V103" s="455"/>
      <c r="W103" s="459"/>
      <c r="X103" s="459"/>
      <c r="Y103" s="459"/>
      <c r="Z103" s="460"/>
      <c r="AA103" s="461"/>
      <c r="BH103" s="462"/>
      <c r="BI103" s="463"/>
      <c r="BJ103" s="463"/>
      <c r="BK103" s="464"/>
      <c r="BL103" s="464"/>
      <c r="BM103" s="465"/>
    </row>
    <row r="104" spans="1:65" s="360" customFormat="1" ht="27" customHeight="1" x14ac:dyDescent="0.2">
      <c r="A104" s="437"/>
      <c r="K104" s="455"/>
      <c r="L104" s="337"/>
      <c r="M104" s="337"/>
      <c r="N104" s="337"/>
      <c r="O104" s="456"/>
      <c r="P104" s="456"/>
      <c r="Q104" s="455"/>
      <c r="R104" s="457"/>
      <c r="S104" s="458"/>
      <c r="T104" s="455"/>
      <c r="U104" s="455"/>
      <c r="V104" s="455"/>
      <c r="W104" s="459"/>
      <c r="X104" s="459"/>
      <c r="Y104" s="459"/>
      <c r="Z104" s="460"/>
      <c r="AA104" s="461"/>
      <c r="BH104" s="462"/>
      <c r="BI104" s="463"/>
      <c r="BJ104" s="463"/>
      <c r="BK104" s="464"/>
      <c r="BL104" s="464"/>
      <c r="BM104" s="465"/>
    </row>
    <row r="105" spans="1:65" s="360" customFormat="1" ht="27" customHeight="1" x14ac:dyDescent="0.2">
      <c r="A105" s="437"/>
      <c r="K105" s="455"/>
      <c r="L105" s="337"/>
      <c r="M105" s="337"/>
      <c r="N105" s="337"/>
      <c r="O105" s="456"/>
      <c r="P105" s="456"/>
      <c r="Q105" s="455"/>
      <c r="R105" s="457"/>
      <c r="S105" s="458"/>
      <c r="T105" s="455"/>
      <c r="U105" s="455"/>
      <c r="V105" s="455"/>
      <c r="W105" s="459"/>
      <c r="X105" s="459"/>
      <c r="Y105" s="459"/>
      <c r="Z105" s="460"/>
      <c r="AA105" s="461"/>
      <c r="BH105" s="462"/>
      <c r="BI105" s="463"/>
      <c r="BJ105" s="463"/>
      <c r="BK105" s="464"/>
      <c r="BL105" s="464"/>
      <c r="BM105" s="465"/>
    </row>
    <row r="106" spans="1:65" s="360" customFormat="1" ht="27" customHeight="1" x14ac:dyDescent="0.2">
      <c r="A106" s="437"/>
      <c r="K106" s="455"/>
      <c r="L106" s="337"/>
      <c r="M106" s="337"/>
      <c r="N106" s="337"/>
      <c r="O106" s="456"/>
      <c r="P106" s="456"/>
      <c r="Q106" s="455"/>
      <c r="R106" s="457"/>
      <c r="S106" s="458"/>
      <c r="T106" s="455"/>
      <c r="U106" s="455"/>
      <c r="V106" s="455"/>
      <c r="W106" s="459"/>
      <c r="X106" s="459"/>
      <c r="Y106" s="459"/>
      <c r="Z106" s="460"/>
      <c r="AA106" s="461"/>
      <c r="BH106" s="462"/>
      <c r="BI106" s="463"/>
      <c r="BJ106" s="463"/>
      <c r="BK106" s="464"/>
      <c r="BL106" s="464"/>
      <c r="BM106" s="465"/>
    </row>
    <row r="107" spans="1:65" s="360" customFormat="1" ht="27" customHeight="1" x14ac:dyDescent="0.2">
      <c r="A107" s="437"/>
      <c r="K107" s="455"/>
      <c r="L107" s="337"/>
      <c r="M107" s="337"/>
      <c r="N107" s="337"/>
      <c r="O107" s="456"/>
      <c r="P107" s="456"/>
      <c r="Q107" s="455"/>
      <c r="R107" s="457"/>
      <c r="S107" s="458"/>
      <c r="T107" s="455"/>
      <c r="U107" s="455"/>
      <c r="V107" s="455"/>
      <c r="W107" s="459"/>
      <c r="X107" s="459"/>
      <c r="Y107" s="459"/>
      <c r="Z107" s="460"/>
      <c r="AA107" s="461"/>
      <c r="BH107" s="462"/>
      <c r="BI107" s="463"/>
      <c r="BJ107" s="463"/>
      <c r="BK107" s="464"/>
      <c r="BL107" s="464"/>
      <c r="BM107" s="465"/>
    </row>
    <row r="108" spans="1:65" s="360" customFormat="1" ht="27" customHeight="1" x14ac:dyDescent="0.2">
      <c r="A108" s="437"/>
      <c r="K108" s="455"/>
      <c r="L108" s="337"/>
      <c r="M108" s="337"/>
      <c r="N108" s="337"/>
      <c r="O108" s="456"/>
      <c r="P108" s="456"/>
      <c r="Q108" s="455"/>
      <c r="R108" s="457"/>
      <c r="S108" s="458"/>
      <c r="T108" s="455"/>
      <c r="U108" s="455"/>
      <c r="V108" s="455"/>
      <c r="W108" s="459"/>
      <c r="X108" s="459"/>
      <c r="Y108" s="459"/>
      <c r="Z108" s="460"/>
      <c r="AA108" s="461"/>
      <c r="BH108" s="462"/>
      <c r="BI108" s="463"/>
      <c r="BJ108" s="463"/>
      <c r="BK108" s="464"/>
      <c r="BL108" s="464"/>
      <c r="BM108" s="465"/>
    </row>
    <row r="109" spans="1:65" s="360" customFormat="1" ht="27" customHeight="1" x14ac:dyDescent="0.2">
      <c r="A109" s="437"/>
      <c r="K109" s="455"/>
      <c r="L109" s="337"/>
      <c r="M109" s="337"/>
      <c r="N109" s="337"/>
      <c r="O109" s="456"/>
      <c r="P109" s="456"/>
      <c r="Q109" s="455"/>
      <c r="R109" s="457"/>
      <c r="S109" s="458"/>
      <c r="T109" s="455"/>
      <c r="U109" s="455"/>
      <c r="V109" s="455"/>
      <c r="W109" s="459"/>
      <c r="X109" s="459"/>
      <c r="Y109" s="459"/>
      <c r="Z109" s="460"/>
      <c r="AA109" s="461"/>
      <c r="BH109" s="462"/>
      <c r="BI109" s="463"/>
      <c r="BJ109" s="463"/>
      <c r="BK109" s="464"/>
      <c r="BL109" s="464"/>
      <c r="BM109" s="465"/>
    </row>
    <row r="110" spans="1:65" s="360" customFormat="1" ht="27" customHeight="1" x14ac:dyDescent="0.2">
      <c r="A110" s="437"/>
      <c r="K110" s="455"/>
      <c r="L110" s="337"/>
      <c r="M110" s="337"/>
      <c r="N110" s="337"/>
      <c r="O110" s="456"/>
      <c r="P110" s="456"/>
      <c r="Q110" s="455"/>
      <c r="R110" s="457"/>
      <c r="S110" s="458"/>
      <c r="T110" s="455"/>
      <c r="U110" s="455"/>
      <c r="V110" s="455"/>
      <c r="W110" s="459"/>
      <c r="X110" s="459"/>
      <c r="Y110" s="459"/>
      <c r="Z110" s="460"/>
      <c r="AA110" s="461"/>
      <c r="BH110" s="462"/>
      <c r="BI110" s="463"/>
      <c r="BJ110" s="463"/>
      <c r="BK110" s="464"/>
      <c r="BL110" s="464"/>
      <c r="BM110" s="465"/>
    </row>
    <row r="111" spans="1:65" s="360" customFormat="1" ht="27" customHeight="1" x14ac:dyDescent="0.2">
      <c r="A111" s="437"/>
      <c r="K111" s="455"/>
      <c r="L111" s="337"/>
      <c r="M111" s="337"/>
      <c r="N111" s="337"/>
      <c r="O111" s="456"/>
      <c r="P111" s="456"/>
      <c r="Q111" s="455"/>
      <c r="R111" s="457"/>
      <c r="S111" s="458"/>
      <c r="T111" s="455"/>
      <c r="U111" s="455"/>
      <c r="V111" s="455"/>
      <c r="W111" s="459"/>
      <c r="X111" s="459"/>
      <c r="Y111" s="459"/>
      <c r="Z111" s="460"/>
      <c r="AA111" s="461"/>
      <c r="BH111" s="462"/>
      <c r="BI111" s="463"/>
      <c r="BJ111" s="463"/>
      <c r="BK111" s="464"/>
      <c r="BL111" s="464"/>
      <c r="BM111" s="465"/>
    </row>
    <row r="112" spans="1:65" s="360" customFormat="1" ht="27" customHeight="1" x14ac:dyDescent="0.2">
      <c r="A112" s="437"/>
      <c r="K112" s="455"/>
      <c r="L112" s="337"/>
      <c r="M112" s="337"/>
      <c r="N112" s="337"/>
      <c r="O112" s="456"/>
      <c r="P112" s="456"/>
      <c r="Q112" s="455"/>
      <c r="R112" s="457"/>
      <c r="S112" s="458"/>
      <c r="T112" s="455"/>
      <c r="U112" s="455"/>
      <c r="V112" s="455"/>
      <c r="W112" s="459"/>
      <c r="X112" s="459"/>
      <c r="Y112" s="459"/>
      <c r="Z112" s="460"/>
      <c r="AA112" s="461"/>
      <c r="BH112" s="462"/>
      <c r="BI112" s="463"/>
      <c r="BJ112" s="463"/>
      <c r="BK112" s="464"/>
      <c r="BL112" s="464"/>
      <c r="BM112" s="465"/>
    </row>
    <row r="113" spans="1:65" s="360" customFormat="1" ht="27" customHeight="1" x14ac:dyDescent="0.2">
      <c r="A113" s="437"/>
      <c r="K113" s="455"/>
      <c r="L113" s="337"/>
      <c r="M113" s="337"/>
      <c r="N113" s="337"/>
      <c r="O113" s="456"/>
      <c r="P113" s="456"/>
      <c r="Q113" s="455"/>
      <c r="R113" s="457"/>
      <c r="S113" s="458"/>
      <c r="T113" s="455"/>
      <c r="U113" s="455"/>
      <c r="V113" s="455"/>
      <c r="W113" s="459"/>
      <c r="X113" s="459"/>
      <c r="Y113" s="459"/>
      <c r="Z113" s="460"/>
      <c r="AA113" s="461"/>
      <c r="BH113" s="462"/>
      <c r="BI113" s="463"/>
      <c r="BJ113" s="463"/>
      <c r="BK113" s="464"/>
      <c r="BL113" s="464"/>
      <c r="BM113" s="465"/>
    </row>
    <row r="114" spans="1:65" s="360" customFormat="1" ht="27" customHeight="1" x14ac:dyDescent="0.2">
      <c r="A114" s="437"/>
      <c r="K114" s="455"/>
      <c r="L114" s="337"/>
      <c r="M114" s="337"/>
      <c r="N114" s="337"/>
      <c r="O114" s="456"/>
      <c r="P114" s="456"/>
      <c r="Q114" s="455"/>
      <c r="R114" s="457"/>
      <c r="S114" s="458"/>
      <c r="T114" s="455"/>
      <c r="U114" s="455"/>
      <c r="V114" s="455"/>
      <c r="W114" s="459"/>
      <c r="X114" s="459"/>
      <c r="Y114" s="459"/>
      <c r="Z114" s="460"/>
      <c r="AA114" s="461"/>
      <c r="BH114" s="462"/>
      <c r="BI114" s="463"/>
      <c r="BJ114" s="463"/>
      <c r="BK114" s="464"/>
      <c r="BL114" s="464"/>
      <c r="BM114" s="465"/>
    </row>
    <row r="115" spans="1:65" s="360" customFormat="1" ht="27" customHeight="1" x14ac:dyDescent="0.2">
      <c r="A115" s="437"/>
      <c r="K115" s="455"/>
      <c r="L115" s="337"/>
      <c r="M115" s="337"/>
      <c r="N115" s="337"/>
      <c r="O115" s="456"/>
      <c r="P115" s="456"/>
      <c r="Q115" s="455"/>
      <c r="R115" s="457"/>
      <c r="S115" s="458"/>
      <c r="T115" s="455"/>
      <c r="U115" s="455"/>
      <c r="V115" s="455"/>
      <c r="W115" s="459"/>
      <c r="X115" s="459"/>
      <c r="Y115" s="459"/>
      <c r="Z115" s="460"/>
      <c r="AA115" s="461"/>
      <c r="BH115" s="462"/>
      <c r="BI115" s="463"/>
      <c r="BJ115" s="463"/>
      <c r="BK115" s="464"/>
      <c r="BL115" s="464"/>
      <c r="BM115" s="465"/>
    </row>
    <row r="116" spans="1:65" s="360" customFormat="1" ht="27" customHeight="1" x14ac:dyDescent="0.2">
      <c r="A116" s="437"/>
      <c r="K116" s="455"/>
      <c r="L116" s="337"/>
      <c r="M116" s="337"/>
      <c r="N116" s="337"/>
      <c r="O116" s="456"/>
      <c r="P116" s="456"/>
      <c r="Q116" s="455"/>
      <c r="R116" s="457"/>
      <c r="S116" s="458"/>
      <c r="T116" s="455"/>
      <c r="U116" s="455"/>
      <c r="V116" s="455"/>
      <c r="W116" s="459"/>
      <c r="X116" s="459"/>
      <c r="Y116" s="459"/>
      <c r="Z116" s="460"/>
      <c r="AA116" s="461"/>
      <c r="BH116" s="462"/>
      <c r="BI116" s="463"/>
      <c r="BJ116" s="463"/>
      <c r="BK116" s="464"/>
      <c r="BL116" s="464"/>
      <c r="BM116" s="465"/>
    </row>
    <row r="117" spans="1:65" s="360" customFormat="1" ht="27" customHeight="1" x14ac:dyDescent="0.2">
      <c r="A117" s="437"/>
      <c r="K117" s="455"/>
      <c r="L117" s="337"/>
      <c r="M117" s="337"/>
      <c r="N117" s="337"/>
      <c r="O117" s="456"/>
      <c r="P117" s="456"/>
      <c r="Q117" s="455"/>
      <c r="R117" s="457"/>
      <c r="S117" s="458"/>
      <c r="T117" s="455"/>
      <c r="U117" s="455"/>
      <c r="V117" s="455"/>
      <c r="W117" s="459"/>
      <c r="X117" s="459"/>
      <c r="Y117" s="459"/>
      <c r="Z117" s="460"/>
      <c r="AA117" s="461"/>
      <c r="BH117" s="462"/>
      <c r="BI117" s="463"/>
      <c r="BJ117" s="463"/>
      <c r="BK117" s="464"/>
      <c r="BL117" s="464"/>
      <c r="BM117" s="465"/>
    </row>
    <row r="118" spans="1:65" s="360" customFormat="1" ht="27" customHeight="1" x14ac:dyDescent="0.2">
      <c r="A118" s="437"/>
      <c r="K118" s="455"/>
      <c r="L118" s="337"/>
      <c r="M118" s="337"/>
      <c r="N118" s="337"/>
      <c r="O118" s="456"/>
      <c r="P118" s="456"/>
      <c r="Q118" s="455"/>
      <c r="R118" s="457"/>
      <c r="S118" s="458"/>
      <c r="T118" s="455"/>
      <c r="U118" s="455"/>
      <c r="V118" s="455"/>
      <c r="W118" s="459"/>
      <c r="X118" s="459"/>
      <c r="Y118" s="459"/>
      <c r="Z118" s="460"/>
      <c r="AA118" s="461"/>
      <c r="BH118" s="462"/>
      <c r="BI118" s="463"/>
      <c r="BJ118" s="463"/>
      <c r="BK118" s="464"/>
      <c r="BL118" s="464"/>
      <c r="BM118" s="465"/>
    </row>
    <row r="119" spans="1:65" s="360" customFormat="1" ht="27" customHeight="1" x14ac:dyDescent="0.2">
      <c r="A119" s="437"/>
      <c r="K119" s="455"/>
      <c r="L119" s="337"/>
      <c r="M119" s="337"/>
      <c r="N119" s="337"/>
      <c r="O119" s="456"/>
      <c r="P119" s="456"/>
      <c r="Q119" s="455"/>
      <c r="R119" s="457"/>
      <c r="S119" s="458"/>
      <c r="T119" s="455"/>
      <c r="U119" s="455"/>
      <c r="V119" s="455"/>
      <c r="W119" s="459"/>
      <c r="X119" s="459"/>
      <c r="Y119" s="459"/>
      <c r="Z119" s="460"/>
      <c r="AA119" s="461"/>
      <c r="BH119" s="462"/>
      <c r="BI119" s="463"/>
      <c r="BJ119" s="463"/>
      <c r="BK119" s="464"/>
      <c r="BL119" s="464"/>
      <c r="BM119" s="465"/>
    </row>
    <row r="120" spans="1:65" s="360" customFormat="1" ht="27" customHeight="1" x14ac:dyDescent="0.2">
      <c r="A120" s="437"/>
      <c r="K120" s="455"/>
      <c r="L120" s="337"/>
      <c r="M120" s="337"/>
      <c r="N120" s="337"/>
      <c r="O120" s="456"/>
      <c r="P120" s="456"/>
      <c r="Q120" s="455"/>
      <c r="R120" s="457"/>
      <c r="S120" s="458"/>
      <c r="T120" s="455"/>
      <c r="U120" s="455"/>
      <c r="V120" s="455"/>
      <c r="W120" s="459"/>
      <c r="X120" s="459"/>
      <c r="Y120" s="459"/>
      <c r="Z120" s="460"/>
      <c r="AA120" s="461"/>
      <c r="BH120" s="462"/>
      <c r="BI120" s="463"/>
      <c r="BJ120" s="463"/>
      <c r="BK120" s="464"/>
      <c r="BL120" s="464"/>
      <c r="BM120" s="465"/>
    </row>
    <row r="121" spans="1:65" s="360" customFormat="1" ht="27" customHeight="1" x14ac:dyDescent="0.2">
      <c r="A121" s="437"/>
      <c r="K121" s="455"/>
      <c r="L121" s="337"/>
      <c r="M121" s="337"/>
      <c r="N121" s="337"/>
      <c r="O121" s="456"/>
      <c r="P121" s="456"/>
      <c r="Q121" s="455"/>
      <c r="R121" s="457"/>
      <c r="S121" s="458"/>
      <c r="T121" s="455"/>
      <c r="U121" s="455"/>
      <c r="V121" s="455"/>
      <c r="W121" s="459"/>
      <c r="X121" s="459"/>
      <c r="Y121" s="459"/>
      <c r="Z121" s="460"/>
      <c r="AA121" s="461"/>
      <c r="BH121" s="462"/>
      <c r="BI121" s="463"/>
      <c r="BJ121" s="463"/>
      <c r="BK121" s="464"/>
      <c r="BL121" s="464"/>
      <c r="BM121" s="465"/>
    </row>
    <row r="122" spans="1:65" s="360" customFormat="1" ht="27" customHeight="1" x14ac:dyDescent="0.2">
      <c r="A122" s="437"/>
      <c r="K122" s="455"/>
      <c r="L122" s="337"/>
      <c r="M122" s="337"/>
      <c r="N122" s="337"/>
      <c r="O122" s="456"/>
      <c r="P122" s="456"/>
      <c r="Q122" s="455"/>
      <c r="R122" s="457"/>
      <c r="S122" s="458"/>
      <c r="T122" s="455"/>
      <c r="U122" s="455"/>
      <c r="V122" s="455"/>
      <c r="W122" s="459"/>
      <c r="X122" s="459"/>
      <c r="Y122" s="459"/>
      <c r="Z122" s="460"/>
      <c r="AA122" s="461"/>
      <c r="BH122" s="462"/>
      <c r="BI122" s="463"/>
      <c r="BJ122" s="463"/>
      <c r="BK122" s="464"/>
      <c r="BL122" s="464"/>
      <c r="BM122" s="465"/>
    </row>
    <row r="123" spans="1:65" s="360" customFormat="1" ht="27" customHeight="1" x14ac:dyDescent="0.2">
      <c r="A123" s="437"/>
      <c r="K123" s="455"/>
      <c r="L123" s="337"/>
      <c r="M123" s="337"/>
      <c r="N123" s="337"/>
      <c r="O123" s="456"/>
      <c r="P123" s="456"/>
      <c r="Q123" s="455"/>
      <c r="R123" s="457"/>
      <c r="S123" s="458"/>
      <c r="T123" s="455"/>
      <c r="U123" s="455"/>
      <c r="V123" s="455"/>
      <c r="W123" s="459"/>
      <c r="X123" s="459"/>
      <c r="Y123" s="459"/>
      <c r="Z123" s="460"/>
      <c r="AA123" s="461"/>
      <c r="BH123" s="462"/>
      <c r="BI123" s="463"/>
      <c r="BJ123" s="463"/>
      <c r="BK123" s="464"/>
      <c r="BL123" s="464"/>
      <c r="BM123" s="465"/>
    </row>
    <row r="124" spans="1:65" s="360" customFormat="1" ht="27" customHeight="1" x14ac:dyDescent="0.2">
      <c r="A124" s="437"/>
      <c r="K124" s="455"/>
      <c r="L124" s="337"/>
      <c r="M124" s="337"/>
      <c r="N124" s="337"/>
      <c r="O124" s="456"/>
      <c r="P124" s="456"/>
      <c r="Q124" s="455"/>
      <c r="R124" s="457"/>
      <c r="S124" s="458"/>
      <c r="T124" s="455"/>
      <c r="U124" s="455"/>
      <c r="V124" s="455"/>
      <c r="W124" s="459"/>
      <c r="X124" s="459"/>
      <c r="Y124" s="459"/>
      <c r="Z124" s="460"/>
      <c r="AA124" s="461"/>
      <c r="BH124" s="462"/>
      <c r="BI124" s="463"/>
      <c r="BJ124" s="463"/>
      <c r="BK124" s="464"/>
      <c r="BL124" s="464"/>
      <c r="BM124" s="465"/>
    </row>
    <row r="125" spans="1:65" s="360" customFormat="1" ht="27" customHeight="1" x14ac:dyDescent="0.2">
      <c r="A125" s="437"/>
      <c r="K125" s="455"/>
      <c r="L125" s="337"/>
      <c r="M125" s="337"/>
      <c r="N125" s="337"/>
      <c r="O125" s="456"/>
      <c r="P125" s="456"/>
      <c r="Q125" s="455"/>
      <c r="R125" s="457"/>
      <c r="S125" s="458"/>
      <c r="T125" s="455"/>
      <c r="U125" s="455"/>
      <c r="V125" s="455"/>
      <c r="W125" s="459"/>
      <c r="X125" s="459"/>
      <c r="Y125" s="459"/>
      <c r="Z125" s="460"/>
      <c r="AA125" s="461"/>
      <c r="BH125" s="462"/>
      <c r="BI125" s="463"/>
      <c r="BJ125" s="463"/>
      <c r="BK125" s="464"/>
      <c r="BL125" s="464"/>
      <c r="BM125" s="465"/>
    </row>
    <row r="126" spans="1:65" s="360" customFormat="1" ht="27" customHeight="1" x14ac:dyDescent="0.2">
      <c r="A126" s="437"/>
      <c r="K126" s="455"/>
      <c r="L126" s="337"/>
      <c r="M126" s="337"/>
      <c r="N126" s="337"/>
      <c r="O126" s="456"/>
      <c r="P126" s="456"/>
      <c r="Q126" s="455"/>
      <c r="R126" s="457"/>
      <c r="S126" s="458"/>
      <c r="T126" s="455"/>
      <c r="U126" s="455"/>
      <c r="V126" s="455"/>
      <c r="W126" s="459"/>
      <c r="X126" s="459"/>
      <c r="Y126" s="459"/>
      <c r="Z126" s="460"/>
      <c r="AA126" s="461"/>
      <c r="BH126" s="462"/>
      <c r="BI126" s="463"/>
      <c r="BJ126" s="463"/>
      <c r="BK126" s="464"/>
      <c r="BL126" s="464"/>
      <c r="BM126" s="465"/>
    </row>
    <row r="127" spans="1:65" s="360" customFormat="1" ht="27" customHeight="1" x14ac:dyDescent="0.2">
      <c r="A127" s="437"/>
      <c r="K127" s="455"/>
      <c r="L127" s="337"/>
      <c r="M127" s="337"/>
      <c r="N127" s="337"/>
      <c r="O127" s="456"/>
      <c r="P127" s="456"/>
      <c r="Q127" s="455"/>
      <c r="R127" s="457"/>
      <c r="S127" s="458"/>
      <c r="T127" s="455"/>
      <c r="U127" s="455"/>
      <c r="V127" s="455"/>
      <c r="W127" s="459"/>
      <c r="X127" s="459"/>
      <c r="Y127" s="459"/>
      <c r="Z127" s="460"/>
      <c r="AA127" s="461"/>
      <c r="BH127" s="462"/>
      <c r="BI127" s="463"/>
      <c r="BJ127" s="463"/>
      <c r="BK127" s="464"/>
      <c r="BL127" s="464"/>
      <c r="BM127" s="465"/>
    </row>
    <row r="128" spans="1:65" s="360" customFormat="1" ht="27" customHeight="1" x14ac:dyDescent="0.2">
      <c r="A128" s="437"/>
      <c r="K128" s="455"/>
      <c r="L128" s="337"/>
      <c r="M128" s="337"/>
      <c r="N128" s="337"/>
      <c r="O128" s="456"/>
      <c r="P128" s="456"/>
      <c r="Q128" s="455"/>
      <c r="R128" s="457"/>
      <c r="S128" s="458"/>
      <c r="T128" s="455"/>
      <c r="U128" s="455"/>
      <c r="V128" s="455"/>
      <c r="W128" s="459"/>
      <c r="X128" s="459"/>
      <c r="Y128" s="459"/>
      <c r="Z128" s="460"/>
      <c r="AA128" s="461"/>
      <c r="BH128" s="462"/>
      <c r="BI128" s="463"/>
      <c r="BJ128" s="463"/>
      <c r="BK128" s="464"/>
      <c r="BL128" s="464"/>
      <c r="BM128" s="465"/>
    </row>
    <row r="129" spans="1:65" s="360" customFormat="1" ht="27" customHeight="1" x14ac:dyDescent="0.2">
      <c r="A129" s="437"/>
      <c r="K129" s="455"/>
      <c r="L129" s="337"/>
      <c r="M129" s="337"/>
      <c r="N129" s="337"/>
      <c r="O129" s="456"/>
      <c r="P129" s="456"/>
      <c r="Q129" s="455"/>
      <c r="R129" s="457"/>
      <c r="S129" s="458"/>
      <c r="T129" s="455"/>
      <c r="U129" s="455"/>
      <c r="V129" s="455"/>
      <c r="W129" s="459"/>
      <c r="X129" s="459"/>
      <c r="Y129" s="459"/>
      <c r="Z129" s="460"/>
      <c r="AA129" s="461"/>
      <c r="BH129" s="462"/>
      <c r="BI129" s="463"/>
      <c r="BJ129" s="463"/>
      <c r="BK129" s="464"/>
      <c r="BL129" s="464"/>
      <c r="BM129" s="465"/>
    </row>
    <row r="130" spans="1:65" s="360" customFormat="1" ht="27" customHeight="1" x14ac:dyDescent="0.2">
      <c r="A130" s="437"/>
      <c r="K130" s="455"/>
      <c r="L130" s="337"/>
      <c r="M130" s="337"/>
      <c r="N130" s="337"/>
      <c r="O130" s="456"/>
      <c r="P130" s="456"/>
      <c r="Q130" s="455"/>
      <c r="R130" s="457"/>
      <c r="S130" s="458"/>
      <c r="T130" s="455"/>
      <c r="U130" s="455"/>
      <c r="V130" s="455"/>
      <c r="W130" s="459"/>
      <c r="X130" s="459"/>
      <c r="Y130" s="459"/>
      <c r="Z130" s="460"/>
      <c r="AA130" s="461"/>
      <c r="BH130" s="462"/>
      <c r="BI130" s="463"/>
      <c r="BJ130" s="463"/>
      <c r="BK130" s="464"/>
      <c r="BL130" s="464"/>
      <c r="BM130" s="465"/>
    </row>
    <row r="131" spans="1:65" s="360" customFormat="1" ht="27" customHeight="1" x14ac:dyDescent="0.2">
      <c r="A131" s="437"/>
      <c r="K131" s="455"/>
      <c r="L131" s="337"/>
      <c r="M131" s="337"/>
      <c r="N131" s="337"/>
      <c r="O131" s="456"/>
      <c r="P131" s="456"/>
      <c r="Q131" s="455"/>
      <c r="R131" s="457"/>
      <c r="S131" s="458"/>
      <c r="T131" s="455"/>
      <c r="U131" s="455"/>
      <c r="V131" s="455"/>
      <c r="W131" s="459"/>
      <c r="X131" s="459"/>
      <c r="Y131" s="459"/>
      <c r="Z131" s="460"/>
      <c r="AA131" s="461"/>
      <c r="BH131" s="462"/>
      <c r="BI131" s="463"/>
      <c r="BJ131" s="463"/>
      <c r="BK131" s="464"/>
      <c r="BL131" s="464"/>
      <c r="BM131" s="465"/>
    </row>
    <row r="132" spans="1:65" s="360" customFormat="1" ht="27" customHeight="1" x14ac:dyDescent="0.2">
      <c r="A132" s="437"/>
      <c r="K132" s="455"/>
      <c r="L132" s="337"/>
      <c r="M132" s="337"/>
      <c r="N132" s="337"/>
      <c r="O132" s="456"/>
      <c r="P132" s="456"/>
      <c r="Q132" s="455"/>
      <c r="R132" s="457"/>
      <c r="S132" s="458"/>
      <c r="T132" s="455"/>
      <c r="U132" s="455"/>
      <c r="V132" s="455"/>
      <c r="W132" s="459"/>
      <c r="X132" s="459"/>
      <c r="Y132" s="459"/>
      <c r="Z132" s="460"/>
      <c r="AA132" s="461"/>
      <c r="BH132" s="462"/>
      <c r="BI132" s="463"/>
      <c r="BJ132" s="463"/>
      <c r="BK132" s="464"/>
      <c r="BL132" s="464"/>
      <c r="BM132" s="465"/>
    </row>
    <row r="133" spans="1:65" s="360" customFormat="1" ht="27" customHeight="1" x14ac:dyDescent="0.2">
      <c r="A133" s="437"/>
      <c r="K133" s="455"/>
      <c r="L133" s="337"/>
      <c r="M133" s="337"/>
      <c r="N133" s="337"/>
      <c r="O133" s="456"/>
      <c r="P133" s="456"/>
      <c r="Q133" s="455"/>
      <c r="R133" s="457"/>
      <c r="S133" s="458"/>
      <c r="T133" s="455"/>
      <c r="U133" s="455"/>
      <c r="V133" s="455"/>
      <c r="W133" s="459"/>
      <c r="X133" s="459"/>
      <c r="Y133" s="459"/>
      <c r="Z133" s="460"/>
      <c r="AA133" s="461"/>
      <c r="BH133" s="462"/>
      <c r="BI133" s="463"/>
      <c r="BJ133" s="463"/>
      <c r="BK133" s="464"/>
      <c r="BL133" s="464"/>
      <c r="BM133" s="465"/>
    </row>
    <row r="134" spans="1:65" s="360" customFormat="1" ht="27" customHeight="1" x14ac:dyDescent="0.2">
      <c r="A134" s="437"/>
      <c r="K134" s="455"/>
      <c r="L134" s="337"/>
      <c r="M134" s="337"/>
      <c r="N134" s="337"/>
      <c r="O134" s="456"/>
      <c r="P134" s="456"/>
      <c r="Q134" s="455"/>
      <c r="R134" s="457"/>
      <c r="S134" s="458"/>
      <c r="T134" s="455"/>
      <c r="U134" s="455"/>
      <c r="V134" s="455"/>
      <c r="W134" s="459"/>
      <c r="X134" s="459"/>
      <c r="Y134" s="459"/>
      <c r="Z134" s="460"/>
      <c r="AA134" s="461"/>
      <c r="BH134" s="462"/>
      <c r="BI134" s="463"/>
      <c r="BJ134" s="463"/>
      <c r="BK134" s="464"/>
      <c r="BL134" s="464"/>
      <c r="BM134" s="465"/>
    </row>
    <row r="135" spans="1:65" s="360" customFormat="1" ht="27" customHeight="1" x14ac:dyDescent="0.2">
      <c r="A135" s="437"/>
      <c r="K135" s="455"/>
      <c r="L135" s="337"/>
      <c r="M135" s="337"/>
      <c r="N135" s="337"/>
      <c r="O135" s="456"/>
      <c r="P135" s="456"/>
      <c r="Q135" s="455"/>
      <c r="R135" s="457"/>
      <c r="S135" s="458"/>
      <c r="T135" s="455"/>
      <c r="U135" s="455"/>
      <c r="V135" s="455"/>
      <c r="W135" s="459"/>
      <c r="X135" s="459"/>
      <c r="Y135" s="459"/>
      <c r="Z135" s="460"/>
      <c r="AA135" s="461"/>
      <c r="BH135" s="462"/>
      <c r="BI135" s="463"/>
      <c r="BJ135" s="463"/>
      <c r="BK135" s="464"/>
      <c r="BL135" s="464"/>
      <c r="BM135" s="465"/>
    </row>
    <row r="136" spans="1:65" s="360" customFormat="1" ht="27" customHeight="1" x14ac:dyDescent="0.2">
      <c r="A136" s="437"/>
      <c r="K136" s="455"/>
      <c r="L136" s="337"/>
      <c r="M136" s="337"/>
      <c r="N136" s="337"/>
      <c r="O136" s="456"/>
      <c r="P136" s="456"/>
      <c r="Q136" s="455"/>
      <c r="R136" s="457"/>
      <c r="S136" s="458"/>
      <c r="T136" s="455"/>
      <c r="U136" s="455"/>
      <c r="V136" s="455"/>
      <c r="W136" s="459"/>
      <c r="X136" s="459"/>
      <c r="Y136" s="459"/>
      <c r="Z136" s="460"/>
      <c r="AA136" s="461"/>
      <c r="BH136" s="462"/>
      <c r="BI136" s="463"/>
      <c r="BJ136" s="463"/>
      <c r="BK136" s="464"/>
      <c r="BL136" s="464"/>
      <c r="BM136" s="465"/>
    </row>
    <row r="137" spans="1:65" s="360" customFormat="1" ht="27" customHeight="1" x14ac:dyDescent="0.2">
      <c r="A137" s="437"/>
      <c r="K137" s="455"/>
      <c r="L137" s="337"/>
      <c r="M137" s="337"/>
      <c r="N137" s="337"/>
      <c r="O137" s="456"/>
      <c r="P137" s="456"/>
      <c r="Q137" s="455"/>
      <c r="R137" s="457"/>
      <c r="S137" s="458"/>
      <c r="T137" s="455"/>
      <c r="U137" s="455"/>
      <c r="V137" s="455"/>
      <c r="W137" s="459"/>
      <c r="X137" s="459"/>
      <c r="Y137" s="459"/>
      <c r="Z137" s="460"/>
      <c r="AA137" s="461"/>
      <c r="BH137" s="462"/>
      <c r="BI137" s="463"/>
      <c r="BJ137" s="463"/>
      <c r="BK137" s="464"/>
      <c r="BL137" s="464"/>
      <c r="BM137" s="465"/>
    </row>
    <row r="138" spans="1:65" s="360" customFormat="1" ht="27" customHeight="1" x14ac:dyDescent="0.2">
      <c r="A138" s="437"/>
      <c r="K138" s="455"/>
      <c r="L138" s="337"/>
      <c r="M138" s="337"/>
      <c r="N138" s="337"/>
      <c r="O138" s="456"/>
      <c r="P138" s="456"/>
      <c r="Q138" s="455"/>
      <c r="R138" s="457"/>
      <c r="S138" s="458"/>
      <c r="T138" s="455"/>
      <c r="U138" s="455"/>
      <c r="V138" s="455"/>
      <c r="W138" s="459"/>
      <c r="X138" s="459"/>
      <c r="Y138" s="459"/>
      <c r="Z138" s="460"/>
      <c r="AA138" s="461"/>
      <c r="BH138" s="462"/>
      <c r="BI138" s="463"/>
      <c r="BJ138" s="463"/>
      <c r="BK138" s="464"/>
      <c r="BL138" s="464"/>
      <c r="BM138" s="465"/>
    </row>
    <row r="139" spans="1:65" s="360" customFormat="1" ht="27" customHeight="1" x14ac:dyDescent="0.2">
      <c r="A139" s="437"/>
      <c r="K139" s="455"/>
      <c r="L139" s="337"/>
      <c r="M139" s="337"/>
      <c r="N139" s="337"/>
      <c r="O139" s="456"/>
      <c r="P139" s="456"/>
      <c r="Q139" s="455"/>
      <c r="R139" s="457"/>
      <c r="S139" s="458"/>
      <c r="T139" s="455"/>
      <c r="U139" s="455"/>
      <c r="V139" s="455"/>
      <c r="W139" s="459"/>
      <c r="X139" s="459"/>
      <c r="Y139" s="459"/>
      <c r="Z139" s="460"/>
      <c r="AA139" s="461"/>
      <c r="BH139" s="462"/>
      <c r="BI139" s="463"/>
      <c r="BJ139" s="463"/>
      <c r="BK139" s="464"/>
      <c r="BL139" s="464"/>
      <c r="BM139" s="465"/>
    </row>
    <row r="140" spans="1:65" s="360" customFormat="1" ht="27" customHeight="1" x14ac:dyDescent="0.2">
      <c r="A140" s="437"/>
      <c r="K140" s="455"/>
      <c r="L140" s="337"/>
      <c r="M140" s="337"/>
      <c r="N140" s="337"/>
      <c r="O140" s="456"/>
      <c r="P140" s="456"/>
      <c r="Q140" s="455"/>
      <c r="R140" s="457"/>
      <c r="S140" s="458"/>
      <c r="T140" s="455"/>
      <c r="U140" s="455"/>
      <c r="V140" s="455"/>
      <c r="W140" s="459"/>
      <c r="X140" s="459"/>
      <c r="Y140" s="459"/>
      <c r="Z140" s="460"/>
      <c r="AA140" s="461"/>
      <c r="BH140" s="462"/>
      <c r="BI140" s="463"/>
      <c r="BJ140" s="463"/>
      <c r="BK140" s="464"/>
      <c r="BL140" s="464"/>
      <c r="BM140" s="465"/>
    </row>
    <row r="141" spans="1:65" s="360" customFormat="1" ht="27" customHeight="1" x14ac:dyDescent="0.2">
      <c r="A141" s="437"/>
      <c r="K141" s="455"/>
      <c r="L141" s="337"/>
      <c r="M141" s="337"/>
      <c r="N141" s="337"/>
      <c r="O141" s="456"/>
      <c r="P141" s="456"/>
      <c r="Q141" s="455"/>
      <c r="R141" s="457"/>
      <c r="S141" s="458"/>
      <c r="T141" s="455"/>
      <c r="U141" s="455"/>
      <c r="V141" s="455"/>
      <c r="W141" s="459"/>
      <c r="X141" s="459"/>
      <c r="Y141" s="459"/>
      <c r="Z141" s="460"/>
      <c r="AA141" s="461"/>
      <c r="BH141" s="462"/>
      <c r="BI141" s="463"/>
      <c r="BJ141" s="463"/>
      <c r="BK141" s="464"/>
      <c r="BL141" s="464"/>
      <c r="BM141" s="465"/>
    </row>
    <row r="142" spans="1:65" s="360" customFormat="1" ht="27" customHeight="1" x14ac:dyDescent="0.2">
      <c r="A142" s="437"/>
      <c r="K142" s="455"/>
      <c r="L142" s="337"/>
      <c r="M142" s="337"/>
      <c r="N142" s="337"/>
      <c r="O142" s="456"/>
      <c r="P142" s="456"/>
      <c r="Q142" s="455"/>
      <c r="R142" s="457"/>
      <c r="S142" s="458"/>
      <c r="T142" s="455"/>
      <c r="U142" s="455"/>
      <c r="V142" s="455"/>
      <c r="W142" s="459"/>
      <c r="X142" s="459"/>
      <c r="Y142" s="459"/>
      <c r="Z142" s="460"/>
      <c r="AA142" s="461"/>
      <c r="BH142" s="462"/>
      <c r="BI142" s="463"/>
      <c r="BJ142" s="463"/>
      <c r="BK142" s="464"/>
      <c r="BL142" s="464"/>
      <c r="BM142" s="465"/>
    </row>
    <row r="143" spans="1:65" s="360" customFormat="1" ht="27" customHeight="1" x14ac:dyDescent="0.2">
      <c r="A143" s="437"/>
      <c r="K143" s="455"/>
      <c r="L143" s="337"/>
      <c r="M143" s="337"/>
      <c r="N143" s="337"/>
      <c r="O143" s="456"/>
      <c r="P143" s="456"/>
      <c r="Q143" s="455"/>
      <c r="R143" s="457"/>
      <c r="S143" s="458"/>
      <c r="T143" s="455"/>
      <c r="U143" s="455"/>
      <c r="V143" s="455"/>
      <c r="W143" s="459"/>
      <c r="X143" s="459"/>
      <c r="Y143" s="459"/>
      <c r="Z143" s="460"/>
      <c r="AA143" s="461"/>
      <c r="BH143" s="462"/>
      <c r="BI143" s="463"/>
      <c r="BJ143" s="463"/>
      <c r="BK143" s="464"/>
      <c r="BL143" s="464"/>
      <c r="BM143" s="465"/>
    </row>
    <row r="144" spans="1:65" s="360" customFormat="1" ht="27" customHeight="1" x14ac:dyDescent="0.2">
      <c r="A144" s="437"/>
      <c r="K144" s="455"/>
      <c r="L144" s="337"/>
      <c r="M144" s="337"/>
      <c r="N144" s="337"/>
      <c r="O144" s="456"/>
      <c r="P144" s="456"/>
      <c r="Q144" s="455"/>
      <c r="R144" s="457"/>
      <c r="S144" s="458"/>
      <c r="T144" s="455"/>
      <c r="U144" s="455"/>
      <c r="V144" s="455"/>
      <c r="W144" s="459"/>
      <c r="X144" s="459"/>
      <c r="Y144" s="459"/>
      <c r="Z144" s="460"/>
      <c r="AA144" s="461"/>
      <c r="BH144" s="462"/>
      <c r="BI144" s="463"/>
      <c r="BJ144" s="463"/>
      <c r="BK144" s="464"/>
      <c r="BL144" s="464"/>
      <c r="BM144" s="465"/>
    </row>
    <row r="145" spans="1:65" s="360" customFormat="1" ht="27" customHeight="1" x14ac:dyDescent="0.2">
      <c r="A145" s="437"/>
      <c r="K145" s="455"/>
      <c r="L145" s="337"/>
      <c r="M145" s="337"/>
      <c r="N145" s="337"/>
      <c r="O145" s="456"/>
      <c r="P145" s="456"/>
      <c r="Q145" s="455"/>
      <c r="R145" s="457"/>
      <c r="S145" s="458"/>
      <c r="T145" s="455"/>
      <c r="U145" s="455"/>
      <c r="V145" s="455"/>
      <c r="W145" s="459"/>
      <c r="X145" s="459"/>
      <c r="Y145" s="459"/>
      <c r="Z145" s="460"/>
      <c r="AA145" s="461"/>
      <c r="BH145" s="462"/>
      <c r="BI145" s="463"/>
      <c r="BJ145" s="463"/>
      <c r="BK145" s="464"/>
      <c r="BL145" s="464"/>
      <c r="BM145" s="465"/>
    </row>
    <row r="146" spans="1:65" s="360" customFormat="1" ht="27" customHeight="1" x14ac:dyDescent="0.2">
      <c r="A146" s="437"/>
      <c r="K146" s="455"/>
      <c r="L146" s="337"/>
      <c r="M146" s="337"/>
      <c r="N146" s="337"/>
      <c r="O146" s="456"/>
      <c r="P146" s="456"/>
      <c r="Q146" s="455"/>
      <c r="R146" s="457"/>
      <c r="S146" s="458"/>
      <c r="T146" s="455"/>
      <c r="U146" s="455"/>
      <c r="V146" s="455"/>
      <c r="W146" s="459"/>
      <c r="X146" s="459"/>
      <c r="Y146" s="459"/>
      <c r="Z146" s="460"/>
      <c r="AA146" s="461"/>
      <c r="BH146" s="462"/>
      <c r="BI146" s="463"/>
      <c r="BJ146" s="463"/>
      <c r="BK146" s="464"/>
      <c r="BL146" s="464"/>
      <c r="BM146" s="465"/>
    </row>
    <row r="147" spans="1:65" s="360" customFormat="1" ht="27" customHeight="1" x14ac:dyDescent="0.2">
      <c r="A147" s="437"/>
      <c r="K147" s="455"/>
      <c r="L147" s="337"/>
      <c r="M147" s="337"/>
      <c r="N147" s="337"/>
      <c r="O147" s="456"/>
      <c r="P147" s="456"/>
      <c r="Q147" s="455"/>
      <c r="R147" s="457"/>
      <c r="S147" s="458"/>
      <c r="T147" s="455"/>
      <c r="U147" s="455"/>
      <c r="V147" s="455"/>
      <c r="W147" s="459"/>
      <c r="X147" s="459"/>
      <c r="Y147" s="459"/>
      <c r="Z147" s="460"/>
      <c r="AA147" s="461"/>
      <c r="BH147" s="462"/>
      <c r="BI147" s="463"/>
      <c r="BJ147" s="463"/>
      <c r="BK147" s="464"/>
      <c r="BL147" s="464"/>
      <c r="BM147" s="465"/>
    </row>
    <row r="148" spans="1:65" s="360" customFormat="1" ht="27" customHeight="1" x14ac:dyDescent="0.2">
      <c r="A148" s="437"/>
      <c r="K148" s="455"/>
      <c r="L148" s="337"/>
      <c r="M148" s="337"/>
      <c r="N148" s="337"/>
      <c r="O148" s="456"/>
      <c r="P148" s="456"/>
      <c r="Q148" s="455"/>
      <c r="R148" s="457"/>
      <c r="S148" s="458"/>
      <c r="T148" s="455"/>
      <c r="U148" s="455"/>
      <c r="V148" s="455"/>
      <c r="W148" s="459"/>
      <c r="X148" s="459"/>
      <c r="Y148" s="459"/>
      <c r="Z148" s="460"/>
      <c r="AA148" s="461"/>
      <c r="BH148" s="462"/>
      <c r="BI148" s="463"/>
      <c r="BJ148" s="463"/>
      <c r="BK148" s="464"/>
      <c r="BL148" s="464"/>
      <c r="BM148" s="465"/>
    </row>
    <row r="149" spans="1:65" s="360" customFormat="1" ht="27" customHeight="1" x14ac:dyDescent="0.2">
      <c r="A149" s="437"/>
      <c r="K149" s="455"/>
      <c r="L149" s="337"/>
      <c r="M149" s="337"/>
      <c r="N149" s="337"/>
      <c r="O149" s="456"/>
      <c r="P149" s="456"/>
      <c r="Q149" s="455"/>
      <c r="R149" s="457"/>
      <c r="S149" s="458"/>
      <c r="T149" s="455"/>
      <c r="U149" s="455"/>
      <c r="V149" s="455"/>
      <c r="W149" s="459"/>
      <c r="X149" s="459"/>
      <c r="Y149" s="459"/>
      <c r="Z149" s="460"/>
      <c r="AA149" s="461"/>
      <c r="BH149" s="462"/>
      <c r="BI149" s="463"/>
      <c r="BJ149" s="463"/>
      <c r="BK149" s="464"/>
      <c r="BL149" s="464"/>
      <c r="BM149" s="465"/>
    </row>
    <row r="150" spans="1:65" s="360" customFormat="1" ht="27" customHeight="1" x14ac:dyDescent="0.2">
      <c r="A150" s="437"/>
      <c r="K150" s="455"/>
      <c r="L150" s="337"/>
      <c r="M150" s="337"/>
      <c r="N150" s="337"/>
      <c r="O150" s="456"/>
      <c r="P150" s="456"/>
      <c r="Q150" s="455"/>
      <c r="R150" s="457"/>
      <c r="S150" s="458"/>
      <c r="T150" s="455"/>
      <c r="U150" s="455"/>
      <c r="V150" s="455"/>
      <c r="W150" s="459"/>
      <c r="X150" s="459"/>
      <c r="Y150" s="459"/>
      <c r="Z150" s="460"/>
      <c r="AA150" s="461"/>
      <c r="BH150" s="462"/>
      <c r="BI150" s="463"/>
      <c r="BJ150" s="463"/>
      <c r="BK150" s="464"/>
      <c r="BL150" s="464"/>
      <c r="BM150" s="465"/>
    </row>
    <row r="151" spans="1:65" s="360" customFormat="1" ht="27" customHeight="1" x14ac:dyDescent="0.2">
      <c r="A151" s="437"/>
      <c r="K151" s="455"/>
      <c r="L151" s="337"/>
      <c r="M151" s="337"/>
      <c r="N151" s="337"/>
      <c r="O151" s="456"/>
      <c r="P151" s="456"/>
      <c r="Q151" s="455"/>
      <c r="R151" s="457"/>
      <c r="S151" s="458"/>
      <c r="T151" s="455"/>
      <c r="U151" s="455"/>
      <c r="V151" s="455"/>
      <c r="W151" s="459"/>
      <c r="X151" s="459"/>
      <c r="Y151" s="459"/>
      <c r="Z151" s="460"/>
      <c r="AA151" s="461"/>
      <c r="BH151" s="462"/>
      <c r="BI151" s="463"/>
      <c r="BJ151" s="463"/>
      <c r="BK151" s="464"/>
      <c r="BL151" s="464"/>
      <c r="BM151" s="465"/>
    </row>
    <row r="152" spans="1:65" s="360" customFormat="1" ht="27" customHeight="1" x14ac:dyDescent="0.2">
      <c r="A152" s="437"/>
      <c r="K152" s="455"/>
      <c r="L152" s="337"/>
      <c r="M152" s="337"/>
      <c r="N152" s="337"/>
      <c r="O152" s="456"/>
      <c r="P152" s="456"/>
      <c r="Q152" s="455"/>
      <c r="R152" s="457"/>
      <c r="S152" s="458"/>
      <c r="T152" s="455"/>
      <c r="U152" s="455"/>
      <c r="V152" s="455"/>
      <c r="W152" s="459"/>
      <c r="X152" s="459"/>
      <c r="Y152" s="459"/>
      <c r="Z152" s="460"/>
      <c r="AA152" s="461"/>
      <c r="BH152" s="462"/>
      <c r="BI152" s="463"/>
      <c r="BJ152" s="463"/>
      <c r="BK152" s="464"/>
      <c r="BL152" s="464"/>
      <c r="BM152" s="465"/>
    </row>
    <row r="153" spans="1:65" s="360" customFormat="1" ht="27" customHeight="1" x14ac:dyDescent="0.2">
      <c r="A153" s="437"/>
      <c r="K153" s="455"/>
      <c r="L153" s="337"/>
      <c r="M153" s="337"/>
      <c r="N153" s="337"/>
      <c r="O153" s="456"/>
      <c r="P153" s="456"/>
      <c r="Q153" s="455"/>
      <c r="R153" s="457"/>
      <c r="S153" s="458"/>
      <c r="T153" s="455"/>
      <c r="U153" s="455"/>
      <c r="V153" s="455"/>
      <c r="W153" s="459"/>
      <c r="X153" s="459"/>
      <c r="Y153" s="459"/>
      <c r="Z153" s="460"/>
      <c r="AA153" s="461"/>
      <c r="BH153" s="462"/>
      <c r="BI153" s="463"/>
      <c r="BJ153" s="463"/>
      <c r="BK153" s="464"/>
      <c r="BL153" s="464"/>
      <c r="BM153" s="465"/>
    </row>
    <row r="154" spans="1:65" s="360" customFormat="1" ht="27" customHeight="1" x14ac:dyDescent="0.2">
      <c r="A154" s="437"/>
      <c r="K154" s="455"/>
      <c r="L154" s="337"/>
      <c r="M154" s="337"/>
      <c r="N154" s="337"/>
      <c r="O154" s="456"/>
      <c r="P154" s="456"/>
      <c r="Q154" s="455"/>
      <c r="R154" s="457"/>
      <c r="S154" s="458"/>
      <c r="T154" s="455"/>
      <c r="U154" s="455"/>
      <c r="V154" s="455"/>
      <c r="W154" s="459"/>
      <c r="X154" s="459"/>
      <c r="Y154" s="459"/>
      <c r="Z154" s="460"/>
      <c r="AA154" s="461"/>
      <c r="BH154" s="462"/>
      <c r="BI154" s="463"/>
      <c r="BJ154" s="463"/>
      <c r="BK154" s="464"/>
      <c r="BL154" s="464"/>
      <c r="BM154" s="465"/>
    </row>
    <row r="155" spans="1:65" s="360" customFormat="1" ht="27" customHeight="1" x14ac:dyDescent="0.2">
      <c r="A155" s="437"/>
      <c r="K155" s="455"/>
      <c r="L155" s="337"/>
      <c r="M155" s="337"/>
      <c r="N155" s="337"/>
      <c r="O155" s="456"/>
      <c r="P155" s="456"/>
      <c r="Q155" s="455"/>
      <c r="R155" s="457"/>
      <c r="S155" s="458"/>
      <c r="T155" s="455"/>
      <c r="U155" s="455"/>
      <c r="V155" s="455"/>
      <c r="W155" s="459"/>
      <c r="X155" s="459"/>
      <c r="Y155" s="459"/>
      <c r="Z155" s="460"/>
      <c r="AA155" s="461"/>
      <c r="BH155" s="462"/>
      <c r="BI155" s="463"/>
      <c r="BJ155" s="463"/>
      <c r="BK155" s="464"/>
      <c r="BL155" s="464"/>
      <c r="BM155" s="465"/>
    </row>
    <row r="156" spans="1:65" s="360" customFormat="1" ht="27" customHeight="1" x14ac:dyDescent="0.2">
      <c r="A156" s="437"/>
      <c r="K156" s="455"/>
      <c r="L156" s="337"/>
      <c r="M156" s="337"/>
      <c r="N156" s="337"/>
      <c r="O156" s="456"/>
      <c r="P156" s="456"/>
      <c r="Q156" s="455"/>
      <c r="R156" s="457"/>
      <c r="S156" s="458"/>
      <c r="T156" s="455"/>
      <c r="U156" s="455"/>
      <c r="V156" s="455"/>
      <c r="W156" s="459"/>
      <c r="X156" s="459"/>
      <c r="Y156" s="459"/>
      <c r="Z156" s="460"/>
      <c r="AA156" s="461"/>
      <c r="BH156" s="462"/>
      <c r="BI156" s="463"/>
      <c r="BJ156" s="463"/>
      <c r="BK156" s="464"/>
      <c r="BL156" s="464"/>
      <c r="BM156" s="465"/>
    </row>
    <row r="157" spans="1:65" s="360" customFormat="1" ht="27" customHeight="1" x14ac:dyDescent="0.2">
      <c r="A157" s="437"/>
      <c r="K157" s="455"/>
      <c r="L157" s="337"/>
      <c r="M157" s="337"/>
      <c r="N157" s="337"/>
      <c r="O157" s="456"/>
      <c r="P157" s="456"/>
      <c r="Q157" s="455"/>
      <c r="R157" s="457"/>
      <c r="S157" s="458"/>
      <c r="T157" s="455"/>
      <c r="U157" s="455"/>
      <c r="V157" s="455"/>
      <c r="W157" s="459"/>
      <c r="X157" s="459"/>
      <c r="Y157" s="459"/>
      <c r="Z157" s="460"/>
      <c r="AA157" s="461"/>
      <c r="BH157" s="462"/>
      <c r="BI157" s="463"/>
      <c r="BJ157" s="463"/>
      <c r="BK157" s="464"/>
      <c r="BL157" s="464"/>
      <c r="BM157" s="465"/>
    </row>
    <row r="158" spans="1:65" s="360" customFormat="1" ht="27" customHeight="1" x14ac:dyDescent="0.2">
      <c r="A158" s="437"/>
      <c r="K158" s="455"/>
      <c r="L158" s="337"/>
      <c r="M158" s="337"/>
      <c r="N158" s="337"/>
      <c r="O158" s="456"/>
      <c r="P158" s="456"/>
      <c r="Q158" s="455"/>
      <c r="R158" s="457"/>
      <c r="S158" s="458"/>
      <c r="T158" s="455"/>
      <c r="U158" s="455"/>
      <c r="V158" s="455"/>
      <c r="W158" s="459"/>
      <c r="X158" s="459"/>
      <c r="Y158" s="459"/>
      <c r="Z158" s="460"/>
      <c r="AA158" s="461"/>
      <c r="BH158" s="462"/>
      <c r="BI158" s="463"/>
      <c r="BJ158" s="463"/>
      <c r="BK158" s="464"/>
      <c r="BL158" s="464"/>
      <c r="BM158" s="465"/>
    </row>
    <row r="159" spans="1:65" s="360" customFormat="1" ht="27" customHeight="1" x14ac:dyDescent="0.2">
      <c r="A159" s="437"/>
      <c r="K159" s="455"/>
      <c r="L159" s="337"/>
      <c r="M159" s="337"/>
      <c r="N159" s="337"/>
      <c r="O159" s="456"/>
      <c r="P159" s="456"/>
      <c r="Q159" s="455"/>
      <c r="R159" s="457"/>
      <c r="S159" s="458"/>
      <c r="T159" s="455"/>
      <c r="U159" s="455"/>
      <c r="V159" s="455"/>
      <c r="W159" s="459"/>
      <c r="X159" s="459"/>
      <c r="Y159" s="459"/>
      <c r="Z159" s="460"/>
      <c r="AA159" s="461"/>
      <c r="BH159" s="462"/>
      <c r="BI159" s="463"/>
      <c r="BJ159" s="463"/>
      <c r="BK159" s="464"/>
      <c r="BL159" s="464"/>
      <c r="BM159" s="465"/>
    </row>
    <row r="160" spans="1:65" s="360" customFormat="1" ht="27" customHeight="1" x14ac:dyDescent="0.2">
      <c r="A160" s="437"/>
      <c r="K160" s="455"/>
      <c r="L160" s="337"/>
      <c r="M160" s="337"/>
      <c r="N160" s="337"/>
      <c r="O160" s="456"/>
      <c r="P160" s="456"/>
      <c r="Q160" s="455"/>
      <c r="R160" s="457"/>
      <c r="S160" s="458"/>
      <c r="T160" s="455"/>
      <c r="U160" s="455"/>
      <c r="V160" s="455"/>
      <c r="W160" s="459"/>
      <c r="X160" s="459"/>
      <c r="Y160" s="459"/>
      <c r="Z160" s="460"/>
      <c r="AA160" s="461"/>
      <c r="BH160" s="462"/>
      <c r="BI160" s="463"/>
      <c r="BJ160" s="463"/>
      <c r="BK160" s="464"/>
      <c r="BL160" s="464"/>
      <c r="BM160" s="465"/>
    </row>
  </sheetData>
  <sheetProtection password="A60F" sheet="1" objects="1" scenarios="1"/>
  <mergeCells count="392">
    <mergeCell ref="N12:N14"/>
    <mergeCell ref="A1:BP4"/>
    <mergeCell ref="A5:N6"/>
    <mergeCell ref="Q5:BR5"/>
    <mergeCell ref="Q6:AA6"/>
    <mergeCell ref="BN6:BR6"/>
    <mergeCell ref="A7:A9"/>
    <mergeCell ref="B7:C9"/>
    <mergeCell ref="D7:D9"/>
    <mergeCell ref="E7:F9"/>
    <mergeCell ref="G7:G9"/>
    <mergeCell ref="V7:V9"/>
    <mergeCell ref="W7:Y8"/>
    <mergeCell ref="Z7:Z9"/>
    <mergeCell ref="AA7:AA9"/>
    <mergeCell ref="AB7:AE7"/>
    <mergeCell ref="AF7:AM7"/>
    <mergeCell ref="P7:P9"/>
    <mergeCell ref="Q7:Q9"/>
    <mergeCell ref="BL8:BL9"/>
    <mergeCell ref="BM8:BM9"/>
    <mergeCell ref="E10:K10"/>
    <mergeCell ref="BH10:BM10"/>
    <mergeCell ref="BN10:BR10"/>
    <mergeCell ref="R7:R9"/>
    <mergeCell ref="S7:S9"/>
    <mergeCell ref="T7:T9"/>
    <mergeCell ref="U7:U9"/>
    <mergeCell ref="AN7:AY7"/>
    <mergeCell ref="AZ7:BE7"/>
    <mergeCell ref="BF7:BG8"/>
    <mergeCell ref="BH7:BM7"/>
    <mergeCell ref="BN7:BO8"/>
    <mergeCell ref="AR8:AS8"/>
    <mergeCell ref="H7:I9"/>
    <mergeCell ref="J7:J9"/>
    <mergeCell ref="K7:K9"/>
    <mergeCell ref="L7:L9"/>
    <mergeCell ref="M7:N8"/>
    <mergeCell ref="O7:O9"/>
    <mergeCell ref="H11:K11"/>
    <mergeCell ref="BH11:BM11"/>
    <mergeCell ref="BN11:BR11"/>
    <mergeCell ref="BB8:BC8"/>
    <mergeCell ref="BD8:BE8"/>
    <mergeCell ref="BH8:BH9"/>
    <mergeCell ref="BI8:BI9"/>
    <mergeCell ref="BJ8:BJ9"/>
    <mergeCell ref="BK8:BK9"/>
    <mergeCell ref="BR7:BR9"/>
    <mergeCell ref="AB8:AC8"/>
    <mergeCell ref="AD8:AE8"/>
    <mergeCell ref="AF8:AG8"/>
    <mergeCell ref="AH8:AI8"/>
    <mergeCell ref="AJ8:AK8"/>
    <mergeCell ref="AL8:AM8"/>
    <mergeCell ref="AN8:AO8"/>
    <mergeCell ref="AP8:AQ8"/>
    <mergeCell ref="BP7:BQ8"/>
    <mergeCell ref="AT8:AU8"/>
    <mergeCell ref="AV8:AW8"/>
    <mergeCell ref="AX8:AY8"/>
    <mergeCell ref="AZ8:BA8"/>
    <mergeCell ref="R12:R14"/>
    <mergeCell ref="S12:S14"/>
    <mergeCell ref="T12:T14"/>
    <mergeCell ref="G12:G26"/>
    <mergeCell ref="H12:I26"/>
    <mergeCell ref="J12:J14"/>
    <mergeCell ref="K12:K14"/>
    <mergeCell ref="L12:L14"/>
    <mergeCell ref="M12:M14"/>
    <mergeCell ref="J15:J18"/>
    <mergeCell ref="K15:K18"/>
    <mergeCell ref="L15:L18"/>
    <mergeCell ref="M15:M18"/>
    <mergeCell ref="N15:N18"/>
    <mergeCell ref="O15:O18"/>
    <mergeCell ref="P15:P26"/>
    <mergeCell ref="Q15:Q26"/>
    <mergeCell ref="R15:R18"/>
    <mergeCell ref="S15:S26"/>
    <mergeCell ref="R19:R22"/>
    <mergeCell ref="R23:R26"/>
    <mergeCell ref="O12:O14"/>
    <mergeCell ref="P12:P14"/>
    <mergeCell ref="Q12:Q14"/>
    <mergeCell ref="BI12:BI14"/>
    <mergeCell ref="BM12:BM14"/>
    <mergeCell ref="BN12:BN14"/>
    <mergeCell ref="BP12:BP14"/>
    <mergeCell ref="U12:U14"/>
    <mergeCell ref="V12:V13"/>
    <mergeCell ref="AB12:AB14"/>
    <mergeCell ref="AD12:AD14"/>
    <mergeCell ref="AF12:AF14"/>
    <mergeCell ref="AH12:AH14"/>
    <mergeCell ref="T15:T26"/>
    <mergeCell ref="U15:U18"/>
    <mergeCell ref="AB15:AB26"/>
    <mergeCell ref="AC15:AC26"/>
    <mergeCell ref="AD15:AD26"/>
    <mergeCell ref="AE15:AE26"/>
    <mergeCell ref="U19:U22"/>
    <mergeCell ref="V21:V22"/>
    <mergeCell ref="U23:U26"/>
    <mergeCell ref="BR12:BR14"/>
    <mergeCell ref="AV12:AV14"/>
    <mergeCell ref="AX12:AX14"/>
    <mergeCell ref="AZ12:AZ14"/>
    <mergeCell ref="BB12:BB14"/>
    <mergeCell ref="BD12:BD14"/>
    <mergeCell ref="BF12:BF14"/>
    <mergeCell ref="BH12:BH14"/>
    <mergeCell ref="AJ12:AJ14"/>
    <mergeCell ref="AL12:AL14"/>
    <mergeCell ref="AN12:AN14"/>
    <mergeCell ref="AP12:AP14"/>
    <mergeCell ref="AR12:AR14"/>
    <mergeCell ref="AT12:AT14"/>
    <mergeCell ref="V25:V26"/>
    <mergeCell ref="AL15:AL26"/>
    <mergeCell ref="AM15:AM26"/>
    <mergeCell ref="AN15:AN26"/>
    <mergeCell ref="AO15:AO26"/>
    <mergeCell ref="AP15:AP26"/>
    <mergeCell ref="AQ15:AQ26"/>
    <mergeCell ref="AF15:AF26"/>
    <mergeCell ref="AG15:AG26"/>
    <mergeCell ref="AH15:AH26"/>
    <mergeCell ref="AI15:AI26"/>
    <mergeCell ref="AJ15:AJ26"/>
    <mergeCell ref="AK15:AK26"/>
    <mergeCell ref="AX15:AX26"/>
    <mergeCell ref="AY15:AY26"/>
    <mergeCell ref="AZ15:AZ26"/>
    <mergeCell ref="BA15:BA26"/>
    <mergeCell ref="BB15:BB26"/>
    <mergeCell ref="BC15:BC26"/>
    <mergeCell ref="AR15:AR26"/>
    <mergeCell ref="AS15:AS26"/>
    <mergeCell ref="AT15:AT26"/>
    <mergeCell ref="AU15:AU26"/>
    <mergeCell ref="AV15:AV26"/>
    <mergeCell ref="AW15:AW26"/>
    <mergeCell ref="N23:N26"/>
    <mergeCell ref="O23:O26"/>
    <mergeCell ref="BP15:BP26"/>
    <mergeCell ref="BQ15:BQ26"/>
    <mergeCell ref="BR15:BR26"/>
    <mergeCell ref="V16:V17"/>
    <mergeCell ref="J19:J22"/>
    <mergeCell ref="K19:K22"/>
    <mergeCell ref="L19:L22"/>
    <mergeCell ref="M19:M22"/>
    <mergeCell ref="N19:N22"/>
    <mergeCell ref="O19:O22"/>
    <mergeCell ref="BJ15:BJ26"/>
    <mergeCell ref="BK15:BK26"/>
    <mergeCell ref="BL15:BL26"/>
    <mergeCell ref="BM15:BM26"/>
    <mergeCell ref="BN15:BN26"/>
    <mergeCell ref="BO15:BO26"/>
    <mergeCell ref="BD15:BD26"/>
    <mergeCell ref="BE15:BE26"/>
    <mergeCell ref="BF15:BF26"/>
    <mergeCell ref="BG15:BG26"/>
    <mergeCell ref="BH15:BH26"/>
    <mergeCell ref="BI15:BI26"/>
    <mergeCell ref="H27:K27"/>
    <mergeCell ref="H28:I30"/>
    <mergeCell ref="J28:J30"/>
    <mergeCell ref="K28:K30"/>
    <mergeCell ref="L28:L30"/>
    <mergeCell ref="M28:M30"/>
    <mergeCell ref="J23:J26"/>
    <mergeCell ref="K23:K26"/>
    <mergeCell ref="L23:L26"/>
    <mergeCell ref="M23:M26"/>
    <mergeCell ref="T28:T30"/>
    <mergeCell ref="U28:U30"/>
    <mergeCell ref="V28:V29"/>
    <mergeCell ref="W28:W29"/>
    <mergeCell ref="X28:X29"/>
    <mergeCell ref="Y28:Y29"/>
    <mergeCell ref="N28:N30"/>
    <mergeCell ref="O28:O30"/>
    <mergeCell ref="P28:P30"/>
    <mergeCell ref="Q28:Q30"/>
    <mergeCell ref="R28:R30"/>
    <mergeCell ref="S28:S30"/>
    <mergeCell ref="AH28:AH30"/>
    <mergeCell ref="AI28:AI30"/>
    <mergeCell ref="AJ28:AJ30"/>
    <mergeCell ref="AK28:AK30"/>
    <mergeCell ref="Z28:Z29"/>
    <mergeCell ref="AA28:AA29"/>
    <mergeCell ref="AB28:AB30"/>
    <mergeCell ref="AC28:AC30"/>
    <mergeCell ref="AD28:AD30"/>
    <mergeCell ref="AE28:AE30"/>
    <mergeCell ref="H31:K31"/>
    <mergeCell ref="H32:I39"/>
    <mergeCell ref="J32:J39"/>
    <mergeCell ref="K32:K39"/>
    <mergeCell ref="L32:L39"/>
    <mergeCell ref="M32:M39"/>
    <mergeCell ref="N32:N39"/>
    <mergeCell ref="BJ28:BJ30"/>
    <mergeCell ref="BK28:BK30"/>
    <mergeCell ref="BD28:BD30"/>
    <mergeCell ref="BE28:BE30"/>
    <mergeCell ref="BF28:BF30"/>
    <mergeCell ref="BG28:BG30"/>
    <mergeCell ref="BH28:BH30"/>
    <mergeCell ref="BI28:BI30"/>
    <mergeCell ref="AX28:AX30"/>
    <mergeCell ref="AY28:AY30"/>
    <mergeCell ref="AZ28:AZ30"/>
    <mergeCell ref="BA28:BA30"/>
    <mergeCell ref="BB28:BB30"/>
    <mergeCell ref="BC28:BC30"/>
    <mergeCell ref="AR28:AR30"/>
    <mergeCell ref="AS28:AS30"/>
    <mergeCell ref="AT28:AT30"/>
    <mergeCell ref="O32:O39"/>
    <mergeCell ref="P32:P39"/>
    <mergeCell ref="Q32:Q39"/>
    <mergeCell ref="R32:R39"/>
    <mergeCell ref="S32:S39"/>
    <mergeCell ref="T32:T39"/>
    <mergeCell ref="BP28:BP30"/>
    <mergeCell ref="BQ28:BQ30"/>
    <mergeCell ref="BR28:BR30"/>
    <mergeCell ref="BL28:BL30"/>
    <mergeCell ref="BM28:BM30"/>
    <mergeCell ref="BN28:BN30"/>
    <mergeCell ref="BO28:BO30"/>
    <mergeCell ref="AU28:AU30"/>
    <mergeCell ref="AV28:AV30"/>
    <mergeCell ref="AW28:AW30"/>
    <mergeCell ref="AL28:AL30"/>
    <mergeCell ref="AM28:AM30"/>
    <mergeCell ref="AN28:AN30"/>
    <mergeCell ref="AO28:AO30"/>
    <mergeCell ref="AP28:AP30"/>
    <mergeCell ref="AQ28:AQ30"/>
    <mergeCell ref="AF28:AF30"/>
    <mergeCell ref="AG28:AG30"/>
    <mergeCell ref="U32:U36"/>
    <mergeCell ref="AS32:AS39"/>
    <mergeCell ref="AT32:AT39"/>
    <mergeCell ref="AU32:AU39"/>
    <mergeCell ref="AV32:AV39"/>
    <mergeCell ref="AW32:AW39"/>
    <mergeCell ref="AX32:AX39"/>
    <mergeCell ref="AM32:AM39"/>
    <mergeCell ref="AN32:AN39"/>
    <mergeCell ref="AO32:AO39"/>
    <mergeCell ref="AP32:AP39"/>
    <mergeCell ref="AQ32:AQ39"/>
    <mergeCell ref="AR32:AR39"/>
    <mergeCell ref="AG32:AG39"/>
    <mergeCell ref="AH32:AH39"/>
    <mergeCell ref="AI32:AI39"/>
    <mergeCell ref="AJ32:AJ39"/>
    <mergeCell ref="AK32:AK39"/>
    <mergeCell ref="AL32:AL39"/>
    <mergeCell ref="AB32:AB39"/>
    <mergeCell ref="AC32:AC39"/>
    <mergeCell ref="AD32:AD39"/>
    <mergeCell ref="AE32:AE39"/>
    <mergeCell ref="AF32:AF39"/>
    <mergeCell ref="BQ32:BQ39"/>
    <mergeCell ref="BR32:BR39"/>
    <mergeCell ref="U37:U39"/>
    <mergeCell ref="V37:V38"/>
    <mergeCell ref="E40:K40"/>
    <mergeCell ref="H41:L41"/>
    <mergeCell ref="BK32:BK39"/>
    <mergeCell ref="BL32:BL39"/>
    <mergeCell ref="BM32:BM39"/>
    <mergeCell ref="BN32:BN39"/>
    <mergeCell ref="BO32:BO39"/>
    <mergeCell ref="BP32:BP39"/>
    <mergeCell ref="BE32:BE39"/>
    <mergeCell ref="BF32:BF39"/>
    <mergeCell ref="BG32:BG39"/>
    <mergeCell ref="BH32:BH39"/>
    <mergeCell ref="BI32:BI39"/>
    <mergeCell ref="BJ32:BJ39"/>
    <mergeCell ref="AY32:AY39"/>
    <mergeCell ref="AZ32:AZ39"/>
    <mergeCell ref="BA32:BA39"/>
    <mergeCell ref="BB32:BB39"/>
    <mergeCell ref="BC32:BC39"/>
    <mergeCell ref="BD32:BD39"/>
    <mergeCell ref="E42:F55"/>
    <mergeCell ref="H42:I48"/>
    <mergeCell ref="J42:J48"/>
    <mergeCell ref="K42:K48"/>
    <mergeCell ref="L42:L48"/>
    <mergeCell ref="M42:M48"/>
    <mergeCell ref="H50:I55"/>
    <mergeCell ref="J50:J52"/>
    <mergeCell ref="K50:K52"/>
    <mergeCell ref="L50:L55"/>
    <mergeCell ref="H49:L49"/>
    <mergeCell ref="M50:M52"/>
    <mergeCell ref="BJ42:BJ48"/>
    <mergeCell ref="BK42:BK48"/>
    <mergeCell ref="BL42:BL48"/>
    <mergeCell ref="BM42:BM48"/>
    <mergeCell ref="BN42:BN48"/>
    <mergeCell ref="BO42:BO48"/>
    <mergeCell ref="AV42:AV48"/>
    <mergeCell ref="BC42:BC48"/>
    <mergeCell ref="BF42:BF48"/>
    <mergeCell ref="BG42:BG48"/>
    <mergeCell ref="BH42:BH48"/>
    <mergeCell ref="BI42:BI48"/>
    <mergeCell ref="AL42:AL48"/>
    <mergeCell ref="AN42:AN48"/>
    <mergeCell ref="AO42:AO48"/>
    <mergeCell ref="AP42:AP48"/>
    <mergeCell ref="AR42:AR48"/>
    <mergeCell ref="AT42:AT48"/>
    <mergeCell ref="AE42:AE48"/>
    <mergeCell ref="AF42:AF48"/>
    <mergeCell ref="AH42:AH48"/>
    <mergeCell ref="AI42:AI48"/>
    <mergeCell ref="AJ42:AJ48"/>
    <mergeCell ref="N50:N52"/>
    <mergeCell ref="O50:O55"/>
    <mergeCell ref="P50:P55"/>
    <mergeCell ref="Q50:Q55"/>
    <mergeCell ref="R50:R52"/>
    <mergeCell ref="BP42:BP48"/>
    <mergeCell ref="BQ42:BQ48"/>
    <mergeCell ref="BR42:BR48"/>
    <mergeCell ref="U47:U48"/>
    <mergeCell ref="V47:V48"/>
    <mergeCell ref="AK42:AK48"/>
    <mergeCell ref="T42:T48"/>
    <mergeCell ref="U42:U46"/>
    <mergeCell ref="V42:V44"/>
    <mergeCell ref="AB42:AB48"/>
    <mergeCell ref="AC42:AC48"/>
    <mergeCell ref="AD42:AD48"/>
    <mergeCell ref="N42:N48"/>
    <mergeCell ref="O42:O48"/>
    <mergeCell ref="P42:P48"/>
    <mergeCell ref="Q42:Q48"/>
    <mergeCell ref="R42:R48"/>
    <mergeCell ref="S42:S48"/>
    <mergeCell ref="BI50:BI55"/>
    <mergeCell ref="AH50:AH55"/>
    <mergeCell ref="AJ50:AJ55"/>
    <mergeCell ref="AL50:AL55"/>
    <mergeCell ref="AN50:AN55"/>
    <mergeCell ref="AP50:AP55"/>
    <mergeCell ref="AR50:AR55"/>
    <mergeCell ref="S50:S55"/>
    <mergeCell ref="T50:T55"/>
    <mergeCell ref="U50:U52"/>
    <mergeCell ref="AB50:AB55"/>
    <mergeCell ref="AD50:AD55"/>
    <mergeCell ref="AF50:AF55"/>
    <mergeCell ref="E56:F56"/>
    <mergeCell ref="K61:L61"/>
    <mergeCell ref="K62:L62"/>
    <mergeCell ref="BP50:BP55"/>
    <mergeCell ref="BQ50:BQ55"/>
    <mergeCell ref="BR50:BR55"/>
    <mergeCell ref="V51:V52"/>
    <mergeCell ref="J53:J55"/>
    <mergeCell ref="K53:K55"/>
    <mergeCell ref="M53:M55"/>
    <mergeCell ref="N53:N55"/>
    <mergeCell ref="R53:R55"/>
    <mergeCell ref="U53:U55"/>
    <mergeCell ref="BJ50:BJ55"/>
    <mergeCell ref="BK50:BK55"/>
    <mergeCell ref="BL50:BL55"/>
    <mergeCell ref="BM50:BM55"/>
    <mergeCell ref="BN50:BN55"/>
    <mergeCell ref="BO50:BO55"/>
    <mergeCell ref="AT50:AT55"/>
    <mergeCell ref="AV50:AV55"/>
    <mergeCell ref="AX50:AX55"/>
    <mergeCell ref="BF50:BF55"/>
    <mergeCell ref="BH50:BH55"/>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98"/>
  <sheetViews>
    <sheetView showGridLines="0" zoomScale="60" zoomScaleNormal="60" workbookViewId="0">
      <selection sqref="A1:BP4"/>
    </sheetView>
  </sheetViews>
  <sheetFormatPr baseColWidth="10" defaultColWidth="11.42578125" defaultRowHeight="15" x14ac:dyDescent="0.2"/>
  <cols>
    <col min="1" max="1" width="17.140625" style="756" customWidth="1"/>
    <col min="2" max="2" width="9.85546875" style="610" customWidth="1"/>
    <col min="3" max="3" width="11.140625" style="610" customWidth="1"/>
    <col min="4" max="4" width="15.7109375" style="610" customWidth="1"/>
    <col min="5" max="5" width="10.5703125" style="610" customWidth="1"/>
    <col min="6" max="6" width="12" style="610" customWidth="1"/>
    <col min="7" max="7" width="16.7109375" style="610" customWidth="1"/>
    <col min="8" max="8" width="12.140625" style="610" customWidth="1"/>
    <col min="9" max="9" width="19.42578125" style="610" customWidth="1"/>
    <col min="10" max="10" width="17.7109375" style="610" customWidth="1"/>
    <col min="11" max="11" width="38.5703125" style="757" customWidth="1"/>
    <col min="12" max="12" width="33.140625" style="758" customWidth="1"/>
    <col min="13" max="14" width="10.5703125" style="612" customWidth="1"/>
    <col min="15" max="15" width="34.140625" style="612" customWidth="1"/>
    <col min="16" max="16" width="19.140625" style="624" customWidth="1"/>
    <col min="17" max="17" width="27.140625" style="757" customWidth="1"/>
    <col min="18" max="18" width="16.5703125" style="759" customWidth="1"/>
    <col min="19" max="19" width="30.85546875" style="760" customWidth="1"/>
    <col min="20" max="20" width="23.5703125" style="757" customWidth="1"/>
    <col min="21" max="21" width="30.5703125" style="757" customWidth="1"/>
    <col min="22" max="22" width="43.28515625" style="757" customWidth="1"/>
    <col min="23" max="25" width="29.5703125" style="770" customWidth="1"/>
    <col min="26" max="26" width="14.7109375" style="762" customWidth="1"/>
    <col min="27" max="27" width="19.5703125" style="763" customWidth="1"/>
    <col min="28" max="29" width="11" style="764" customWidth="1"/>
    <col min="30" max="31" width="11.85546875" style="764" customWidth="1"/>
    <col min="32" max="33" width="12.7109375" style="610" customWidth="1"/>
    <col min="34" max="35" width="11.28515625" style="610" customWidth="1"/>
    <col min="36" max="37" width="12.5703125" style="610" customWidth="1"/>
    <col min="38" max="39" width="10.140625" style="610" customWidth="1"/>
    <col min="40" max="57" width="7.5703125" style="610" customWidth="1"/>
    <col min="58" max="59" width="11.28515625" style="764" customWidth="1"/>
    <col min="60" max="60" width="19.5703125" style="765" customWidth="1"/>
    <col min="61" max="61" width="26.7109375" style="766" customWidth="1"/>
    <col min="62" max="62" width="28.5703125" style="766" customWidth="1"/>
    <col min="63" max="63" width="17" style="767" customWidth="1"/>
    <col min="64" max="64" width="24" style="765" customWidth="1"/>
    <col min="65" max="65" width="27.5703125" style="765" customWidth="1"/>
    <col min="66" max="67" width="16.85546875" style="768" customWidth="1"/>
    <col min="68" max="69" width="17" style="768" customWidth="1"/>
    <col min="70" max="70" width="24" style="769" customWidth="1"/>
    <col min="71" max="280" width="11.42578125" style="610"/>
    <col min="281" max="281" width="13.140625" style="610" customWidth="1"/>
    <col min="282" max="282" width="4" style="610" customWidth="1"/>
    <col min="283" max="283" width="12.85546875" style="610" customWidth="1"/>
    <col min="284" max="284" width="14.7109375" style="610" customWidth="1"/>
    <col min="285" max="285" width="10" style="610" customWidth="1"/>
    <col min="286" max="286" width="6.28515625" style="610" customWidth="1"/>
    <col min="287" max="287" width="12.28515625" style="610" customWidth="1"/>
    <col min="288" max="288" width="8.5703125" style="610" customWidth="1"/>
    <col min="289" max="289" width="13.7109375" style="610" customWidth="1"/>
    <col min="290" max="290" width="11.5703125" style="610" customWidth="1"/>
    <col min="291" max="291" width="24.7109375" style="610" customWidth="1"/>
    <col min="292" max="292" width="17.42578125" style="610" customWidth="1"/>
    <col min="293" max="293" width="20.85546875" style="610" customWidth="1"/>
    <col min="294" max="294" width="26.85546875" style="610" customWidth="1"/>
    <col min="295" max="295" width="8" style="610" customWidth="1"/>
    <col min="296" max="296" width="25" style="610" customWidth="1"/>
    <col min="297" max="297" width="12.7109375" style="610" customWidth="1"/>
    <col min="298" max="298" width="16.42578125" style="610" customWidth="1"/>
    <col min="299" max="299" width="23.5703125" style="610" customWidth="1"/>
    <col min="300" max="300" width="33.7109375" style="610" customWidth="1"/>
    <col min="301" max="301" width="31.140625" style="610" customWidth="1"/>
    <col min="302" max="302" width="19.28515625" style="610" customWidth="1"/>
    <col min="303" max="303" width="11.7109375" style="610" customWidth="1"/>
    <col min="304" max="304" width="15.42578125" style="610" customWidth="1"/>
    <col min="305" max="305" width="5.5703125" style="610" customWidth="1"/>
    <col min="306" max="306" width="4.7109375" style="610" customWidth="1"/>
    <col min="307" max="308" width="7.28515625" style="610" customWidth="1"/>
    <col min="309" max="309" width="8.42578125" style="610" customWidth="1"/>
    <col min="310" max="310" width="9.5703125" style="610" customWidth="1"/>
    <col min="311" max="311" width="6.28515625" style="610" customWidth="1"/>
    <col min="312" max="312" width="5.85546875" style="610" customWidth="1"/>
    <col min="313" max="314" width="4.42578125" style="610" customWidth="1"/>
    <col min="315" max="315" width="5" style="610" customWidth="1"/>
    <col min="316" max="316" width="5.85546875" style="610" customWidth="1"/>
    <col min="317" max="317" width="6.140625" style="610" customWidth="1"/>
    <col min="318" max="318" width="6.28515625" style="610" customWidth="1"/>
    <col min="319" max="319" width="4.85546875" style="610" customWidth="1"/>
    <col min="320" max="320" width="8.140625" style="610" customWidth="1"/>
    <col min="321" max="321" width="11.5703125" style="610" customWidth="1"/>
    <col min="322" max="322" width="13.7109375" style="610" customWidth="1"/>
    <col min="323" max="323" width="20.85546875" style="610" customWidth="1"/>
    <col min="324" max="536" width="11.42578125" style="610"/>
    <col min="537" max="537" width="13.140625" style="610" customWidth="1"/>
    <col min="538" max="538" width="4" style="610" customWidth="1"/>
    <col min="539" max="539" width="12.85546875" style="610" customWidth="1"/>
    <col min="540" max="540" width="14.7109375" style="610" customWidth="1"/>
    <col min="541" max="541" width="10" style="610" customWidth="1"/>
    <col min="542" max="542" width="6.28515625" style="610" customWidth="1"/>
    <col min="543" max="543" width="12.28515625" style="610" customWidth="1"/>
    <col min="544" max="544" width="8.5703125" style="610" customWidth="1"/>
    <col min="545" max="545" width="13.7109375" style="610" customWidth="1"/>
    <col min="546" max="546" width="11.5703125" style="610" customWidth="1"/>
    <col min="547" max="547" width="24.7109375" style="610" customWidth="1"/>
    <col min="548" max="548" width="17.42578125" style="610" customWidth="1"/>
    <col min="549" max="549" width="20.85546875" style="610" customWidth="1"/>
    <col min="550" max="550" width="26.85546875" style="610" customWidth="1"/>
    <col min="551" max="551" width="8" style="610" customWidth="1"/>
    <col min="552" max="552" width="25" style="610" customWidth="1"/>
    <col min="553" max="553" width="12.7109375" style="610" customWidth="1"/>
    <col min="554" max="554" width="16.42578125" style="610" customWidth="1"/>
    <col min="555" max="555" width="23.5703125" style="610" customWidth="1"/>
    <col min="556" max="556" width="33.7109375" style="610" customWidth="1"/>
    <col min="557" max="557" width="31.140625" style="610" customWidth="1"/>
    <col min="558" max="558" width="19.28515625" style="610" customWidth="1"/>
    <col min="559" max="559" width="11.7109375" style="610" customWidth="1"/>
    <col min="560" max="560" width="15.42578125" style="610" customWidth="1"/>
    <col min="561" max="561" width="5.5703125" style="610" customWidth="1"/>
    <col min="562" max="562" width="4.7109375" style="610" customWidth="1"/>
    <col min="563" max="564" width="7.28515625" style="610" customWidth="1"/>
    <col min="565" max="565" width="8.42578125" style="610" customWidth="1"/>
    <col min="566" max="566" width="9.5703125" style="610" customWidth="1"/>
    <col min="567" max="567" width="6.28515625" style="610" customWidth="1"/>
    <col min="568" max="568" width="5.85546875" style="610" customWidth="1"/>
    <col min="569" max="570" width="4.42578125" style="610" customWidth="1"/>
    <col min="571" max="571" width="5" style="610" customWidth="1"/>
    <col min="572" max="572" width="5.85546875" style="610" customWidth="1"/>
    <col min="573" max="573" width="6.140625" style="610" customWidth="1"/>
    <col min="574" max="574" width="6.28515625" style="610" customWidth="1"/>
    <col min="575" max="575" width="4.85546875" style="610" customWidth="1"/>
    <col min="576" max="576" width="8.140625" style="610" customWidth="1"/>
    <col min="577" max="577" width="11.5703125" style="610" customWidth="1"/>
    <col min="578" max="578" width="13.7109375" style="610" customWidth="1"/>
    <col min="579" max="579" width="20.85546875" style="610" customWidth="1"/>
    <col min="580" max="792" width="11.42578125" style="610"/>
    <col min="793" max="793" width="13.140625" style="610" customWidth="1"/>
    <col min="794" max="794" width="4" style="610" customWidth="1"/>
    <col min="795" max="795" width="12.85546875" style="610" customWidth="1"/>
    <col min="796" max="796" width="14.7109375" style="610" customWidth="1"/>
    <col min="797" max="797" width="10" style="610" customWidth="1"/>
    <col min="798" max="798" width="6.28515625" style="610" customWidth="1"/>
    <col min="799" max="799" width="12.28515625" style="610" customWidth="1"/>
    <col min="800" max="800" width="8.5703125" style="610" customWidth="1"/>
    <col min="801" max="801" width="13.7109375" style="610" customWidth="1"/>
    <col min="802" max="802" width="11.5703125" style="610" customWidth="1"/>
    <col min="803" max="803" width="24.7109375" style="610" customWidth="1"/>
    <col min="804" max="804" width="17.42578125" style="610" customWidth="1"/>
    <col min="805" max="805" width="20.85546875" style="610" customWidth="1"/>
    <col min="806" max="806" width="26.85546875" style="610" customWidth="1"/>
    <col min="807" max="807" width="8" style="610" customWidth="1"/>
    <col min="808" max="808" width="25" style="610" customWidth="1"/>
    <col min="809" max="809" width="12.7109375" style="610" customWidth="1"/>
    <col min="810" max="810" width="16.42578125" style="610" customWidth="1"/>
    <col min="811" max="811" width="23.5703125" style="610" customWidth="1"/>
    <col min="812" max="812" width="33.7109375" style="610" customWidth="1"/>
    <col min="813" max="813" width="31.140625" style="610" customWidth="1"/>
    <col min="814" max="814" width="19.28515625" style="610" customWidth="1"/>
    <col min="815" max="815" width="11.7109375" style="610" customWidth="1"/>
    <col min="816" max="816" width="15.42578125" style="610" customWidth="1"/>
    <col min="817" max="817" width="5.5703125" style="610" customWidth="1"/>
    <col min="818" max="818" width="4.7109375" style="610" customWidth="1"/>
    <col min="819" max="820" width="7.28515625" style="610" customWidth="1"/>
    <col min="821" max="821" width="8.42578125" style="610" customWidth="1"/>
    <col min="822" max="822" width="9.5703125" style="610" customWidth="1"/>
    <col min="823" max="823" width="6.28515625" style="610" customWidth="1"/>
    <col min="824" max="824" width="5.85546875" style="610" customWidth="1"/>
    <col min="825" max="826" width="4.42578125" style="610" customWidth="1"/>
    <col min="827" max="827" width="5" style="610" customWidth="1"/>
    <col min="828" max="828" width="5.85546875" style="610" customWidth="1"/>
    <col min="829" max="829" width="6.140625" style="610" customWidth="1"/>
    <col min="830" max="830" width="6.28515625" style="610" customWidth="1"/>
    <col min="831" max="831" width="4.85546875" style="610" customWidth="1"/>
    <col min="832" max="832" width="8.140625" style="610" customWidth="1"/>
    <col min="833" max="833" width="11.5703125" style="610" customWidth="1"/>
    <col min="834" max="834" width="13.7109375" style="610" customWidth="1"/>
    <col min="835" max="835" width="20.85546875" style="610" customWidth="1"/>
    <col min="836" max="1048" width="11.42578125" style="610"/>
    <col min="1049" max="1049" width="13.140625" style="610" customWidth="1"/>
    <col min="1050" max="1050" width="4" style="610" customWidth="1"/>
    <col min="1051" max="1051" width="12.85546875" style="610" customWidth="1"/>
    <col min="1052" max="1052" width="14.7109375" style="610" customWidth="1"/>
    <col min="1053" max="1053" width="10" style="610" customWidth="1"/>
    <col min="1054" max="1054" width="6.28515625" style="610" customWidth="1"/>
    <col min="1055" max="1055" width="12.28515625" style="610" customWidth="1"/>
    <col min="1056" max="1056" width="8.5703125" style="610" customWidth="1"/>
    <col min="1057" max="1057" width="13.7109375" style="610" customWidth="1"/>
    <col min="1058" max="1058" width="11.5703125" style="610" customWidth="1"/>
    <col min="1059" max="1059" width="24.7109375" style="610" customWidth="1"/>
    <col min="1060" max="1060" width="17.42578125" style="610" customWidth="1"/>
    <col min="1061" max="1061" width="20.85546875" style="610" customWidth="1"/>
    <col min="1062" max="1062" width="26.85546875" style="610" customWidth="1"/>
    <col min="1063" max="1063" width="8" style="610" customWidth="1"/>
    <col min="1064" max="1064" width="25" style="610" customWidth="1"/>
    <col min="1065" max="1065" width="12.7109375" style="610" customWidth="1"/>
    <col min="1066" max="1066" width="16.42578125" style="610" customWidth="1"/>
    <col min="1067" max="1067" width="23.5703125" style="610" customWidth="1"/>
    <col min="1068" max="1068" width="33.7109375" style="610" customWidth="1"/>
    <col min="1069" max="1069" width="31.140625" style="610" customWidth="1"/>
    <col min="1070" max="1070" width="19.28515625" style="610" customWidth="1"/>
    <col min="1071" max="1071" width="11.7109375" style="610" customWidth="1"/>
    <col min="1072" max="1072" width="15.42578125" style="610" customWidth="1"/>
    <col min="1073" max="1073" width="5.5703125" style="610" customWidth="1"/>
    <col min="1074" max="1074" width="4.7109375" style="610" customWidth="1"/>
    <col min="1075" max="1076" width="7.28515625" style="610" customWidth="1"/>
    <col min="1077" max="1077" width="8.42578125" style="610" customWidth="1"/>
    <col min="1078" max="1078" width="9.5703125" style="610" customWidth="1"/>
    <col min="1079" max="1079" width="6.28515625" style="610" customWidth="1"/>
    <col min="1080" max="1080" width="5.85546875" style="610" customWidth="1"/>
    <col min="1081" max="1082" width="4.42578125" style="610" customWidth="1"/>
    <col min="1083" max="1083" width="5" style="610" customWidth="1"/>
    <col min="1084" max="1084" width="5.85546875" style="610" customWidth="1"/>
    <col min="1085" max="1085" width="6.140625" style="610" customWidth="1"/>
    <col min="1086" max="1086" width="6.28515625" style="610" customWidth="1"/>
    <col min="1087" max="1087" width="4.85546875" style="610" customWidth="1"/>
    <col min="1088" max="1088" width="8.140625" style="610" customWidth="1"/>
    <col min="1089" max="1089" width="11.5703125" style="610" customWidth="1"/>
    <col min="1090" max="1090" width="13.7109375" style="610" customWidth="1"/>
    <col min="1091" max="1091" width="20.85546875" style="610" customWidth="1"/>
    <col min="1092" max="1304" width="11.42578125" style="610"/>
    <col min="1305" max="1305" width="13.140625" style="610" customWidth="1"/>
    <col min="1306" max="1306" width="4" style="610" customWidth="1"/>
    <col min="1307" max="1307" width="12.85546875" style="610" customWidth="1"/>
    <col min="1308" max="1308" width="14.7109375" style="610" customWidth="1"/>
    <col min="1309" max="1309" width="10" style="610" customWidth="1"/>
    <col min="1310" max="1310" width="6.28515625" style="610" customWidth="1"/>
    <col min="1311" max="1311" width="12.28515625" style="610" customWidth="1"/>
    <col min="1312" max="1312" width="8.5703125" style="610" customWidth="1"/>
    <col min="1313" max="1313" width="13.7109375" style="610" customWidth="1"/>
    <col min="1314" max="1314" width="11.5703125" style="610" customWidth="1"/>
    <col min="1315" max="1315" width="24.7109375" style="610" customWidth="1"/>
    <col min="1316" max="1316" width="17.42578125" style="610" customWidth="1"/>
    <col min="1317" max="1317" width="20.85546875" style="610" customWidth="1"/>
    <col min="1318" max="1318" width="26.85546875" style="610" customWidth="1"/>
    <col min="1319" max="1319" width="8" style="610" customWidth="1"/>
    <col min="1320" max="1320" width="25" style="610" customWidth="1"/>
    <col min="1321" max="1321" width="12.7109375" style="610" customWidth="1"/>
    <col min="1322" max="1322" width="16.42578125" style="610" customWidth="1"/>
    <col min="1323" max="1323" width="23.5703125" style="610" customWidth="1"/>
    <col min="1324" max="1324" width="33.7109375" style="610" customWidth="1"/>
    <col min="1325" max="1325" width="31.140625" style="610" customWidth="1"/>
    <col min="1326" max="1326" width="19.28515625" style="610" customWidth="1"/>
    <col min="1327" max="1327" width="11.7109375" style="610" customWidth="1"/>
    <col min="1328" max="1328" width="15.42578125" style="610" customWidth="1"/>
    <col min="1329" max="1329" width="5.5703125" style="610" customWidth="1"/>
    <col min="1330" max="1330" width="4.7109375" style="610" customWidth="1"/>
    <col min="1331" max="1332" width="7.28515625" style="610" customWidth="1"/>
    <col min="1333" max="1333" width="8.42578125" style="610" customWidth="1"/>
    <col min="1334" max="1334" width="9.5703125" style="610" customWidth="1"/>
    <col min="1335" max="1335" width="6.28515625" style="610" customWidth="1"/>
    <col min="1336" max="1336" width="5.85546875" style="610" customWidth="1"/>
    <col min="1337" max="1338" width="4.42578125" style="610" customWidth="1"/>
    <col min="1339" max="1339" width="5" style="610" customWidth="1"/>
    <col min="1340" max="1340" width="5.85546875" style="610" customWidth="1"/>
    <col min="1341" max="1341" width="6.140625" style="610" customWidth="1"/>
    <col min="1342" max="1342" width="6.28515625" style="610" customWidth="1"/>
    <col min="1343" max="1343" width="4.85546875" style="610" customWidth="1"/>
    <col min="1344" max="1344" width="8.140625" style="610" customWidth="1"/>
    <col min="1345" max="1345" width="11.5703125" style="610" customWidth="1"/>
    <col min="1346" max="1346" width="13.7109375" style="610" customWidth="1"/>
    <col min="1347" max="1347" width="20.85546875" style="610" customWidth="1"/>
    <col min="1348" max="1560" width="11.42578125" style="610"/>
    <col min="1561" max="1561" width="13.140625" style="610" customWidth="1"/>
    <col min="1562" max="1562" width="4" style="610" customWidth="1"/>
    <col min="1563" max="1563" width="12.85546875" style="610" customWidth="1"/>
    <col min="1564" max="1564" width="14.7109375" style="610" customWidth="1"/>
    <col min="1565" max="1565" width="10" style="610" customWidth="1"/>
    <col min="1566" max="1566" width="6.28515625" style="610" customWidth="1"/>
    <col min="1567" max="1567" width="12.28515625" style="610" customWidth="1"/>
    <col min="1568" max="1568" width="8.5703125" style="610" customWidth="1"/>
    <col min="1569" max="1569" width="13.7109375" style="610" customWidth="1"/>
    <col min="1570" max="1570" width="11.5703125" style="610" customWidth="1"/>
    <col min="1571" max="1571" width="24.7109375" style="610" customWidth="1"/>
    <col min="1572" max="1572" width="17.42578125" style="610" customWidth="1"/>
    <col min="1573" max="1573" width="20.85546875" style="610" customWidth="1"/>
    <col min="1574" max="1574" width="26.85546875" style="610" customWidth="1"/>
    <col min="1575" max="1575" width="8" style="610" customWidth="1"/>
    <col min="1576" max="1576" width="25" style="610" customWidth="1"/>
    <col min="1577" max="1577" width="12.7109375" style="610" customWidth="1"/>
    <col min="1578" max="1578" width="16.42578125" style="610" customWidth="1"/>
    <col min="1579" max="1579" width="23.5703125" style="610" customWidth="1"/>
    <col min="1580" max="1580" width="33.7109375" style="610" customWidth="1"/>
    <col min="1581" max="1581" width="31.140625" style="610" customWidth="1"/>
    <col min="1582" max="1582" width="19.28515625" style="610" customWidth="1"/>
    <col min="1583" max="1583" width="11.7109375" style="610" customWidth="1"/>
    <col min="1584" max="1584" width="15.42578125" style="610" customWidth="1"/>
    <col min="1585" max="1585" width="5.5703125" style="610" customWidth="1"/>
    <col min="1586" max="1586" width="4.7109375" style="610" customWidth="1"/>
    <col min="1587" max="1588" width="7.28515625" style="610" customWidth="1"/>
    <col min="1589" max="1589" width="8.42578125" style="610" customWidth="1"/>
    <col min="1590" max="1590" width="9.5703125" style="610" customWidth="1"/>
    <col min="1591" max="1591" width="6.28515625" style="610" customWidth="1"/>
    <col min="1592" max="1592" width="5.85546875" style="610" customWidth="1"/>
    <col min="1593" max="1594" width="4.42578125" style="610" customWidth="1"/>
    <col min="1595" max="1595" width="5" style="610" customWidth="1"/>
    <col min="1596" max="1596" width="5.85546875" style="610" customWidth="1"/>
    <col min="1597" max="1597" width="6.140625" style="610" customWidth="1"/>
    <col min="1598" max="1598" width="6.28515625" style="610" customWidth="1"/>
    <col min="1599" max="1599" width="4.85546875" style="610" customWidth="1"/>
    <col min="1600" max="1600" width="8.140625" style="610" customWidth="1"/>
    <col min="1601" max="1601" width="11.5703125" style="610" customWidth="1"/>
    <col min="1602" max="1602" width="13.7109375" style="610" customWidth="1"/>
    <col min="1603" max="1603" width="20.85546875" style="610" customWidth="1"/>
    <col min="1604" max="1816" width="11.42578125" style="610"/>
    <col min="1817" max="1817" width="13.140625" style="610" customWidth="1"/>
    <col min="1818" max="1818" width="4" style="610" customWidth="1"/>
    <col min="1819" max="1819" width="12.85546875" style="610" customWidth="1"/>
    <col min="1820" max="1820" width="14.7109375" style="610" customWidth="1"/>
    <col min="1821" max="1821" width="10" style="610" customWidth="1"/>
    <col min="1822" max="1822" width="6.28515625" style="610" customWidth="1"/>
    <col min="1823" max="1823" width="12.28515625" style="610" customWidth="1"/>
    <col min="1824" max="1824" width="8.5703125" style="610" customWidth="1"/>
    <col min="1825" max="1825" width="13.7109375" style="610" customWidth="1"/>
    <col min="1826" max="1826" width="11.5703125" style="610" customWidth="1"/>
    <col min="1827" max="1827" width="24.7109375" style="610" customWidth="1"/>
    <col min="1828" max="1828" width="17.42578125" style="610" customWidth="1"/>
    <col min="1829" max="1829" width="20.85546875" style="610" customWidth="1"/>
    <col min="1830" max="1830" width="26.85546875" style="610" customWidth="1"/>
    <col min="1831" max="1831" width="8" style="610" customWidth="1"/>
    <col min="1832" max="1832" width="25" style="610" customWidth="1"/>
    <col min="1833" max="1833" width="12.7109375" style="610" customWidth="1"/>
    <col min="1834" max="1834" width="16.42578125" style="610" customWidth="1"/>
    <col min="1835" max="1835" width="23.5703125" style="610" customWidth="1"/>
    <col min="1836" max="1836" width="33.7109375" style="610" customWidth="1"/>
    <col min="1837" max="1837" width="31.140625" style="610" customWidth="1"/>
    <col min="1838" max="1838" width="19.28515625" style="610" customWidth="1"/>
    <col min="1839" max="1839" width="11.7109375" style="610" customWidth="1"/>
    <col min="1840" max="1840" width="15.42578125" style="610" customWidth="1"/>
    <col min="1841" max="1841" width="5.5703125" style="610" customWidth="1"/>
    <col min="1842" max="1842" width="4.7109375" style="610" customWidth="1"/>
    <col min="1843" max="1844" width="7.28515625" style="610" customWidth="1"/>
    <col min="1845" max="1845" width="8.42578125" style="610" customWidth="1"/>
    <col min="1846" max="1846" width="9.5703125" style="610" customWidth="1"/>
    <col min="1847" max="1847" width="6.28515625" style="610" customWidth="1"/>
    <col min="1848" max="1848" width="5.85546875" style="610" customWidth="1"/>
    <col min="1849" max="1850" width="4.42578125" style="610" customWidth="1"/>
    <col min="1851" max="1851" width="5" style="610" customWidth="1"/>
    <col min="1852" max="1852" width="5.85546875" style="610" customWidth="1"/>
    <col min="1853" max="1853" width="6.140625" style="610" customWidth="1"/>
    <col min="1854" max="1854" width="6.28515625" style="610" customWidth="1"/>
    <col min="1855" max="1855" width="4.85546875" style="610" customWidth="1"/>
    <col min="1856" max="1856" width="8.140625" style="610" customWidth="1"/>
    <col min="1857" max="1857" width="11.5703125" style="610" customWidth="1"/>
    <col min="1858" max="1858" width="13.7109375" style="610" customWidth="1"/>
    <col min="1859" max="1859" width="20.85546875" style="610" customWidth="1"/>
    <col min="1860" max="2072" width="11.42578125" style="610"/>
    <col min="2073" max="2073" width="13.140625" style="610" customWidth="1"/>
    <col min="2074" max="2074" width="4" style="610" customWidth="1"/>
    <col min="2075" max="2075" width="12.85546875" style="610" customWidth="1"/>
    <col min="2076" max="2076" width="14.7109375" style="610" customWidth="1"/>
    <col min="2077" max="2077" width="10" style="610" customWidth="1"/>
    <col min="2078" max="2078" width="6.28515625" style="610" customWidth="1"/>
    <col min="2079" max="2079" width="12.28515625" style="610" customWidth="1"/>
    <col min="2080" max="2080" width="8.5703125" style="610" customWidth="1"/>
    <col min="2081" max="2081" width="13.7109375" style="610" customWidth="1"/>
    <col min="2082" max="2082" width="11.5703125" style="610" customWidth="1"/>
    <col min="2083" max="2083" width="24.7109375" style="610" customWidth="1"/>
    <col min="2084" max="2084" width="17.42578125" style="610" customWidth="1"/>
    <col min="2085" max="2085" width="20.85546875" style="610" customWidth="1"/>
    <col min="2086" max="2086" width="26.85546875" style="610" customWidth="1"/>
    <col min="2087" max="2087" width="8" style="610" customWidth="1"/>
    <col min="2088" max="2088" width="25" style="610" customWidth="1"/>
    <col min="2089" max="2089" width="12.7109375" style="610" customWidth="1"/>
    <col min="2090" max="2090" width="16.42578125" style="610" customWidth="1"/>
    <col min="2091" max="2091" width="23.5703125" style="610" customWidth="1"/>
    <col min="2092" max="2092" width="33.7109375" style="610" customWidth="1"/>
    <col min="2093" max="2093" width="31.140625" style="610" customWidth="1"/>
    <col min="2094" max="2094" width="19.28515625" style="610" customWidth="1"/>
    <col min="2095" max="2095" width="11.7109375" style="610" customWidth="1"/>
    <col min="2096" max="2096" width="15.42578125" style="610" customWidth="1"/>
    <col min="2097" max="2097" width="5.5703125" style="610" customWidth="1"/>
    <col min="2098" max="2098" width="4.7109375" style="610" customWidth="1"/>
    <col min="2099" max="2100" width="7.28515625" style="610" customWidth="1"/>
    <col min="2101" max="2101" width="8.42578125" style="610" customWidth="1"/>
    <col min="2102" max="2102" width="9.5703125" style="610" customWidth="1"/>
    <col min="2103" max="2103" width="6.28515625" style="610" customWidth="1"/>
    <col min="2104" max="2104" width="5.85546875" style="610" customWidth="1"/>
    <col min="2105" max="2106" width="4.42578125" style="610" customWidth="1"/>
    <col min="2107" max="2107" width="5" style="610" customWidth="1"/>
    <col min="2108" max="2108" width="5.85546875" style="610" customWidth="1"/>
    <col min="2109" max="2109" width="6.140625" style="610" customWidth="1"/>
    <col min="2110" max="2110" width="6.28515625" style="610" customWidth="1"/>
    <col min="2111" max="2111" width="4.85546875" style="610" customWidth="1"/>
    <col min="2112" max="2112" width="8.140625" style="610" customWidth="1"/>
    <col min="2113" max="2113" width="11.5703125" style="610" customWidth="1"/>
    <col min="2114" max="2114" width="13.7109375" style="610" customWidth="1"/>
    <col min="2115" max="2115" width="20.85546875" style="610" customWidth="1"/>
    <col min="2116" max="2328" width="11.42578125" style="610"/>
    <col min="2329" max="2329" width="13.140625" style="610" customWidth="1"/>
    <col min="2330" max="2330" width="4" style="610" customWidth="1"/>
    <col min="2331" max="2331" width="12.85546875" style="610" customWidth="1"/>
    <col min="2332" max="2332" width="14.7109375" style="610" customWidth="1"/>
    <col min="2333" max="2333" width="10" style="610" customWidth="1"/>
    <col min="2334" max="2334" width="6.28515625" style="610" customWidth="1"/>
    <col min="2335" max="2335" width="12.28515625" style="610" customWidth="1"/>
    <col min="2336" max="2336" width="8.5703125" style="610" customWidth="1"/>
    <col min="2337" max="2337" width="13.7109375" style="610" customWidth="1"/>
    <col min="2338" max="2338" width="11.5703125" style="610" customWidth="1"/>
    <col min="2339" max="2339" width="24.7109375" style="610" customWidth="1"/>
    <col min="2340" max="2340" width="17.42578125" style="610" customWidth="1"/>
    <col min="2341" max="2341" width="20.85546875" style="610" customWidth="1"/>
    <col min="2342" max="2342" width="26.85546875" style="610" customWidth="1"/>
    <col min="2343" max="2343" width="8" style="610" customWidth="1"/>
    <col min="2344" max="2344" width="25" style="610" customWidth="1"/>
    <col min="2345" max="2345" width="12.7109375" style="610" customWidth="1"/>
    <col min="2346" max="2346" width="16.42578125" style="610" customWidth="1"/>
    <col min="2347" max="2347" width="23.5703125" style="610" customWidth="1"/>
    <col min="2348" max="2348" width="33.7109375" style="610" customWidth="1"/>
    <col min="2349" max="2349" width="31.140625" style="610" customWidth="1"/>
    <col min="2350" max="2350" width="19.28515625" style="610" customWidth="1"/>
    <col min="2351" max="2351" width="11.7109375" style="610" customWidth="1"/>
    <col min="2352" max="2352" width="15.42578125" style="610" customWidth="1"/>
    <col min="2353" max="2353" width="5.5703125" style="610" customWidth="1"/>
    <col min="2354" max="2354" width="4.7109375" style="610" customWidth="1"/>
    <col min="2355" max="2356" width="7.28515625" style="610" customWidth="1"/>
    <col min="2357" max="2357" width="8.42578125" style="610" customWidth="1"/>
    <col min="2358" max="2358" width="9.5703125" style="610" customWidth="1"/>
    <col min="2359" max="2359" width="6.28515625" style="610" customWidth="1"/>
    <col min="2360" max="2360" width="5.85546875" style="610" customWidth="1"/>
    <col min="2361" max="2362" width="4.42578125" style="610" customWidth="1"/>
    <col min="2363" max="2363" width="5" style="610" customWidth="1"/>
    <col min="2364" max="2364" width="5.85546875" style="610" customWidth="1"/>
    <col min="2365" max="2365" width="6.140625" style="610" customWidth="1"/>
    <col min="2366" max="2366" width="6.28515625" style="610" customWidth="1"/>
    <col min="2367" max="2367" width="4.85546875" style="610" customWidth="1"/>
    <col min="2368" max="2368" width="8.140625" style="610" customWidth="1"/>
    <col min="2369" max="2369" width="11.5703125" style="610" customWidth="1"/>
    <col min="2370" max="2370" width="13.7109375" style="610" customWidth="1"/>
    <col min="2371" max="2371" width="20.85546875" style="610" customWidth="1"/>
    <col min="2372" max="2584" width="11.42578125" style="610"/>
    <col min="2585" max="2585" width="13.140625" style="610" customWidth="1"/>
    <col min="2586" max="2586" width="4" style="610" customWidth="1"/>
    <col min="2587" max="2587" width="12.85546875" style="610" customWidth="1"/>
    <col min="2588" max="2588" width="14.7109375" style="610" customWidth="1"/>
    <col min="2589" max="2589" width="10" style="610" customWidth="1"/>
    <col min="2590" max="2590" width="6.28515625" style="610" customWidth="1"/>
    <col min="2591" max="2591" width="12.28515625" style="610" customWidth="1"/>
    <col min="2592" max="2592" width="8.5703125" style="610" customWidth="1"/>
    <col min="2593" max="2593" width="13.7109375" style="610" customWidth="1"/>
    <col min="2594" max="2594" width="11.5703125" style="610" customWidth="1"/>
    <col min="2595" max="2595" width="24.7109375" style="610" customWidth="1"/>
    <col min="2596" max="2596" width="17.42578125" style="610" customWidth="1"/>
    <col min="2597" max="2597" width="20.85546875" style="610" customWidth="1"/>
    <col min="2598" max="2598" width="26.85546875" style="610" customWidth="1"/>
    <col min="2599" max="2599" width="8" style="610" customWidth="1"/>
    <col min="2600" max="2600" width="25" style="610" customWidth="1"/>
    <col min="2601" max="2601" width="12.7109375" style="610" customWidth="1"/>
    <col min="2602" max="2602" width="16.42578125" style="610" customWidth="1"/>
    <col min="2603" max="2603" width="23.5703125" style="610" customWidth="1"/>
    <col min="2604" max="2604" width="33.7109375" style="610" customWidth="1"/>
    <col min="2605" max="2605" width="31.140625" style="610" customWidth="1"/>
    <col min="2606" max="2606" width="19.28515625" style="610" customWidth="1"/>
    <col min="2607" max="2607" width="11.7109375" style="610" customWidth="1"/>
    <col min="2608" max="2608" width="15.42578125" style="610" customWidth="1"/>
    <col min="2609" max="2609" width="5.5703125" style="610" customWidth="1"/>
    <col min="2610" max="2610" width="4.7109375" style="610" customWidth="1"/>
    <col min="2611" max="2612" width="7.28515625" style="610" customWidth="1"/>
    <col min="2613" max="2613" width="8.42578125" style="610" customWidth="1"/>
    <col min="2614" max="2614" width="9.5703125" style="610" customWidth="1"/>
    <col min="2615" max="2615" width="6.28515625" style="610" customWidth="1"/>
    <col min="2616" max="2616" width="5.85546875" style="610" customWidth="1"/>
    <col min="2617" max="2618" width="4.42578125" style="610" customWidth="1"/>
    <col min="2619" max="2619" width="5" style="610" customWidth="1"/>
    <col min="2620" max="2620" width="5.85546875" style="610" customWidth="1"/>
    <col min="2621" max="2621" width="6.140625" style="610" customWidth="1"/>
    <col min="2622" max="2622" width="6.28515625" style="610" customWidth="1"/>
    <col min="2623" max="2623" width="4.85546875" style="610" customWidth="1"/>
    <col min="2624" max="2624" width="8.140625" style="610" customWidth="1"/>
    <col min="2625" max="2625" width="11.5703125" style="610" customWidth="1"/>
    <col min="2626" max="2626" width="13.7109375" style="610" customWidth="1"/>
    <col min="2627" max="2627" width="20.85546875" style="610" customWidth="1"/>
    <col min="2628" max="2840" width="11.42578125" style="610"/>
    <col min="2841" max="2841" width="13.140625" style="610" customWidth="1"/>
    <col min="2842" max="2842" width="4" style="610" customWidth="1"/>
    <col min="2843" max="2843" width="12.85546875" style="610" customWidth="1"/>
    <col min="2844" max="2844" width="14.7109375" style="610" customWidth="1"/>
    <col min="2845" max="2845" width="10" style="610" customWidth="1"/>
    <col min="2846" max="2846" width="6.28515625" style="610" customWidth="1"/>
    <col min="2847" max="2847" width="12.28515625" style="610" customWidth="1"/>
    <col min="2848" max="2848" width="8.5703125" style="610" customWidth="1"/>
    <col min="2849" max="2849" width="13.7109375" style="610" customWidth="1"/>
    <col min="2850" max="2850" width="11.5703125" style="610" customWidth="1"/>
    <col min="2851" max="2851" width="24.7109375" style="610" customWidth="1"/>
    <col min="2852" max="2852" width="17.42578125" style="610" customWidth="1"/>
    <col min="2853" max="2853" width="20.85546875" style="610" customWidth="1"/>
    <col min="2854" max="2854" width="26.85546875" style="610" customWidth="1"/>
    <col min="2855" max="2855" width="8" style="610" customWidth="1"/>
    <col min="2856" max="2856" width="25" style="610" customWidth="1"/>
    <col min="2857" max="2857" width="12.7109375" style="610" customWidth="1"/>
    <col min="2858" max="2858" width="16.42578125" style="610" customWidth="1"/>
    <col min="2859" max="2859" width="23.5703125" style="610" customWidth="1"/>
    <col min="2860" max="2860" width="33.7109375" style="610" customWidth="1"/>
    <col min="2861" max="2861" width="31.140625" style="610" customWidth="1"/>
    <col min="2862" max="2862" width="19.28515625" style="610" customWidth="1"/>
    <col min="2863" max="2863" width="11.7109375" style="610" customWidth="1"/>
    <col min="2864" max="2864" width="15.42578125" style="610" customWidth="1"/>
    <col min="2865" max="2865" width="5.5703125" style="610" customWidth="1"/>
    <col min="2866" max="2866" width="4.7109375" style="610" customWidth="1"/>
    <col min="2867" max="2868" width="7.28515625" style="610" customWidth="1"/>
    <col min="2869" max="2869" width="8.42578125" style="610" customWidth="1"/>
    <col min="2870" max="2870" width="9.5703125" style="610" customWidth="1"/>
    <col min="2871" max="2871" width="6.28515625" style="610" customWidth="1"/>
    <col min="2872" max="2872" width="5.85546875" style="610" customWidth="1"/>
    <col min="2873" max="2874" width="4.42578125" style="610" customWidth="1"/>
    <col min="2875" max="2875" width="5" style="610" customWidth="1"/>
    <col min="2876" max="2876" width="5.85546875" style="610" customWidth="1"/>
    <col min="2877" max="2877" width="6.140625" style="610" customWidth="1"/>
    <col min="2878" max="2878" width="6.28515625" style="610" customWidth="1"/>
    <col min="2879" max="2879" width="4.85546875" style="610" customWidth="1"/>
    <col min="2880" max="2880" width="8.140625" style="610" customWidth="1"/>
    <col min="2881" max="2881" width="11.5703125" style="610" customWidth="1"/>
    <col min="2882" max="2882" width="13.7109375" style="610" customWidth="1"/>
    <col min="2883" max="2883" width="20.85546875" style="610" customWidth="1"/>
    <col min="2884" max="3096" width="11.42578125" style="610"/>
    <col min="3097" max="3097" width="13.140625" style="610" customWidth="1"/>
    <col min="3098" max="3098" width="4" style="610" customWidth="1"/>
    <col min="3099" max="3099" width="12.85546875" style="610" customWidth="1"/>
    <col min="3100" max="3100" width="14.7109375" style="610" customWidth="1"/>
    <col min="3101" max="3101" width="10" style="610" customWidth="1"/>
    <col min="3102" max="3102" width="6.28515625" style="610" customWidth="1"/>
    <col min="3103" max="3103" width="12.28515625" style="610" customWidth="1"/>
    <col min="3104" max="3104" width="8.5703125" style="610" customWidth="1"/>
    <col min="3105" max="3105" width="13.7109375" style="610" customWidth="1"/>
    <col min="3106" max="3106" width="11.5703125" style="610" customWidth="1"/>
    <col min="3107" max="3107" width="24.7109375" style="610" customWidth="1"/>
    <col min="3108" max="3108" width="17.42578125" style="610" customWidth="1"/>
    <col min="3109" max="3109" width="20.85546875" style="610" customWidth="1"/>
    <col min="3110" max="3110" width="26.85546875" style="610" customWidth="1"/>
    <col min="3111" max="3111" width="8" style="610" customWidth="1"/>
    <col min="3112" max="3112" width="25" style="610" customWidth="1"/>
    <col min="3113" max="3113" width="12.7109375" style="610" customWidth="1"/>
    <col min="3114" max="3114" width="16.42578125" style="610" customWidth="1"/>
    <col min="3115" max="3115" width="23.5703125" style="610" customWidth="1"/>
    <col min="3116" max="3116" width="33.7109375" style="610" customWidth="1"/>
    <col min="3117" max="3117" width="31.140625" style="610" customWidth="1"/>
    <col min="3118" max="3118" width="19.28515625" style="610" customWidth="1"/>
    <col min="3119" max="3119" width="11.7109375" style="610" customWidth="1"/>
    <col min="3120" max="3120" width="15.42578125" style="610" customWidth="1"/>
    <col min="3121" max="3121" width="5.5703125" style="610" customWidth="1"/>
    <col min="3122" max="3122" width="4.7109375" style="610" customWidth="1"/>
    <col min="3123" max="3124" width="7.28515625" style="610" customWidth="1"/>
    <col min="3125" max="3125" width="8.42578125" style="610" customWidth="1"/>
    <col min="3126" max="3126" width="9.5703125" style="610" customWidth="1"/>
    <col min="3127" max="3127" width="6.28515625" style="610" customWidth="1"/>
    <col min="3128" max="3128" width="5.85546875" style="610" customWidth="1"/>
    <col min="3129" max="3130" width="4.42578125" style="610" customWidth="1"/>
    <col min="3131" max="3131" width="5" style="610" customWidth="1"/>
    <col min="3132" max="3132" width="5.85546875" style="610" customWidth="1"/>
    <col min="3133" max="3133" width="6.140625" style="610" customWidth="1"/>
    <col min="3134" max="3134" width="6.28515625" style="610" customWidth="1"/>
    <col min="3135" max="3135" width="4.85546875" style="610" customWidth="1"/>
    <col min="3136" max="3136" width="8.140625" style="610" customWidth="1"/>
    <col min="3137" max="3137" width="11.5703125" style="610" customWidth="1"/>
    <col min="3138" max="3138" width="13.7109375" style="610" customWidth="1"/>
    <col min="3139" max="3139" width="20.85546875" style="610" customWidth="1"/>
    <col min="3140" max="3352" width="11.42578125" style="610"/>
    <col min="3353" max="3353" width="13.140625" style="610" customWidth="1"/>
    <col min="3354" max="3354" width="4" style="610" customWidth="1"/>
    <col min="3355" max="3355" width="12.85546875" style="610" customWidth="1"/>
    <col min="3356" max="3356" width="14.7109375" style="610" customWidth="1"/>
    <col min="3357" max="3357" width="10" style="610" customWidth="1"/>
    <col min="3358" max="3358" width="6.28515625" style="610" customWidth="1"/>
    <col min="3359" max="3359" width="12.28515625" style="610" customWidth="1"/>
    <col min="3360" max="3360" width="8.5703125" style="610" customWidth="1"/>
    <col min="3361" max="3361" width="13.7109375" style="610" customWidth="1"/>
    <col min="3362" max="3362" width="11.5703125" style="610" customWidth="1"/>
    <col min="3363" max="3363" width="24.7109375" style="610" customWidth="1"/>
    <col min="3364" max="3364" width="17.42578125" style="610" customWidth="1"/>
    <col min="3365" max="3365" width="20.85546875" style="610" customWidth="1"/>
    <col min="3366" max="3366" width="26.85546875" style="610" customWidth="1"/>
    <col min="3367" max="3367" width="8" style="610" customWidth="1"/>
    <col min="3368" max="3368" width="25" style="610" customWidth="1"/>
    <col min="3369" max="3369" width="12.7109375" style="610" customWidth="1"/>
    <col min="3370" max="3370" width="16.42578125" style="610" customWidth="1"/>
    <col min="3371" max="3371" width="23.5703125" style="610" customWidth="1"/>
    <col min="3372" max="3372" width="33.7109375" style="610" customWidth="1"/>
    <col min="3373" max="3373" width="31.140625" style="610" customWidth="1"/>
    <col min="3374" max="3374" width="19.28515625" style="610" customWidth="1"/>
    <col min="3375" max="3375" width="11.7109375" style="610" customWidth="1"/>
    <col min="3376" max="3376" width="15.42578125" style="610" customWidth="1"/>
    <col min="3377" max="3377" width="5.5703125" style="610" customWidth="1"/>
    <col min="3378" max="3378" width="4.7109375" style="610" customWidth="1"/>
    <col min="3379" max="3380" width="7.28515625" style="610" customWidth="1"/>
    <col min="3381" max="3381" width="8.42578125" style="610" customWidth="1"/>
    <col min="3382" max="3382" width="9.5703125" style="610" customWidth="1"/>
    <col min="3383" max="3383" width="6.28515625" style="610" customWidth="1"/>
    <col min="3384" max="3384" width="5.85546875" style="610" customWidth="1"/>
    <col min="3385" max="3386" width="4.42578125" style="610" customWidth="1"/>
    <col min="3387" max="3387" width="5" style="610" customWidth="1"/>
    <col min="3388" max="3388" width="5.85546875" style="610" customWidth="1"/>
    <col min="3389" max="3389" width="6.140625" style="610" customWidth="1"/>
    <col min="3390" max="3390" width="6.28515625" style="610" customWidth="1"/>
    <col min="3391" max="3391" width="4.85546875" style="610" customWidth="1"/>
    <col min="3392" max="3392" width="8.140625" style="610" customWidth="1"/>
    <col min="3393" max="3393" width="11.5703125" style="610" customWidth="1"/>
    <col min="3394" max="3394" width="13.7109375" style="610" customWidth="1"/>
    <col min="3395" max="3395" width="20.85546875" style="610" customWidth="1"/>
    <col min="3396" max="3608" width="11.42578125" style="610"/>
    <col min="3609" max="3609" width="13.140625" style="610" customWidth="1"/>
    <col min="3610" max="3610" width="4" style="610" customWidth="1"/>
    <col min="3611" max="3611" width="12.85546875" style="610" customWidth="1"/>
    <col min="3612" max="3612" width="14.7109375" style="610" customWidth="1"/>
    <col min="3613" max="3613" width="10" style="610" customWidth="1"/>
    <col min="3614" max="3614" width="6.28515625" style="610" customWidth="1"/>
    <col min="3615" max="3615" width="12.28515625" style="610" customWidth="1"/>
    <col min="3616" max="3616" width="8.5703125" style="610" customWidth="1"/>
    <col min="3617" max="3617" width="13.7109375" style="610" customWidth="1"/>
    <col min="3618" max="3618" width="11.5703125" style="610" customWidth="1"/>
    <col min="3619" max="3619" width="24.7109375" style="610" customWidth="1"/>
    <col min="3620" max="3620" width="17.42578125" style="610" customWidth="1"/>
    <col min="3621" max="3621" width="20.85546875" style="610" customWidth="1"/>
    <col min="3622" max="3622" width="26.85546875" style="610" customWidth="1"/>
    <col min="3623" max="3623" width="8" style="610" customWidth="1"/>
    <col min="3624" max="3624" width="25" style="610" customWidth="1"/>
    <col min="3625" max="3625" width="12.7109375" style="610" customWidth="1"/>
    <col min="3626" max="3626" width="16.42578125" style="610" customWidth="1"/>
    <col min="3627" max="3627" width="23.5703125" style="610" customWidth="1"/>
    <col min="3628" max="3628" width="33.7109375" style="610" customWidth="1"/>
    <col min="3629" max="3629" width="31.140625" style="610" customWidth="1"/>
    <col min="3630" max="3630" width="19.28515625" style="610" customWidth="1"/>
    <col min="3631" max="3631" width="11.7109375" style="610" customWidth="1"/>
    <col min="3632" max="3632" width="15.42578125" style="610" customWidth="1"/>
    <col min="3633" max="3633" width="5.5703125" style="610" customWidth="1"/>
    <col min="3634" max="3634" width="4.7109375" style="610" customWidth="1"/>
    <col min="3635" max="3636" width="7.28515625" style="610" customWidth="1"/>
    <col min="3637" max="3637" width="8.42578125" style="610" customWidth="1"/>
    <col min="3638" max="3638" width="9.5703125" style="610" customWidth="1"/>
    <col min="3639" max="3639" width="6.28515625" style="610" customWidth="1"/>
    <col min="3640" max="3640" width="5.85546875" style="610" customWidth="1"/>
    <col min="3641" max="3642" width="4.42578125" style="610" customWidth="1"/>
    <col min="3643" max="3643" width="5" style="610" customWidth="1"/>
    <col min="3644" max="3644" width="5.85546875" style="610" customWidth="1"/>
    <col min="3645" max="3645" width="6.140625" style="610" customWidth="1"/>
    <col min="3646" max="3646" width="6.28515625" style="610" customWidth="1"/>
    <col min="3647" max="3647" width="4.85546875" style="610" customWidth="1"/>
    <col min="3648" max="3648" width="8.140625" style="610" customWidth="1"/>
    <col min="3649" max="3649" width="11.5703125" style="610" customWidth="1"/>
    <col min="3650" max="3650" width="13.7109375" style="610" customWidth="1"/>
    <col min="3651" max="3651" width="20.85546875" style="610" customWidth="1"/>
    <col min="3652" max="3864" width="11.42578125" style="610"/>
    <col min="3865" max="3865" width="13.140625" style="610" customWidth="1"/>
    <col min="3866" max="3866" width="4" style="610" customWidth="1"/>
    <col min="3867" max="3867" width="12.85546875" style="610" customWidth="1"/>
    <col min="3868" max="3868" width="14.7109375" style="610" customWidth="1"/>
    <col min="3869" max="3869" width="10" style="610" customWidth="1"/>
    <col min="3870" max="3870" width="6.28515625" style="610" customWidth="1"/>
    <col min="3871" max="3871" width="12.28515625" style="610" customWidth="1"/>
    <col min="3872" max="3872" width="8.5703125" style="610" customWidth="1"/>
    <col min="3873" max="3873" width="13.7109375" style="610" customWidth="1"/>
    <col min="3874" max="3874" width="11.5703125" style="610" customWidth="1"/>
    <col min="3875" max="3875" width="24.7109375" style="610" customWidth="1"/>
    <col min="3876" max="3876" width="17.42578125" style="610" customWidth="1"/>
    <col min="3877" max="3877" width="20.85546875" style="610" customWidth="1"/>
    <col min="3878" max="3878" width="26.85546875" style="610" customWidth="1"/>
    <col min="3879" max="3879" width="8" style="610" customWidth="1"/>
    <col min="3880" max="3880" width="25" style="610" customWidth="1"/>
    <col min="3881" max="3881" width="12.7109375" style="610" customWidth="1"/>
    <col min="3882" max="3882" width="16.42578125" style="610" customWidth="1"/>
    <col min="3883" max="3883" width="23.5703125" style="610" customWidth="1"/>
    <col min="3884" max="3884" width="33.7109375" style="610" customWidth="1"/>
    <col min="3885" max="3885" width="31.140625" style="610" customWidth="1"/>
    <col min="3886" max="3886" width="19.28515625" style="610" customWidth="1"/>
    <col min="3887" max="3887" width="11.7109375" style="610" customWidth="1"/>
    <col min="3888" max="3888" width="15.42578125" style="610" customWidth="1"/>
    <col min="3889" max="3889" width="5.5703125" style="610" customWidth="1"/>
    <col min="3890" max="3890" width="4.7109375" style="610" customWidth="1"/>
    <col min="3891" max="3892" width="7.28515625" style="610" customWidth="1"/>
    <col min="3893" max="3893" width="8.42578125" style="610" customWidth="1"/>
    <col min="3894" max="3894" width="9.5703125" style="610" customWidth="1"/>
    <col min="3895" max="3895" width="6.28515625" style="610" customWidth="1"/>
    <col min="3896" max="3896" width="5.85546875" style="610" customWidth="1"/>
    <col min="3897" max="3898" width="4.42578125" style="610" customWidth="1"/>
    <col min="3899" max="3899" width="5" style="610" customWidth="1"/>
    <col min="3900" max="3900" width="5.85546875" style="610" customWidth="1"/>
    <col min="3901" max="3901" width="6.140625" style="610" customWidth="1"/>
    <col min="3902" max="3902" width="6.28515625" style="610" customWidth="1"/>
    <col min="3903" max="3903" width="4.85546875" style="610" customWidth="1"/>
    <col min="3904" max="3904" width="8.140625" style="610" customWidth="1"/>
    <col min="3905" max="3905" width="11.5703125" style="610" customWidth="1"/>
    <col min="3906" max="3906" width="13.7109375" style="610" customWidth="1"/>
    <col min="3907" max="3907" width="20.85546875" style="610" customWidth="1"/>
    <col min="3908" max="4120" width="11.42578125" style="610"/>
    <col min="4121" max="4121" width="13.140625" style="610" customWidth="1"/>
    <col min="4122" max="4122" width="4" style="610" customWidth="1"/>
    <col min="4123" max="4123" width="12.85546875" style="610" customWidth="1"/>
    <col min="4124" max="4124" width="14.7109375" style="610" customWidth="1"/>
    <col min="4125" max="4125" width="10" style="610" customWidth="1"/>
    <col min="4126" max="4126" width="6.28515625" style="610" customWidth="1"/>
    <col min="4127" max="4127" width="12.28515625" style="610" customWidth="1"/>
    <col min="4128" max="4128" width="8.5703125" style="610" customWidth="1"/>
    <col min="4129" max="4129" width="13.7109375" style="610" customWidth="1"/>
    <col min="4130" max="4130" width="11.5703125" style="610" customWidth="1"/>
    <col min="4131" max="4131" width="24.7109375" style="610" customWidth="1"/>
    <col min="4132" max="4132" width="17.42578125" style="610" customWidth="1"/>
    <col min="4133" max="4133" width="20.85546875" style="610" customWidth="1"/>
    <col min="4134" max="4134" width="26.85546875" style="610" customWidth="1"/>
    <col min="4135" max="4135" width="8" style="610" customWidth="1"/>
    <col min="4136" max="4136" width="25" style="610" customWidth="1"/>
    <col min="4137" max="4137" width="12.7109375" style="610" customWidth="1"/>
    <col min="4138" max="4138" width="16.42578125" style="610" customWidth="1"/>
    <col min="4139" max="4139" width="23.5703125" style="610" customWidth="1"/>
    <col min="4140" max="4140" width="33.7109375" style="610" customWidth="1"/>
    <col min="4141" max="4141" width="31.140625" style="610" customWidth="1"/>
    <col min="4142" max="4142" width="19.28515625" style="610" customWidth="1"/>
    <col min="4143" max="4143" width="11.7109375" style="610" customWidth="1"/>
    <col min="4144" max="4144" width="15.42578125" style="610" customWidth="1"/>
    <col min="4145" max="4145" width="5.5703125" style="610" customWidth="1"/>
    <col min="4146" max="4146" width="4.7109375" style="610" customWidth="1"/>
    <col min="4147" max="4148" width="7.28515625" style="610" customWidth="1"/>
    <col min="4149" max="4149" width="8.42578125" style="610" customWidth="1"/>
    <col min="4150" max="4150" width="9.5703125" style="610" customWidth="1"/>
    <col min="4151" max="4151" width="6.28515625" style="610" customWidth="1"/>
    <col min="4152" max="4152" width="5.85546875" style="610" customWidth="1"/>
    <col min="4153" max="4154" width="4.42578125" style="610" customWidth="1"/>
    <col min="4155" max="4155" width="5" style="610" customWidth="1"/>
    <col min="4156" max="4156" width="5.85546875" style="610" customWidth="1"/>
    <col min="4157" max="4157" width="6.140625" style="610" customWidth="1"/>
    <col min="4158" max="4158" width="6.28515625" style="610" customWidth="1"/>
    <col min="4159" max="4159" width="4.85546875" style="610" customWidth="1"/>
    <col min="4160" max="4160" width="8.140625" style="610" customWidth="1"/>
    <col min="4161" max="4161" width="11.5703125" style="610" customWidth="1"/>
    <col min="4162" max="4162" width="13.7109375" style="610" customWidth="1"/>
    <col min="4163" max="4163" width="20.85546875" style="610" customWidth="1"/>
    <col min="4164" max="4376" width="11.42578125" style="610"/>
    <col min="4377" max="4377" width="13.140625" style="610" customWidth="1"/>
    <col min="4378" max="4378" width="4" style="610" customWidth="1"/>
    <col min="4379" max="4379" width="12.85546875" style="610" customWidth="1"/>
    <col min="4380" max="4380" width="14.7109375" style="610" customWidth="1"/>
    <col min="4381" max="4381" width="10" style="610" customWidth="1"/>
    <col min="4382" max="4382" width="6.28515625" style="610" customWidth="1"/>
    <col min="4383" max="4383" width="12.28515625" style="610" customWidth="1"/>
    <col min="4384" max="4384" width="8.5703125" style="610" customWidth="1"/>
    <col min="4385" max="4385" width="13.7109375" style="610" customWidth="1"/>
    <col min="4386" max="4386" width="11.5703125" style="610" customWidth="1"/>
    <col min="4387" max="4387" width="24.7109375" style="610" customWidth="1"/>
    <col min="4388" max="4388" width="17.42578125" style="610" customWidth="1"/>
    <col min="4389" max="4389" width="20.85546875" style="610" customWidth="1"/>
    <col min="4390" max="4390" width="26.85546875" style="610" customWidth="1"/>
    <col min="4391" max="4391" width="8" style="610" customWidth="1"/>
    <col min="4392" max="4392" width="25" style="610" customWidth="1"/>
    <col min="4393" max="4393" width="12.7109375" style="610" customWidth="1"/>
    <col min="4394" max="4394" width="16.42578125" style="610" customWidth="1"/>
    <col min="4395" max="4395" width="23.5703125" style="610" customWidth="1"/>
    <col min="4396" max="4396" width="33.7109375" style="610" customWidth="1"/>
    <col min="4397" max="4397" width="31.140625" style="610" customWidth="1"/>
    <col min="4398" max="4398" width="19.28515625" style="610" customWidth="1"/>
    <col min="4399" max="4399" width="11.7109375" style="610" customWidth="1"/>
    <col min="4400" max="4400" width="15.42578125" style="610" customWidth="1"/>
    <col min="4401" max="4401" width="5.5703125" style="610" customWidth="1"/>
    <col min="4402" max="4402" width="4.7109375" style="610" customWidth="1"/>
    <col min="4403" max="4404" width="7.28515625" style="610" customWidth="1"/>
    <col min="4405" max="4405" width="8.42578125" style="610" customWidth="1"/>
    <col min="4406" max="4406" width="9.5703125" style="610" customWidth="1"/>
    <col min="4407" max="4407" width="6.28515625" style="610" customWidth="1"/>
    <col min="4408" max="4408" width="5.85546875" style="610" customWidth="1"/>
    <col min="4409" max="4410" width="4.42578125" style="610" customWidth="1"/>
    <col min="4411" max="4411" width="5" style="610" customWidth="1"/>
    <col min="4412" max="4412" width="5.85546875" style="610" customWidth="1"/>
    <col min="4413" max="4413" width="6.140625" style="610" customWidth="1"/>
    <col min="4414" max="4414" width="6.28515625" style="610" customWidth="1"/>
    <col min="4415" max="4415" width="4.85546875" style="610" customWidth="1"/>
    <col min="4416" max="4416" width="8.140625" style="610" customWidth="1"/>
    <col min="4417" max="4417" width="11.5703125" style="610" customWidth="1"/>
    <col min="4418" max="4418" width="13.7109375" style="610" customWidth="1"/>
    <col min="4419" max="4419" width="20.85546875" style="610" customWidth="1"/>
    <col min="4420" max="4632" width="11.42578125" style="610"/>
    <col min="4633" max="4633" width="13.140625" style="610" customWidth="1"/>
    <col min="4634" max="4634" width="4" style="610" customWidth="1"/>
    <col min="4635" max="4635" width="12.85546875" style="610" customWidth="1"/>
    <col min="4636" max="4636" width="14.7109375" style="610" customWidth="1"/>
    <col min="4637" max="4637" width="10" style="610" customWidth="1"/>
    <col min="4638" max="4638" width="6.28515625" style="610" customWidth="1"/>
    <col min="4639" max="4639" width="12.28515625" style="610" customWidth="1"/>
    <col min="4640" max="4640" width="8.5703125" style="610" customWidth="1"/>
    <col min="4641" max="4641" width="13.7109375" style="610" customWidth="1"/>
    <col min="4642" max="4642" width="11.5703125" style="610" customWidth="1"/>
    <col min="4643" max="4643" width="24.7109375" style="610" customWidth="1"/>
    <col min="4644" max="4644" width="17.42578125" style="610" customWidth="1"/>
    <col min="4645" max="4645" width="20.85546875" style="610" customWidth="1"/>
    <col min="4646" max="4646" width="26.85546875" style="610" customWidth="1"/>
    <col min="4647" max="4647" width="8" style="610" customWidth="1"/>
    <col min="4648" max="4648" width="25" style="610" customWidth="1"/>
    <col min="4649" max="4649" width="12.7109375" style="610" customWidth="1"/>
    <col min="4650" max="4650" width="16.42578125" style="610" customWidth="1"/>
    <col min="4651" max="4651" width="23.5703125" style="610" customWidth="1"/>
    <col min="4652" max="4652" width="33.7109375" style="610" customWidth="1"/>
    <col min="4653" max="4653" width="31.140625" style="610" customWidth="1"/>
    <col min="4654" max="4654" width="19.28515625" style="610" customWidth="1"/>
    <col min="4655" max="4655" width="11.7109375" style="610" customWidth="1"/>
    <col min="4656" max="4656" width="15.42578125" style="610" customWidth="1"/>
    <col min="4657" max="4657" width="5.5703125" style="610" customWidth="1"/>
    <col min="4658" max="4658" width="4.7109375" style="610" customWidth="1"/>
    <col min="4659" max="4660" width="7.28515625" style="610" customWidth="1"/>
    <col min="4661" max="4661" width="8.42578125" style="610" customWidth="1"/>
    <col min="4662" max="4662" width="9.5703125" style="610" customWidth="1"/>
    <col min="4663" max="4663" width="6.28515625" style="610" customWidth="1"/>
    <col min="4664" max="4664" width="5.85546875" style="610" customWidth="1"/>
    <col min="4665" max="4666" width="4.42578125" style="610" customWidth="1"/>
    <col min="4667" max="4667" width="5" style="610" customWidth="1"/>
    <col min="4668" max="4668" width="5.85546875" style="610" customWidth="1"/>
    <col min="4669" max="4669" width="6.140625" style="610" customWidth="1"/>
    <col min="4670" max="4670" width="6.28515625" style="610" customWidth="1"/>
    <col min="4671" max="4671" width="4.85546875" style="610" customWidth="1"/>
    <col min="4672" max="4672" width="8.140625" style="610" customWidth="1"/>
    <col min="4673" max="4673" width="11.5703125" style="610" customWidth="1"/>
    <col min="4674" max="4674" width="13.7109375" style="610" customWidth="1"/>
    <col min="4675" max="4675" width="20.85546875" style="610" customWidth="1"/>
    <col min="4676" max="4888" width="11.42578125" style="610"/>
    <col min="4889" max="4889" width="13.140625" style="610" customWidth="1"/>
    <col min="4890" max="4890" width="4" style="610" customWidth="1"/>
    <col min="4891" max="4891" width="12.85546875" style="610" customWidth="1"/>
    <col min="4892" max="4892" width="14.7109375" style="610" customWidth="1"/>
    <col min="4893" max="4893" width="10" style="610" customWidth="1"/>
    <col min="4894" max="4894" width="6.28515625" style="610" customWidth="1"/>
    <col min="4895" max="4895" width="12.28515625" style="610" customWidth="1"/>
    <col min="4896" max="4896" width="8.5703125" style="610" customWidth="1"/>
    <col min="4897" max="4897" width="13.7109375" style="610" customWidth="1"/>
    <col min="4898" max="4898" width="11.5703125" style="610" customWidth="1"/>
    <col min="4899" max="4899" width="24.7109375" style="610" customWidth="1"/>
    <col min="4900" max="4900" width="17.42578125" style="610" customWidth="1"/>
    <col min="4901" max="4901" width="20.85546875" style="610" customWidth="1"/>
    <col min="4902" max="4902" width="26.85546875" style="610" customWidth="1"/>
    <col min="4903" max="4903" width="8" style="610" customWidth="1"/>
    <col min="4904" max="4904" width="25" style="610" customWidth="1"/>
    <col min="4905" max="4905" width="12.7109375" style="610" customWidth="1"/>
    <col min="4906" max="4906" width="16.42578125" style="610" customWidth="1"/>
    <col min="4907" max="4907" width="23.5703125" style="610" customWidth="1"/>
    <col min="4908" max="4908" width="33.7109375" style="610" customWidth="1"/>
    <col min="4909" max="4909" width="31.140625" style="610" customWidth="1"/>
    <col min="4910" max="4910" width="19.28515625" style="610" customWidth="1"/>
    <col min="4911" max="4911" width="11.7109375" style="610" customWidth="1"/>
    <col min="4912" max="4912" width="15.42578125" style="610" customWidth="1"/>
    <col min="4913" max="4913" width="5.5703125" style="610" customWidth="1"/>
    <col min="4914" max="4914" width="4.7109375" style="610" customWidth="1"/>
    <col min="4915" max="4916" width="7.28515625" style="610" customWidth="1"/>
    <col min="4917" max="4917" width="8.42578125" style="610" customWidth="1"/>
    <col min="4918" max="4918" width="9.5703125" style="610" customWidth="1"/>
    <col min="4919" max="4919" width="6.28515625" style="610" customWidth="1"/>
    <col min="4920" max="4920" width="5.85546875" style="610" customWidth="1"/>
    <col min="4921" max="4922" width="4.42578125" style="610" customWidth="1"/>
    <col min="4923" max="4923" width="5" style="610" customWidth="1"/>
    <col min="4924" max="4924" width="5.85546875" style="610" customWidth="1"/>
    <col min="4925" max="4925" width="6.140625" style="610" customWidth="1"/>
    <col min="4926" max="4926" width="6.28515625" style="610" customWidth="1"/>
    <col min="4927" max="4927" width="4.85546875" style="610" customWidth="1"/>
    <col min="4928" max="4928" width="8.140625" style="610" customWidth="1"/>
    <col min="4929" max="4929" width="11.5703125" style="610" customWidth="1"/>
    <col min="4930" max="4930" width="13.7109375" style="610" customWidth="1"/>
    <col min="4931" max="4931" width="20.85546875" style="610" customWidth="1"/>
    <col min="4932" max="5144" width="11.42578125" style="610"/>
    <col min="5145" max="5145" width="13.140625" style="610" customWidth="1"/>
    <col min="5146" max="5146" width="4" style="610" customWidth="1"/>
    <col min="5147" max="5147" width="12.85546875" style="610" customWidth="1"/>
    <col min="5148" max="5148" width="14.7109375" style="610" customWidth="1"/>
    <col min="5149" max="5149" width="10" style="610" customWidth="1"/>
    <col min="5150" max="5150" width="6.28515625" style="610" customWidth="1"/>
    <col min="5151" max="5151" width="12.28515625" style="610" customWidth="1"/>
    <col min="5152" max="5152" width="8.5703125" style="610" customWidth="1"/>
    <col min="5153" max="5153" width="13.7109375" style="610" customWidth="1"/>
    <col min="5154" max="5154" width="11.5703125" style="610" customWidth="1"/>
    <col min="5155" max="5155" width="24.7109375" style="610" customWidth="1"/>
    <col min="5156" max="5156" width="17.42578125" style="610" customWidth="1"/>
    <col min="5157" max="5157" width="20.85546875" style="610" customWidth="1"/>
    <col min="5158" max="5158" width="26.85546875" style="610" customWidth="1"/>
    <col min="5159" max="5159" width="8" style="610" customWidth="1"/>
    <col min="5160" max="5160" width="25" style="610" customWidth="1"/>
    <col min="5161" max="5161" width="12.7109375" style="610" customWidth="1"/>
    <col min="5162" max="5162" width="16.42578125" style="610" customWidth="1"/>
    <col min="5163" max="5163" width="23.5703125" style="610" customWidth="1"/>
    <col min="5164" max="5164" width="33.7109375" style="610" customWidth="1"/>
    <col min="5165" max="5165" width="31.140625" style="610" customWidth="1"/>
    <col min="5166" max="5166" width="19.28515625" style="610" customWidth="1"/>
    <col min="5167" max="5167" width="11.7109375" style="610" customWidth="1"/>
    <col min="5168" max="5168" width="15.42578125" style="610" customWidth="1"/>
    <col min="5169" max="5169" width="5.5703125" style="610" customWidth="1"/>
    <col min="5170" max="5170" width="4.7109375" style="610" customWidth="1"/>
    <col min="5171" max="5172" width="7.28515625" style="610" customWidth="1"/>
    <col min="5173" max="5173" width="8.42578125" style="610" customWidth="1"/>
    <col min="5174" max="5174" width="9.5703125" style="610" customWidth="1"/>
    <col min="5175" max="5175" width="6.28515625" style="610" customWidth="1"/>
    <col min="5176" max="5176" width="5.85546875" style="610" customWidth="1"/>
    <col min="5177" max="5178" width="4.42578125" style="610" customWidth="1"/>
    <col min="5179" max="5179" width="5" style="610" customWidth="1"/>
    <col min="5180" max="5180" width="5.85546875" style="610" customWidth="1"/>
    <col min="5181" max="5181" width="6.140625" style="610" customWidth="1"/>
    <col min="5182" max="5182" width="6.28515625" style="610" customWidth="1"/>
    <col min="5183" max="5183" width="4.85546875" style="610" customWidth="1"/>
    <col min="5184" max="5184" width="8.140625" style="610" customWidth="1"/>
    <col min="5185" max="5185" width="11.5703125" style="610" customWidth="1"/>
    <col min="5186" max="5186" width="13.7109375" style="610" customWidth="1"/>
    <col min="5187" max="5187" width="20.85546875" style="610" customWidth="1"/>
    <col min="5188" max="5400" width="11.42578125" style="610"/>
    <col min="5401" max="5401" width="13.140625" style="610" customWidth="1"/>
    <col min="5402" max="5402" width="4" style="610" customWidth="1"/>
    <col min="5403" max="5403" width="12.85546875" style="610" customWidth="1"/>
    <col min="5404" max="5404" width="14.7109375" style="610" customWidth="1"/>
    <col min="5405" max="5405" width="10" style="610" customWidth="1"/>
    <col min="5406" max="5406" width="6.28515625" style="610" customWidth="1"/>
    <col min="5407" max="5407" width="12.28515625" style="610" customWidth="1"/>
    <col min="5408" max="5408" width="8.5703125" style="610" customWidth="1"/>
    <col min="5409" max="5409" width="13.7109375" style="610" customWidth="1"/>
    <col min="5410" max="5410" width="11.5703125" style="610" customWidth="1"/>
    <col min="5411" max="5411" width="24.7109375" style="610" customWidth="1"/>
    <col min="5412" max="5412" width="17.42578125" style="610" customWidth="1"/>
    <col min="5413" max="5413" width="20.85546875" style="610" customWidth="1"/>
    <col min="5414" max="5414" width="26.85546875" style="610" customWidth="1"/>
    <col min="5415" max="5415" width="8" style="610" customWidth="1"/>
    <col min="5416" max="5416" width="25" style="610" customWidth="1"/>
    <col min="5417" max="5417" width="12.7109375" style="610" customWidth="1"/>
    <col min="5418" max="5418" width="16.42578125" style="610" customWidth="1"/>
    <col min="5419" max="5419" width="23.5703125" style="610" customWidth="1"/>
    <col min="5420" max="5420" width="33.7109375" style="610" customWidth="1"/>
    <col min="5421" max="5421" width="31.140625" style="610" customWidth="1"/>
    <col min="5422" max="5422" width="19.28515625" style="610" customWidth="1"/>
    <col min="5423" max="5423" width="11.7109375" style="610" customWidth="1"/>
    <col min="5424" max="5424" width="15.42578125" style="610" customWidth="1"/>
    <col min="5425" max="5425" width="5.5703125" style="610" customWidth="1"/>
    <col min="5426" max="5426" width="4.7109375" style="610" customWidth="1"/>
    <col min="5427" max="5428" width="7.28515625" style="610" customWidth="1"/>
    <col min="5429" max="5429" width="8.42578125" style="610" customWidth="1"/>
    <col min="5430" max="5430" width="9.5703125" style="610" customWidth="1"/>
    <col min="5431" max="5431" width="6.28515625" style="610" customWidth="1"/>
    <col min="5432" max="5432" width="5.85546875" style="610" customWidth="1"/>
    <col min="5433" max="5434" width="4.42578125" style="610" customWidth="1"/>
    <col min="5435" max="5435" width="5" style="610" customWidth="1"/>
    <col min="5436" max="5436" width="5.85546875" style="610" customWidth="1"/>
    <col min="5437" max="5437" width="6.140625" style="610" customWidth="1"/>
    <col min="5438" max="5438" width="6.28515625" style="610" customWidth="1"/>
    <col min="5439" max="5439" width="4.85546875" style="610" customWidth="1"/>
    <col min="5440" max="5440" width="8.140625" style="610" customWidth="1"/>
    <col min="5441" max="5441" width="11.5703125" style="610" customWidth="1"/>
    <col min="5442" max="5442" width="13.7109375" style="610" customWidth="1"/>
    <col min="5443" max="5443" width="20.85546875" style="610" customWidth="1"/>
    <col min="5444" max="5656" width="11.42578125" style="610"/>
    <col min="5657" max="5657" width="13.140625" style="610" customWidth="1"/>
    <col min="5658" max="5658" width="4" style="610" customWidth="1"/>
    <col min="5659" max="5659" width="12.85546875" style="610" customWidth="1"/>
    <col min="5660" max="5660" width="14.7109375" style="610" customWidth="1"/>
    <col min="5661" max="5661" width="10" style="610" customWidth="1"/>
    <col min="5662" max="5662" width="6.28515625" style="610" customWidth="1"/>
    <col min="5663" max="5663" width="12.28515625" style="610" customWidth="1"/>
    <col min="5664" max="5664" width="8.5703125" style="610" customWidth="1"/>
    <col min="5665" max="5665" width="13.7109375" style="610" customWidth="1"/>
    <col min="5666" max="5666" width="11.5703125" style="610" customWidth="1"/>
    <col min="5667" max="5667" width="24.7109375" style="610" customWidth="1"/>
    <col min="5668" max="5668" width="17.42578125" style="610" customWidth="1"/>
    <col min="5669" max="5669" width="20.85546875" style="610" customWidth="1"/>
    <col min="5670" max="5670" width="26.85546875" style="610" customWidth="1"/>
    <col min="5671" max="5671" width="8" style="610" customWidth="1"/>
    <col min="5672" max="5672" width="25" style="610" customWidth="1"/>
    <col min="5673" max="5673" width="12.7109375" style="610" customWidth="1"/>
    <col min="5674" max="5674" width="16.42578125" style="610" customWidth="1"/>
    <col min="5675" max="5675" width="23.5703125" style="610" customWidth="1"/>
    <col min="5676" max="5676" width="33.7109375" style="610" customWidth="1"/>
    <col min="5677" max="5677" width="31.140625" style="610" customWidth="1"/>
    <col min="5678" max="5678" width="19.28515625" style="610" customWidth="1"/>
    <col min="5679" max="5679" width="11.7109375" style="610" customWidth="1"/>
    <col min="5680" max="5680" width="15.42578125" style="610" customWidth="1"/>
    <col min="5681" max="5681" width="5.5703125" style="610" customWidth="1"/>
    <col min="5682" max="5682" width="4.7109375" style="610" customWidth="1"/>
    <col min="5683" max="5684" width="7.28515625" style="610" customWidth="1"/>
    <col min="5685" max="5685" width="8.42578125" style="610" customWidth="1"/>
    <col min="5686" max="5686" width="9.5703125" style="610" customWidth="1"/>
    <col min="5687" max="5687" width="6.28515625" style="610" customWidth="1"/>
    <col min="5688" max="5688" width="5.85546875" style="610" customWidth="1"/>
    <col min="5689" max="5690" width="4.42578125" style="610" customWidth="1"/>
    <col min="5691" max="5691" width="5" style="610" customWidth="1"/>
    <col min="5692" max="5692" width="5.85546875" style="610" customWidth="1"/>
    <col min="5693" max="5693" width="6.140625" style="610" customWidth="1"/>
    <col min="5694" max="5694" width="6.28515625" style="610" customWidth="1"/>
    <col min="5695" max="5695" width="4.85546875" style="610" customWidth="1"/>
    <col min="5696" max="5696" width="8.140625" style="610" customWidth="1"/>
    <col min="5697" max="5697" width="11.5703125" style="610" customWidth="1"/>
    <col min="5698" max="5698" width="13.7109375" style="610" customWidth="1"/>
    <col min="5699" max="5699" width="20.85546875" style="610" customWidth="1"/>
    <col min="5700" max="5912" width="11.42578125" style="610"/>
    <col min="5913" max="5913" width="13.140625" style="610" customWidth="1"/>
    <col min="5914" max="5914" width="4" style="610" customWidth="1"/>
    <col min="5915" max="5915" width="12.85546875" style="610" customWidth="1"/>
    <col min="5916" max="5916" width="14.7109375" style="610" customWidth="1"/>
    <col min="5917" max="5917" width="10" style="610" customWidth="1"/>
    <col min="5918" max="5918" width="6.28515625" style="610" customWidth="1"/>
    <col min="5919" max="5919" width="12.28515625" style="610" customWidth="1"/>
    <col min="5920" max="5920" width="8.5703125" style="610" customWidth="1"/>
    <col min="5921" max="5921" width="13.7109375" style="610" customWidth="1"/>
    <col min="5922" max="5922" width="11.5703125" style="610" customWidth="1"/>
    <col min="5923" max="5923" width="24.7109375" style="610" customWidth="1"/>
    <col min="5924" max="5924" width="17.42578125" style="610" customWidth="1"/>
    <col min="5925" max="5925" width="20.85546875" style="610" customWidth="1"/>
    <col min="5926" max="5926" width="26.85546875" style="610" customWidth="1"/>
    <col min="5927" max="5927" width="8" style="610" customWidth="1"/>
    <col min="5928" max="5928" width="25" style="610" customWidth="1"/>
    <col min="5929" max="5929" width="12.7109375" style="610" customWidth="1"/>
    <col min="5930" max="5930" width="16.42578125" style="610" customWidth="1"/>
    <col min="5931" max="5931" width="23.5703125" style="610" customWidth="1"/>
    <col min="5932" max="5932" width="33.7109375" style="610" customWidth="1"/>
    <col min="5933" max="5933" width="31.140625" style="610" customWidth="1"/>
    <col min="5934" max="5934" width="19.28515625" style="610" customWidth="1"/>
    <col min="5935" max="5935" width="11.7109375" style="610" customWidth="1"/>
    <col min="5936" max="5936" width="15.42578125" style="610" customWidth="1"/>
    <col min="5937" max="5937" width="5.5703125" style="610" customWidth="1"/>
    <col min="5938" max="5938" width="4.7109375" style="610" customWidth="1"/>
    <col min="5939" max="5940" width="7.28515625" style="610" customWidth="1"/>
    <col min="5941" max="5941" width="8.42578125" style="610" customWidth="1"/>
    <col min="5942" max="5942" width="9.5703125" style="610" customWidth="1"/>
    <col min="5943" max="5943" width="6.28515625" style="610" customWidth="1"/>
    <col min="5944" max="5944" width="5.85546875" style="610" customWidth="1"/>
    <col min="5945" max="5946" width="4.42578125" style="610" customWidth="1"/>
    <col min="5947" max="5947" width="5" style="610" customWidth="1"/>
    <col min="5948" max="5948" width="5.85546875" style="610" customWidth="1"/>
    <col min="5949" max="5949" width="6.140625" style="610" customWidth="1"/>
    <col min="5950" max="5950" width="6.28515625" style="610" customWidth="1"/>
    <col min="5951" max="5951" width="4.85546875" style="610" customWidth="1"/>
    <col min="5952" max="5952" width="8.140625" style="610" customWidth="1"/>
    <col min="5953" max="5953" width="11.5703125" style="610" customWidth="1"/>
    <col min="5954" max="5954" width="13.7109375" style="610" customWidth="1"/>
    <col min="5955" max="5955" width="20.85546875" style="610" customWidth="1"/>
    <col min="5956" max="6168" width="11.42578125" style="610"/>
    <col min="6169" max="6169" width="13.140625" style="610" customWidth="1"/>
    <col min="6170" max="6170" width="4" style="610" customWidth="1"/>
    <col min="6171" max="6171" width="12.85546875" style="610" customWidth="1"/>
    <col min="6172" max="6172" width="14.7109375" style="610" customWidth="1"/>
    <col min="6173" max="6173" width="10" style="610" customWidth="1"/>
    <col min="6174" max="6174" width="6.28515625" style="610" customWidth="1"/>
    <col min="6175" max="6175" width="12.28515625" style="610" customWidth="1"/>
    <col min="6176" max="6176" width="8.5703125" style="610" customWidth="1"/>
    <col min="6177" max="6177" width="13.7109375" style="610" customWidth="1"/>
    <col min="6178" max="6178" width="11.5703125" style="610" customWidth="1"/>
    <col min="6179" max="6179" width="24.7109375" style="610" customWidth="1"/>
    <col min="6180" max="6180" width="17.42578125" style="610" customWidth="1"/>
    <col min="6181" max="6181" width="20.85546875" style="610" customWidth="1"/>
    <col min="6182" max="6182" width="26.85546875" style="610" customWidth="1"/>
    <col min="6183" max="6183" width="8" style="610" customWidth="1"/>
    <col min="6184" max="6184" width="25" style="610" customWidth="1"/>
    <col min="6185" max="6185" width="12.7109375" style="610" customWidth="1"/>
    <col min="6186" max="6186" width="16.42578125" style="610" customWidth="1"/>
    <col min="6187" max="6187" width="23.5703125" style="610" customWidth="1"/>
    <col min="6188" max="6188" width="33.7109375" style="610" customWidth="1"/>
    <col min="6189" max="6189" width="31.140625" style="610" customWidth="1"/>
    <col min="6190" max="6190" width="19.28515625" style="610" customWidth="1"/>
    <col min="6191" max="6191" width="11.7109375" style="610" customWidth="1"/>
    <col min="6192" max="6192" width="15.42578125" style="610" customWidth="1"/>
    <col min="6193" max="6193" width="5.5703125" style="610" customWidth="1"/>
    <col min="6194" max="6194" width="4.7109375" style="610" customWidth="1"/>
    <col min="6195" max="6196" width="7.28515625" style="610" customWidth="1"/>
    <col min="6197" max="6197" width="8.42578125" style="610" customWidth="1"/>
    <col min="6198" max="6198" width="9.5703125" style="610" customWidth="1"/>
    <col min="6199" max="6199" width="6.28515625" style="610" customWidth="1"/>
    <col min="6200" max="6200" width="5.85546875" style="610" customWidth="1"/>
    <col min="6201" max="6202" width="4.42578125" style="610" customWidth="1"/>
    <col min="6203" max="6203" width="5" style="610" customWidth="1"/>
    <col min="6204" max="6204" width="5.85546875" style="610" customWidth="1"/>
    <col min="6205" max="6205" width="6.140625" style="610" customWidth="1"/>
    <col min="6206" max="6206" width="6.28515625" style="610" customWidth="1"/>
    <col min="6207" max="6207" width="4.85546875" style="610" customWidth="1"/>
    <col min="6208" max="6208" width="8.140625" style="610" customWidth="1"/>
    <col min="6209" max="6209" width="11.5703125" style="610" customWidth="1"/>
    <col min="6210" max="6210" width="13.7109375" style="610" customWidth="1"/>
    <col min="6211" max="6211" width="20.85546875" style="610" customWidth="1"/>
    <col min="6212" max="6424" width="11.42578125" style="610"/>
    <col min="6425" max="6425" width="13.140625" style="610" customWidth="1"/>
    <col min="6426" max="6426" width="4" style="610" customWidth="1"/>
    <col min="6427" max="6427" width="12.85546875" style="610" customWidth="1"/>
    <col min="6428" max="6428" width="14.7109375" style="610" customWidth="1"/>
    <col min="6429" max="6429" width="10" style="610" customWidth="1"/>
    <col min="6430" max="6430" width="6.28515625" style="610" customWidth="1"/>
    <col min="6431" max="6431" width="12.28515625" style="610" customWidth="1"/>
    <col min="6432" max="6432" width="8.5703125" style="610" customWidth="1"/>
    <col min="6433" max="6433" width="13.7109375" style="610" customWidth="1"/>
    <col min="6434" max="6434" width="11.5703125" style="610" customWidth="1"/>
    <col min="6435" max="6435" width="24.7109375" style="610" customWidth="1"/>
    <col min="6436" max="6436" width="17.42578125" style="610" customWidth="1"/>
    <col min="6437" max="6437" width="20.85546875" style="610" customWidth="1"/>
    <col min="6438" max="6438" width="26.85546875" style="610" customWidth="1"/>
    <col min="6439" max="6439" width="8" style="610" customWidth="1"/>
    <col min="6440" max="6440" width="25" style="610" customWidth="1"/>
    <col min="6441" max="6441" width="12.7109375" style="610" customWidth="1"/>
    <col min="6442" max="6442" width="16.42578125" style="610" customWidth="1"/>
    <col min="6443" max="6443" width="23.5703125" style="610" customWidth="1"/>
    <col min="6444" max="6444" width="33.7109375" style="610" customWidth="1"/>
    <col min="6445" max="6445" width="31.140625" style="610" customWidth="1"/>
    <col min="6446" max="6446" width="19.28515625" style="610" customWidth="1"/>
    <col min="6447" max="6447" width="11.7109375" style="610" customWidth="1"/>
    <col min="6448" max="6448" width="15.42578125" style="610" customWidth="1"/>
    <col min="6449" max="6449" width="5.5703125" style="610" customWidth="1"/>
    <col min="6450" max="6450" width="4.7109375" style="610" customWidth="1"/>
    <col min="6451" max="6452" width="7.28515625" style="610" customWidth="1"/>
    <col min="6453" max="6453" width="8.42578125" style="610" customWidth="1"/>
    <col min="6454" max="6454" width="9.5703125" style="610" customWidth="1"/>
    <col min="6455" max="6455" width="6.28515625" style="610" customWidth="1"/>
    <col min="6456" max="6456" width="5.85546875" style="610" customWidth="1"/>
    <col min="6457" max="6458" width="4.42578125" style="610" customWidth="1"/>
    <col min="6459" max="6459" width="5" style="610" customWidth="1"/>
    <col min="6460" max="6460" width="5.85546875" style="610" customWidth="1"/>
    <col min="6461" max="6461" width="6.140625" style="610" customWidth="1"/>
    <col min="6462" max="6462" width="6.28515625" style="610" customWidth="1"/>
    <col min="6463" max="6463" width="4.85546875" style="610" customWidth="1"/>
    <col min="6464" max="6464" width="8.140625" style="610" customWidth="1"/>
    <col min="6465" max="6465" width="11.5703125" style="610" customWidth="1"/>
    <col min="6466" max="6466" width="13.7109375" style="610" customWidth="1"/>
    <col min="6467" max="6467" width="20.85546875" style="610" customWidth="1"/>
    <col min="6468" max="6680" width="11.42578125" style="610"/>
    <col min="6681" max="6681" width="13.140625" style="610" customWidth="1"/>
    <col min="6682" max="6682" width="4" style="610" customWidth="1"/>
    <col min="6683" max="6683" width="12.85546875" style="610" customWidth="1"/>
    <col min="6684" max="6684" width="14.7109375" style="610" customWidth="1"/>
    <col min="6685" max="6685" width="10" style="610" customWidth="1"/>
    <col min="6686" max="6686" width="6.28515625" style="610" customWidth="1"/>
    <col min="6687" max="6687" width="12.28515625" style="610" customWidth="1"/>
    <col min="6688" max="6688" width="8.5703125" style="610" customWidth="1"/>
    <col min="6689" max="6689" width="13.7109375" style="610" customWidth="1"/>
    <col min="6690" max="6690" width="11.5703125" style="610" customWidth="1"/>
    <col min="6691" max="6691" width="24.7109375" style="610" customWidth="1"/>
    <col min="6692" max="6692" width="17.42578125" style="610" customWidth="1"/>
    <col min="6693" max="6693" width="20.85546875" style="610" customWidth="1"/>
    <col min="6694" max="6694" width="26.85546875" style="610" customWidth="1"/>
    <col min="6695" max="6695" width="8" style="610" customWidth="1"/>
    <col min="6696" max="6696" width="25" style="610" customWidth="1"/>
    <col min="6697" max="6697" width="12.7109375" style="610" customWidth="1"/>
    <col min="6698" max="6698" width="16.42578125" style="610" customWidth="1"/>
    <col min="6699" max="6699" width="23.5703125" style="610" customWidth="1"/>
    <col min="6700" max="6700" width="33.7109375" style="610" customWidth="1"/>
    <col min="6701" max="6701" width="31.140625" style="610" customWidth="1"/>
    <col min="6702" max="6702" width="19.28515625" style="610" customWidth="1"/>
    <col min="6703" max="6703" width="11.7109375" style="610" customWidth="1"/>
    <col min="6704" max="6704" width="15.42578125" style="610" customWidth="1"/>
    <col min="6705" max="6705" width="5.5703125" style="610" customWidth="1"/>
    <col min="6706" max="6706" width="4.7109375" style="610" customWidth="1"/>
    <col min="6707" max="6708" width="7.28515625" style="610" customWidth="1"/>
    <col min="6709" max="6709" width="8.42578125" style="610" customWidth="1"/>
    <col min="6710" max="6710" width="9.5703125" style="610" customWidth="1"/>
    <col min="6711" max="6711" width="6.28515625" style="610" customWidth="1"/>
    <col min="6712" max="6712" width="5.85546875" style="610" customWidth="1"/>
    <col min="6713" max="6714" width="4.42578125" style="610" customWidth="1"/>
    <col min="6715" max="6715" width="5" style="610" customWidth="1"/>
    <col min="6716" max="6716" width="5.85546875" style="610" customWidth="1"/>
    <col min="6717" max="6717" width="6.140625" style="610" customWidth="1"/>
    <col min="6718" max="6718" width="6.28515625" style="610" customWidth="1"/>
    <col min="6719" max="6719" width="4.85546875" style="610" customWidth="1"/>
    <col min="6720" max="6720" width="8.140625" style="610" customWidth="1"/>
    <col min="6721" max="6721" width="11.5703125" style="610" customWidth="1"/>
    <col min="6722" max="6722" width="13.7109375" style="610" customWidth="1"/>
    <col min="6723" max="6723" width="20.85546875" style="610" customWidth="1"/>
    <col min="6724" max="6936" width="11.42578125" style="610"/>
    <col min="6937" max="6937" width="13.140625" style="610" customWidth="1"/>
    <col min="6938" max="6938" width="4" style="610" customWidth="1"/>
    <col min="6939" max="6939" width="12.85546875" style="610" customWidth="1"/>
    <col min="6940" max="6940" width="14.7109375" style="610" customWidth="1"/>
    <col min="6941" max="6941" width="10" style="610" customWidth="1"/>
    <col min="6942" max="6942" width="6.28515625" style="610" customWidth="1"/>
    <col min="6943" max="6943" width="12.28515625" style="610" customWidth="1"/>
    <col min="6944" max="6944" width="8.5703125" style="610" customWidth="1"/>
    <col min="6945" max="6945" width="13.7109375" style="610" customWidth="1"/>
    <col min="6946" max="6946" width="11.5703125" style="610" customWidth="1"/>
    <col min="6947" max="6947" width="24.7109375" style="610" customWidth="1"/>
    <col min="6948" max="6948" width="17.42578125" style="610" customWidth="1"/>
    <col min="6949" max="6949" width="20.85546875" style="610" customWidth="1"/>
    <col min="6950" max="6950" width="26.85546875" style="610" customWidth="1"/>
    <col min="6951" max="6951" width="8" style="610" customWidth="1"/>
    <col min="6952" max="6952" width="25" style="610" customWidth="1"/>
    <col min="6953" max="6953" width="12.7109375" style="610" customWidth="1"/>
    <col min="6954" max="6954" width="16.42578125" style="610" customWidth="1"/>
    <col min="6955" max="6955" width="23.5703125" style="610" customWidth="1"/>
    <col min="6956" max="6956" width="33.7109375" style="610" customWidth="1"/>
    <col min="6957" max="6957" width="31.140625" style="610" customWidth="1"/>
    <col min="6958" max="6958" width="19.28515625" style="610" customWidth="1"/>
    <col min="6959" max="6959" width="11.7109375" style="610" customWidth="1"/>
    <col min="6960" max="6960" width="15.42578125" style="610" customWidth="1"/>
    <col min="6961" max="6961" width="5.5703125" style="610" customWidth="1"/>
    <col min="6962" max="6962" width="4.7109375" style="610" customWidth="1"/>
    <col min="6963" max="6964" width="7.28515625" style="610" customWidth="1"/>
    <col min="6965" max="6965" width="8.42578125" style="610" customWidth="1"/>
    <col min="6966" max="6966" width="9.5703125" style="610" customWidth="1"/>
    <col min="6967" max="6967" width="6.28515625" style="610" customWidth="1"/>
    <col min="6968" max="6968" width="5.85546875" style="610" customWidth="1"/>
    <col min="6969" max="6970" width="4.42578125" style="610" customWidth="1"/>
    <col min="6971" max="6971" width="5" style="610" customWidth="1"/>
    <col min="6972" max="6972" width="5.85546875" style="610" customWidth="1"/>
    <col min="6973" max="6973" width="6.140625" style="610" customWidth="1"/>
    <col min="6974" max="6974" width="6.28515625" style="610" customWidth="1"/>
    <col min="6975" max="6975" width="4.85546875" style="610" customWidth="1"/>
    <col min="6976" max="6976" width="8.140625" style="610" customWidth="1"/>
    <col min="6977" max="6977" width="11.5703125" style="610" customWidth="1"/>
    <col min="6978" max="6978" width="13.7109375" style="610" customWidth="1"/>
    <col min="6979" max="6979" width="20.85546875" style="610" customWidth="1"/>
    <col min="6980" max="7192" width="11.42578125" style="610"/>
    <col min="7193" max="7193" width="13.140625" style="610" customWidth="1"/>
    <col min="7194" max="7194" width="4" style="610" customWidth="1"/>
    <col min="7195" max="7195" width="12.85546875" style="610" customWidth="1"/>
    <col min="7196" max="7196" width="14.7109375" style="610" customWidth="1"/>
    <col min="7197" max="7197" width="10" style="610" customWidth="1"/>
    <col min="7198" max="7198" width="6.28515625" style="610" customWidth="1"/>
    <col min="7199" max="7199" width="12.28515625" style="610" customWidth="1"/>
    <col min="7200" max="7200" width="8.5703125" style="610" customWidth="1"/>
    <col min="7201" max="7201" width="13.7109375" style="610" customWidth="1"/>
    <col min="7202" max="7202" width="11.5703125" style="610" customWidth="1"/>
    <col min="7203" max="7203" width="24.7109375" style="610" customWidth="1"/>
    <col min="7204" max="7204" width="17.42578125" style="610" customWidth="1"/>
    <col min="7205" max="7205" width="20.85546875" style="610" customWidth="1"/>
    <col min="7206" max="7206" width="26.85546875" style="610" customWidth="1"/>
    <col min="7207" max="7207" width="8" style="610" customWidth="1"/>
    <col min="7208" max="7208" width="25" style="610" customWidth="1"/>
    <col min="7209" max="7209" width="12.7109375" style="610" customWidth="1"/>
    <col min="7210" max="7210" width="16.42578125" style="610" customWidth="1"/>
    <col min="7211" max="7211" width="23.5703125" style="610" customWidth="1"/>
    <col min="7212" max="7212" width="33.7109375" style="610" customWidth="1"/>
    <col min="7213" max="7213" width="31.140625" style="610" customWidth="1"/>
    <col min="7214" max="7214" width="19.28515625" style="610" customWidth="1"/>
    <col min="7215" max="7215" width="11.7109375" style="610" customWidth="1"/>
    <col min="7216" max="7216" width="15.42578125" style="610" customWidth="1"/>
    <col min="7217" max="7217" width="5.5703125" style="610" customWidth="1"/>
    <col min="7218" max="7218" width="4.7109375" style="610" customWidth="1"/>
    <col min="7219" max="7220" width="7.28515625" style="610" customWidth="1"/>
    <col min="7221" max="7221" width="8.42578125" style="610" customWidth="1"/>
    <col min="7222" max="7222" width="9.5703125" style="610" customWidth="1"/>
    <col min="7223" max="7223" width="6.28515625" style="610" customWidth="1"/>
    <col min="7224" max="7224" width="5.85546875" style="610" customWidth="1"/>
    <col min="7225" max="7226" width="4.42578125" style="610" customWidth="1"/>
    <col min="7227" max="7227" width="5" style="610" customWidth="1"/>
    <col min="7228" max="7228" width="5.85546875" style="610" customWidth="1"/>
    <col min="7229" max="7229" width="6.140625" style="610" customWidth="1"/>
    <col min="7230" max="7230" width="6.28515625" style="610" customWidth="1"/>
    <col min="7231" max="7231" width="4.85546875" style="610" customWidth="1"/>
    <col min="7232" max="7232" width="8.140625" style="610" customWidth="1"/>
    <col min="7233" max="7233" width="11.5703125" style="610" customWidth="1"/>
    <col min="7234" max="7234" width="13.7109375" style="610" customWidth="1"/>
    <col min="7235" max="7235" width="20.85546875" style="610" customWidth="1"/>
    <col min="7236" max="7448" width="11.42578125" style="610"/>
    <col min="7449" max="7449" width="13.140625" style="610" customWidth="1"/>
    <col min="7450" max="7450" width="4" style="610" customWidth="1"/>
    <col min="7451" max="7451" width="12.85546875" style="610" customWidth="1"/>
    <col min="7452" max="7452" width="14.7109375" style="610" customWidth="1"/>
    <col min="7453" max="7453" width="10" style="610" customWidth="1"/>
    <col min="7454" max="7454" width="6.28515625" style="610" customWidth="1"/>
    <col min="7455" max="7455" width="12.28515625" style="610" customWidth="1"/>
    <col min="7456" max="7456" width="8.5703125" style="610" customWidth="1"/>
    <col min="7457" max="7457" width="13.7109375" style="610" customWidth="1"/>
    <col min="7458" max="7458" width="11.5703125" style="610" customWidth="1"/>
    <col min="7459" max="7459" width="24.7109375" style="610" customWidth="1"/>
    <col min="7460" max="7460" width="17.42578125" style="610" customWidth="1"/>
    <col min="7461" max="7461" width="20.85546875" style="610" customWidth="1"/>
    <col min="7462" max="7462" width="26.85546875" style="610" customWidth="1"/>
    <col min="7463" max="7463" width="8" style="610" customWidth="1"/>
    <col min="7464" max="7464" width="25" style="610" customWidth="1"/>
    <col min="7465" max="7465" width="12.7109375" style="610" customWidth="1"/>
    <col min="7466" max="7466" width="16.42578125" style="610" customWidth="1"/>
    <col min="7467" max="7467" width="23.5703125" style="610" customWidth="1"/>
    <col min="7468" max="7468" width="33.7109375" style="610" customWidth="1"/>
    <col min="7469" max="7469" width="31.140625" style="610" customWidth="1"/>
    <col min="7470" max="7470" width="19.28515625" style="610" customWidth="1"/>
    <col min="7471" max="7471" width="11.7109375" style="610" customWidth="1"/>
    <col min="7472" max="7472" width="15.42578125" style="610" customWidth="1"/>
    <col min="7473" max="7473" width="5.5703125" style="610" customWidth="1"/>
    <col min="7474" max="7474" width="4.7109375" style="610" customWidth="1"/>
    <col min="7475" max="7476" width="7.28515625" style="610" customWidth="1"/>
    <col min="7477" max="7477" width="8.42578125" style="610" customWidth="1"/>
    <col min="7478" max="7478" width="9.5703125" style="610" customWidth="1"/>
    <col min="7479" max="7479" width="6.28515625" style="610" customWidth="1"/>
    <col min="7480" max="7480" width="5.85546875" style="610" customWidth="1"/>
    <col min="7481" max="7482" width="4.42578125" style="610" customWidth="1"/>
    <col min="7483" max="7483" width="5" style="610" customWidth="1"/>
    <col min="7484" max="7484" width="5.85546875" style="610" customWidth="1"/>
    <col min="7485" max="7485" width="6.140625" style="610" customWidth="1"/>
    <col min="7486" max="7486" width="6.28515625" style="610" customWidth="1"/>
    <col min="7487" max="7487" width="4.85546875" style="610" customWidth="1"/>
    <col min="7488" max="7488" width="8.140625" style="610" customWidth="1"/>
    <col min="7489" max="7489" width="11.5703125" style="610" customWidth="1"/>
    <col min="7490" max="7490" width="13.7109375" style="610" customWidth="1"/>
    <col min="7491" max="7491" width="20.85546875" style="610" customWidth="1"/>
    <col min="7492" max="7704" width="11.42578125" style="610"/>
    <col min="7705" max="7705" width="13.140625" style="610" customWidth="1"/>
    <col min="7706" max="7706" width="4" style="610" customWidth="1"/>
    <col min="7707" max="7707" width="12.85546875" style="610" customWidth="1"/>
    <col min="7708" max="7708" width="14.7109375" style="610" customWidth="1"/>
    <col min="7709" max="7709" width="10" style="610" customWidth="1"/>
    <col min="7710" max="7710" width="6.28515625" style="610" customWidth="1"/>
    <col min="7711" max="7711" width="12.28515625" style="610" customWidth="1"/>
    <col min="7712" max="7712" width="8.5703125" style="610" customWidth="1"/>
    <col min="7713" max="7713" width="13.7109375" style="610" customWidth="1"/>
    <col min="7714" max="7714" width="11.5703125" style="610" customWidth="1"/>
    <col min="7715" max="7715" width="24.7109375" style="610" customWidth="1"/>
    <col min="7716" max="7716" width="17.42578125" style="610" customWidth="1"/>
    <col min="7717" max="7717" width="20.85546875" style="610" customWidth="1"/>
    <col min="7718" max="7718" width="26.85546875" style="610" customWidth="1"/>
    <col min="7719" max="7719" width="8" style="610" customWidth="1"/>
    <col min="7720" max="7720" width="25" style="610" customWidth="1"/>
    <col min="7721" max="7721" width="12.7109375" style="610" customWidth="1"/>
    <col min="7722" max="7722" width="16.42578125" style="610" customWidth="1"/>
    <col min="7723" max="7723" width="23.5703125" style="610" customWidth="1"/>
    <col min="7724" max="7724" width="33.7109375" style="610" customWidth="1"/>
    <col min="7725" max="7725" width="31.140625" style="610" customWidth="1"/>
    <col min="7726" max="7726" width="19.28515625" style="610" customWidth="1"/>
    <col min="7727" max="7727" width="11.7109375" style="610" customWidth="1"/>
    <col min="7728" max="7728" width="15.42578125" style="610" customWidth="1"/>
    <col min="7729" max="7729" width="5.5703125" style="610" customWidth="1"/>
    <col min="7730" max="7730" width="4.7109375" style="610" customWidth="1"/>
    <col min="7731" max="7732" width="7.28515625" style="610" customWidth="1"/>
    <col min="7733" max="7733" width="8.42578125" style="610" customWidth="1"/>
    <col min="7734" max="7734" width="9.5703125" style="610" customWidth="1"/>
    <col min="7735" max="7735" width="6.28515625" style="610" customWidth="1"/>
    <col min="7736" max="7736" width="5.85546875" style="610" customWidth="1"/>
    <col min="7737" max="7738" width="4.42578125" style="610" customWidth="1"/>
    <col min="7739" max="7739" width="5" style="610" customWidth="1"/>
    <col min="7740" max="7740" width="5.85546875" style="610" customWidth="1"/>
    <col min="7741" max="7741" width="6.140625" style="610" customWidth="1"/>
    <col min="7742" max="7742" width="6.28515625" style="610" customWidth="1"/>
    <col min="7743" max="7743" width="4.85546875" style="610" customWidth="1"/>
    <col min="7744" max="7744" width="8.140625" style="610" customWidth="1"/>
    <col min="7745" max="7745" width="11.5703125" style="610" customWidth="1"/>
    <col min="7746" max="7746" width="13.7109375" style="610" customWidth="1"/>
    <col min="7747" max="7747" width="20.85546875" style="610" customWidth="1"/>
    <col min="7748" max="7960" width="11.42578125" style="610"/>
    <col min="7961" max="7961" width="13.140625" style="610" customWidth="1"/>
    <col min="7962" max="7962" width="4" style="610" customWidth="1"/>
    <col min="7963" max="7963" width="12.85546875" style="610" customWidth="1"/>
    <col min="7964" max="7964" width="14.7109375" style="610" customWidth="1"/>
    <col min="7965" max="7965" width="10" style="610" customWidth="1"/>
    <col min="7966" max="7966" width="6.28515625" style="610" customWidth="1"/>
    <col min="7967" max="7967" width="12.28515625" style="610" customWidth="1"/>
    <col min="7968" max="7968" width="8.5703125" style="610" customWidth="1"/>
    <col min="7969" max="7969" width="13.7109375" style="610" customWidth="1"/>
    <col min="7970" max="7970" width="11.5703125" style="610" customWidth="1"/>
    <col min="7971" max="7971" width="24.7109375" style="610" customWidth="1"/>
    <col min="7972" max="7972" width="17.42578125" style="610" customWidth="1"/>
    <col min="7973" max="7973" width="20.85546875" style="610" customWidth="1"/>
    <col min="7974" max="7974" width="26.85546875" style="610" customWidth="1"/>
    <col min="7975" max="7975" width="8" style="610" customWidth="1"/>
    <col min="7976" max="7976" width="25" style="610" customWidth="1"/>
    <col min="7977" max="7977" width="12.7109375" style="610" customWidth="1"/>
    <col min="7978" max="7978" width="16.42578125" style="610" customWidth="1"/>
    <col min="7979" max="7979" width="23.5703125" style="610" customWidth="1"/>
    <col min="7980" max="7980" width="33.7109375" style="610" customWidth="1"/>
    <col min="7981" max="7981" width="31.140625" style="610" customWidth="1"/>
    <col min="7982" max="7982" width="19.28515625" style="610" customWidth="1"/>
    <col min="7983" max="7983" width="11.7109375" style="610" customWidth="1"/>
    <col min="7984" max="7984" width="15.42578125" style="610" customWidth="1"/>
    <col min="7985" max="7985" width="5.5703125" style="610" customWidth="1"/>
    <col min="7986" max="7986" width="4.7109375" style="610" customWidth="1"/>
    <col min="7987" max="7988" width="7.28515625" style="610" customWidth="1"/>
    <col min="7989" max="7989" width="8.42578125" style="610" customWidth="1"/>
    <col min="7990" max="7990" width="9.5703125" style="610" customWidth="1"/>
    <col min="7991" max="7991" width="6.28515625" style="610" customWidth="1"/>
    <col min="7992" max="7992" width="5.85546875" style="610" customWidth="1"/>
    <col min="7993" max="7994" width="4.42578125" style="610" customWidth="1"/>
    <col min="7995" max="7995" width="5" style="610" customWidth="1"/>
    <col min="7996" max="7996" width="5.85546875" style="610" customWidth="1"/>
    <col min="7997" max="7997" width="6.140625" style="610" customWidth="1"/>
    <col min="7998" max="7998" width="6.28515625" style="610" customWidth="1"/>
    <col min="7999" max="7999" width="4.85546875" style="610" customWidth="1"/>
    <col min="8000" max="8000" width="8.140625" style="610" customWidth="1"/>
    <col min="8001" max="8001" width="11.5703125" style="610" customWidth="1"/>
    <col min="8002" max="8002" width="13.7109375" style="610" customWidth="1"/>
    <col min="8003" max="8003" width="20.85546875" style="610" customWidth="1"/>
    <col min="8004" max="8216" width="11.42578125" style="610"/>
    <col min="8217" max="8217" width="13.140625" style="610" customWidth="1"/>
    <col min="8218" max="8218" width="4" style="610" customWidth="1"/>
    <col min="8219" max="8219" width="12.85546875" style="610" customWidth="1"/>
    <col min="8220" max="8220" width="14.7109375" style="610" customWidth="1"/>
    <col min="8221" max="8221" width="10" style="610" customWidth="1"/>
    <col min="8222" max="8222" width="6.28515625" style="610" customWidth="1"/>
    <col min="8223" max="8223" width="12.28515625" style="610" customWidth="1"/>
    <col min="8224" max="8224" width="8.5703125" style="610" customWidth="1"/>
    <col min="8225" max="8225" width="13.7109375" style="610" customWidth="1"/>
    <col min="8226" max="8226" width="11.5703125" style="610" customWidth="1"/>
    <col min="8227" max="8227" width="24.7109375" style="610" customWidth="1"/>
    <col min="8228" max="8228" width="17.42578125" style="610" customWidth="1"/>
    <col min="8229" max="8229" width="20.85546875" style="610" customWidth="1"/>
    <col min="8230" max="8230" width="26.85546875" style="610" customWidth="1"/>
    <col min="8231" max="8231" width="8" style="610" customWidth="1"/>
    <col min="8232" max="8232" width="25" style="610" customWidth="1"/>
    <col min="8233" max="8233" width="12.7109375" style="610" customWidth="1"/>
    <col min="8234" max="8234" width="16.42578125" style="610" customWidth="1"/>
    <col min="8235" max="8235" width="23.5703125" style="610" customWidth="1"/>
    <col min="8236" max="8236" width="33.7109375" style="610" customWidth="1"/>
    <col min="8237" max="8237" width="31.140625" style="610" customWidth="1"/>
    <col min="8238" max="8238" width="19.28515625" style="610" customWidth="1"/>
    <col min="8239" max="8239" width="11.7109375" style="610" customWidth="1"/>
    <col min="8240" max="8240" width="15.42578125" style="610" customWidth="1"/>
    <col min="8241" max="8241" width="5.5703125" style="610" customWidth="1"/>
    <col min="8242" max="8242" width="4.7109375" style="610" customWidth="1"/>
    <col min="8243" max="8244" width="7.28515625" style="610" customWidth="1"/>
    <col min="8245" max="8245" width="8.42578125" style="610" customWidth="1"/>
    <col min="8246" max="8246" width="9.5703125" style="610" customWidth="1"/>
    <col min="8247" max="8247" width="6.28515625" style="610" customWidth="1"/>
    <col min="8248" max="8248" width="5.85546875" style="610" customWidth="1"/>
    <col min="8249" max="8250" width="4.42578125" style="610" customWidth="1"/>
    <col min="8251" max="8251" width="5" style="610" customWidth="1"/>
    <col min="8252" max="8252" width="5.85546875" style="610" customWidth="1"/>
    <col min="8253" max="8253" width="6.140625" style="610" customWidth="1"/>
    <col min="8254" max="8254" width="6.28515625" style="610" customWidth="1"/>
    <col min="8255" max="8255" width="4.85546875" style="610" customWidth="1"/>
    <col min="8256" max="8256" width="8.140625" style="610" customWidth="1"/>
    <col min="8257" max="8257" width="11.5703125" style="610" customWidth="1"/>
    <col min="8258" max="8258" width="13.7109375" style="610" customWidth="1"/>
    <col min="8259" max="8259" width="20.85546875" style="610" customWidth="1"/>
    <col min="8260" max="8472" width="11.42578125" style="610"/>
    <col min="8473" max="8473" width="13.140625" style="610" customWidth="1"/>
    <col min="8474" max="8474" width="4" style="610" customWidth="1"/>
    <col min="8475" max="8475" width="12.85546875" style="610" customWidth="1"/>
    <col min="8476" max="8476" width="14.7109375" style="610" customWidth="1"/>
    <col min="8477" max="8477" width="10" style="610" customWidth="1"/>
    <col min="8478" max="8478" width="6.28515625" style="610" customWidth="1"/>
    <col min="8479" max="8479" width="12.28515625" style="610" customWidth="1"/>
    <col min="8480" max="8480" width="8.5703125" style="610" customWidth="1"/>
    <col min="8481" max="8481" width="13.7109375" style="610" customWidth="1"/>
    <col min="8482" max="8482" width="11.5703125" style="610" customWidth="1"/>
    <col min="8483" max="8483" width="24.7109375" style="610" customWidth="1"/>
    <col min="8484" max="8484" width="17.42578125" style="610" customWidth="1"/>
    <col min="8485" max="8485" width="20.85546875" style="610" customWidth="1"/>
    <col min="8486" max="8486" width="26.85546875" style="610" customWidth="1"/>
    <col min="8487" max="8487" width="8" style="610" customWidth="1"/>
    <col min="8488" max="8488" width="25" style="610" customWidth="1"/>
    <col min="8489" max="8489" width="12.7109375" style="610" customWidth="1"/>
    <col min="8490" max="8490" width="16.42578125" style="610" customWidth="1"/>
    <col min="8491" max="8491" width="23.5703125" style="610" customWidth="1"/>
    <col min="8492" max="8492" width="33.7109375" style="610" customWidth="1"/>
    <col min="8493" max="8493" width="31.140625" style="610" customWidth="1"/>
    <col min="8494" max="8494" width="19.28515625" style="610" customWidth="1"/>
    <col min="8495" max="8495" width="11.7109375" style="610" customWidth="1"/>
    <col min="8496" max="8496" width="15.42578125" style="610" customWidth="1"/>
    <col min="8497" max="8497" width="5.5703125" style="610" customWidth="1"/>
    <col min="8498" max="8498" width="4.7109375" style="610" customWidth="1"/>
    <col min="8499" max="8500" width="7.28515625" style="610" customWidth="1"/>
    <col min="8501" max="8501" width="8.42578125" style="610" customWidth="1"/>
    <col min="8502" max="8502" width="9.5703125" style="610" customWidth="1"/>
    <col min="8503" max="8503" width="6.28515625" style="610" customWidth="1"/>
    <col min="8504" max="8504" width="5.85546875" style="610" customWidth="1"/>
    <col min="8505" max="8506" width="4.42578125" style="610" customWidth="1"/>
    <col min="8507" max="8507" width="5" style="610" customWidth="1"/>
    <col min="8508" max="8508" width="5.85546875" style="610" customWidth="1"/>
    <col min="8509" max="8509" width="6.140625" style="610" customWidth="1"/>
    <col min="8510" max="8510" width="6.28515625" style="610" customWidth="1"/>
    <col min="8511" max="8511" width="4.85546875" style="610" customWidth="1"/>
    <col min="8512" max="8512" width="8.140625" style="610" customWidth="1"/>
    <col min="8513" max="8513" width="11.5703125" style="610" customWidth="1"/>
    <col min="8514" max="8514" width="13.7109375" style="610" customWidth="1"/>
    <col min="8515" max="8515" width="20.85546875" style="610" customWidth="1"/>
    <col min="8516" max="8728" width="11.42578125" style="610"/>
    <col min="8729" max="8729" width="13.140625" style="610" customWidth="1"/>
    <col min="8730" max="8730" width="4" style="610" customWidth="1"/>
    <col min="8731" max="8731" width="12.85546875" style="610" customWidth="1"/>
    <col min="8732" max="8732" width="14.7109375" style="610" customWidth="1"/>
    <col min="8733" max="8733" width="10" style="610" customWidth="1"/>
    <col min="8734" max="8734" width="6.28515625" style="610" customWidth="1"/>
    <col min="8735" max="8735" width="12.28515625" style="610" customWidth="1"/>
    <col min="8736" max="8736" width="8.5703125" style="610" customWidth="1"/>
    <col min="8737" max="8737" width="13.7109375" style="610" customWidth="1"/>
    <col min="8738" max="8738" width="11.5703125" style="610" customWidth="1"/>
    <col min="8739" max="8739" width="24.7109375" style="610" customWidth="1"/>
    <col min="8740" max="8740" width="17.42578125" style="610" customWidth="1"/>
    <col min="8741" max="8741" width="20.85546875" style="610" customWidth="1"/>
    <col min="8742" max="8742" width="26.85546875" style="610" customWidth="1"/>
    <col min="8743" max="8743" width="8" style="610" customWidth="1"/>
    <col min="8744" max="8744" width="25" style="610" customWidth="1"/>
    <col min="8745" max="8745" width="12.7109375" style="610" customWidth="1"/>
    <col min="8746" max="8746" width="16.42578125" style="610" customWidth="1"/>
    <col min="8747" max="8747" width="23.5703125" style="610" customWidth="1"/>
    <col min="8748" max="8748" width="33.7109375" style="610" customWidth="1"/>
    <col min="8749" max="8749" width="31.140625" style="610" customWidth="1"/>
    <col min="8750" max="8750" width="19.28515625" style="610" customWidth="1"/>
    <col min="8751" max="8751" width="11.7109375" style="610" customWidth="1"/>
    <col min="8752" max="8752" width="15.42578125" style="610" customWidth="1"/>
    <col min="8753" max="8753" width="5.5703125" style="610" customWidth="1"/>
    <col min="8754" max="8754" width="4.7109375" style="610" customWidth="1"/>
    <col min="8755" max="8756" width="7.28515625" style="610" customWidth="1"/>
    <col min="8757" max="8757" width="8.42578125" style="610" customWidth="1"/>
    <col min="8758" max="8758" width="9.5703125" style="610" customWidth="1"/>
    <col min="8759" max="8759" width="6.28515625" style="610" customWidth="1"/>
    <col min="8760" max="8760" width="5.85546875" style="610" customWidth="1"/>
    <col min="8761" max="8762" width="4.42578125" style="610" customWidth="1"/>
    <col min="8763" max="8763" width="5" style="610" customWidth="1"/>
    <col min="8764" max="8764" width="5.85546875" style="610" customWidth="1"/>
    <col min="8765" max="8765" width="6.140625" style="610" customWidth="1"/>
    <col min="8766" max="8766" width="6.28515625" style="610" customWidth="1"/>
    <col min="8767" max="8767" width="4.85546875" style="610" customWidth="1"/>
    <col min="8768" max="8768" width="8.140625" style="610" customWidth="1"/>
    <col min="8769" max="8769" width="11.5703125" style="610" customWidth="1"/>
    <col min="8770" max="8770" width="13.7109375" style="610" customWidth="1"/>
    <col min="8771" max="8771" width="20.85546875" style="610" customWidth="1"/>
    <col min="8772" max="8984" width="11.42578125" style="610"/>
    <col min="8985" max="8985" width="13.140625" style="610" customWidth="1"/>
    <col min="8986" max="8986" width="4" style="610" customWidth="1"/>
    <col min="8987" max="8987" width="12.85546875" style="610" customWidth="1"/>
    <col min="8988" max="8988" width="14.7109375" style="610" customWidth="1"/>
    <col min="8989" max="8989" width="10" style="610" customWidth="1"/>
    <col min="8990" max="8990" width="6.28515625" style="610" customWidth="1"/>
    <col min="8991" max="8991" width="12.28515625" style="610" customWidth="1"/>
    <col min="8992" max="8992" width="8.5703125" style="610" customWidth="1"/>
    <col min="8993" max="8993" width="13.7109375" style="610" customWidth="1"/>
    <col min="8994" max="8994" width="11.5703125" style="610" customWidth="1"/>
    <col min="8995" max="8995" width="24.7109375" style="610" customWidth="1"/>
    <col min="8996" max="8996" width="17.42578125" style="610" customWidth="1"/>
    <col min="8997" max="8997" width="20.85546875" style="610" customWidth="1"/>
    <col min="8998" max="8998" width="26.85546875" style="610" customWidth="1"/>
    <col min="8999" max="8999" width="8" style="610" customWidth="1"/>
    <col min="9000" max="9000" width="25" style="610" customWidth="1"/>
    <col min="9001" max="9001" width="12.7109375" style="610" customWidth="1"/>
    <col min="9002" max="9002" width="16.42578125" style="610" customWidth="1"/>
    <col min="9003" max="9003" width="23.5703125" style="610" customWidth="1"/>
    <col min="9004" max="9004" width="33.7109375" style="610" customWidth="1"/>
    <col min="9005" max="9005" width="31.140625" style="610" customWidth="1"/>
    <col min="9006" max="9006" width="19.28515625" style="610" customWidth="1"/>
    <col min="9007" max="9007" width="11.7109375" style="610" customWidth="1"/>
    <col min="9008" max="9008" width="15.42578125" style="610" customWidth="1"/>
    <col min="9009" max="9009" width="5.5703125" style="610" customWidth="1"/>
    <col min="9010" max="9010" width="4.7109375" style="610" customWidth="1"/>
    <col min="9011" max="9012" width="7.28515625" style="610" customWidth="1"/>
    <col min="9013" max="9013" width="8.42578125" style="610" customWidth="1"/>
    <col min="9014" max="9014" width="9.5703125" style="610" customWidth="1"/>
    <col min="9015" max="9015" width="6.28515625" style="610" customWidth="1"/>
    <col min="9016" max="9016" width="5.85546875" style="610" customWidth="1"/>
    <col min="9017" max="9018" width="4.42578125" style="610" customWidth="1"/>
    <col min="9019" max="9019" width="5" style="610" customWidth="1"/>
    <col min="9020" max="9020" width="5.85546875" style="610" customWidth="1"/>
    <col min="9021" max="9021" width="6.140625" style="610" customWidth="1"/>
    <col min="9022" max="9022" width="6.28515625" style="610" customWidth="1"/>
    <col min="9023" max="9023" width="4.85546875" style="610" customWidth="1"/>
    <col min="9024" max="9024" width="8.140625" style="610" customWidth="1"/>
    <col min="9025" max="9025" width="11.5703125" style="610" customWidth="1"/>
    <col min="9026" max="9026" width="13.7109375" style="610" customWidth="1"/>
    <col min="9027" max="9027" width="20.85546875" style="610" customWidth="1"/>
    <col min="9028" max="9240" width="11.42578125" style="610"/>
    <col min="9241" max="9241" width="13.140625" style="610" customWidth="1"/>
    <col min="9242" max="9242" width="4" style="610" customWidth="1"/>
    <col min="9243" max="9243" width="12.85546875" style="610" customWidth="1"/>
    <col min="9244" max="9244" width="14.7109375" style="610" customWidth="1"/>
    <col min="9245" max="9245" width="10" style="610" customWidth="1"/>
    <col min="9246" max="9246" width="6.28515625" style="610" customWidth="1"/>
    <col min="9247" max="9247" width="12.28515625" style="610" customWidth="1"/>
    <col min="9248" max="9248" width="8.5703125" style="610" customWidth="1"/>
    <col min="9249" max="9249" width="13.7109375" style="610" customWidth="1"/>
    <col min="9250" max="9250" width="11.5703125" style="610" customWidth="1"/>
    <col min="9251" max="9251" width="24.7109375" style="610" customWidth="1"/>
    <col min="9252" max="9252" width="17.42578125" style="610" customWidth="1"/>
    <col min="9253" max="9253" width="20.85546875" style="610" customWidth="1"/>
    <col min="9254" max="9254" width="26.85546875" style="610" customWidth="1"/>
    <col min="9255" max="9255" width="8" style="610" customWidth="1"/>
    <col min="9256" max="9256" width="25" style="610" customWidth="1"/>
    <col min="9257" max="9257" width="12.7109375" style="610" customWidth="1"/>
    <col min="9258" max="9258" width="16.42578125" style="610" customWidth="1"/>
    <col min="9259" max="9259" width="23.5703125" style="610" customWidth="1"/>
    <col min="9260" max="9260" width="33.7109375" style="610" customWidth="1"/>
    <col min="9261" max="9261" width="31.140625" style="610" customWidth="1"/>
    <col min="9262" max="9262" width="19.28515625" style="610" customWidth="1"/>
    <col min="9263" max="9263" width="11.7109375" style="610" customWidth="1"/>
    <col min="9264" max="9264" width="15.42578125" style="610" customWidth="1"/>
    <col min="9265" max="9265" width="5.5703125" style="610" customWidth="1"/>
    <col min="9266" max="9266" width="4.7109375" style="610" customWidth="1"/>
    <col min="9267" max="9268" width="7.28515625" style="610" customWidth="1"/>
    <col min="9269" max="9269" width="8.42578125" style="610" customWidth="1"/>
    <col min="9270" max="9270" width="9.5703125" style="610" customWidth="1"/>
    <col min="9271" max="9271" width="6.28515625" style="610" customWidth="1"/>
    <col min="9272" max="9272" width="5.85546875" style="610" customWidth="1"/>
    <col min="9273" max="9274" width="4.42578125" style="610" customWidth="1"/>
    <col min="9275" max="9275" width="5" style="610" customWidth="1"/>
    <col min="9276" max="9276" width="5.85546875" style="610" customWidth="1"/>
    <col min="9277" max="9277" width="6.140625" style="610" customWidth="1"/>
    <col min="9278" max="9278" width="6.28515625" style="610" customWidth="1"/>
    <col min="9279" max="9279" width="4.85546875" style="610" customWidth="1"/>
    <col min="9280" max="9280" width="8.140625" style="610" customWidth="1"/>
    <col min="9281" max="9281" width="11.5703125" style="610" customWidth="1"/>
    <col min="9282" max="9282" width="13.7109375" style="610" customWidth="1"/>
    <col min="9283" max="9283" width="20.85546875" style="610" customWidth="1"/>
    <col min="9284" max="9496" width="11.42578125" style="610"/>
    <col min="9497" max="9497" width="13.140625" style="610" customWidth="1"/>
    <col min="9498" max="9498" width="4" style="610" customWidth="1"/>
    <col min="9499" max="9499" width="12.85546875" style="610" customWidth="1"/>
    <col min="9500" max="9500" width="14.7109375" style="610" customWidth="1"/>
    <col min="9501" max="9501" width="10" style="610" customWidth="1"/>
    <col min="9502" max="9502" width="6.28515625" style="610" customWidth="1"/>
    <col min="9503" max="9503" width="12.28515625" style="610" customWidth="1"/>
    <col min="9504" max="9504" width="8.5703125" style="610" customWidth="1"/>
    <col min="9505" max="9505" width="13.7109375" style="610" customWidth="1"/>
    <col min="9506" max="9506" width="11.5703125" style="610" customWidth="1"/>
    <col min="9507" max="9507" width="24.7109375" style="610" customWidth="1"/>
    <col min="9508" max="9508" width="17.42578125" style="610" customWidth="1"/>
    <col min="9509" max="9509" width="20.85546875" style="610" customWidth="1"/>
    <col min="9510" max="9510" width="26.85546875" style="610" customWidth="1"/>
    <col min="9511" max="9511" width="8" style="610" customWidth="1"/>
    <col min="9512" max="9512" width="25" style="610" customWidth="1"/>
    <col min="9513" max="9513" width="12.7109375" style="610" customWidth="1"/>
    <col min="9514" max="9514" width="16.42578125" style="610" customWidth="1"/>
    <col min="9515" max="9515" width="23.5703125" style="610" customWidth="1"/>
    <col min="9516" max="9516" width="33.7109375" style="610" customWidth="1"/>
    <col min="9517" max="9517" width="31.140625" style="610" customWidth="1"/>
    <col min="9518" max="9518" width="19.28515625" style="610" customWidth="1"/>
    <col min="9519" max="9519" width="11.7109375" style="610" customWidth="1"/>
    <col min="9520" max="9520" width="15.42578125" style="610" customWidth="1"/>
    <col min="9521" max="9521" width="5.5703125" style="610" customWidth="1"/>
    <col min="9522" max="9522" width="4.7109375" style="610" customWidth="1"/>
    <col min="9523" max="9524" width="7.28515625" style="610" customWidth="1"/>
    <col min="9525" max="9525" width="8.42578125" style="610" customWidth="1"/>
    <col min="9526" max="9526" width="9.5703125" style="610" customWidth="1"/>
    <col min="9527" max="9527" width="6.28515625" style="610" customWidth="1"/>
    <col min="9528" max="9528" width="5.85546875" style="610" customWidth="1"/>
    <col min="9529" max="9530" width="4.42578125" style="610" customWidth="1"/>
    <col min="9531" max="9531" width="5" style="610" customWidth="1"/>
    <col min="9532" max="9532" width="5.85546875" style="610" customWidth="1"/>
    <col min="9533" max="9533" width="6.140625" style="610" customWidth="1"/>
    <col min="9534" max="9534" width="6.28515625" style="610" customWidth="1"/>
    <col min="9535" max="9535" width="4.85546875" style="610" customWidth="1"/>
    <col min="9536" max="9536" width="8.140625" style="610" customWidth="1"/>
    <col min="9537" max="9537" width="11.5703125" style="610" customWidth="1"/>
    <col min="9538" max="9538" width="13.7109375" style="610" customWidth="1"/>
    <col min="9539" max="9539" width="20.85546875" style="610" customWidth="1"/>
    <col min="9540" max="9752" width="11.42578125" style="610"/>
    <col min="9753" max="9753" width="13.140625" style="610" customWidth="1"/>
    <col min="9754" max="9754" width="4" style="610" customWidth="1"/>
    <col min="9755" max="9755" width="12.85546875" style="610" customWidth="1"/>
    <col min="9756" max="9756" width="14.7109375" style="610" customWidth="1"/>
    <col min="9757" max="9757" width="10" style="610" customWidth="1"/>
    <col min="9758" max="9758" width="6.28515625" style="610" customWidth="1"/>
    <col min="9759" max="9759" width="12.28515625" style="610" customWidth="1"/>
    <col min="9760" max="9760" width="8.5703125" style="610" customWidth="1"/>
    <col min="9761" max="9761" width="13.7109375" style="610" customWidth="1"/>
    <col min="9762" max="9762" width="11.5703125" style="610" customWidth="1"/>
    <col min="9763" max="9763" width="24.7109375" style="610" customWidth="1"/>
    <col min="9764" max="9764" width="17.42578125" style="610" customWidth="1"/>
    <col min="9765" max="9765" width="20.85546875" style="610" customWidth="1"/>
    <col min="9766" max="9766" width="26.85546875" style="610" customWidth="1"/>
    <col min="9767" max="9767" width="8" style="610" customWidth="1"/>
    <col min="9768" max="9768" width="25" style="610" customWidth="1"/>
    <col min="9769" max="9769" width="12.7109375" style="610" customWidth="1"/>
    <col min="9770" max="9770" width="16.42578125" style="610" customWidth="1"/>
    <col min="9771" max="9771" width="23.5703125" style="610" customWidth="1"/>
    <col min="9772" max="9772" width="33.7109375" style="610" customWidth="1"/>
    <col min="9773" max="9773" width="31.140625" style="610" customWidth="1"/>
    <col min="9774" max="9774" width="19.28515625" style="610" customWidth="1"/>
    <col min="9775" max="9775" width="11.7109375" style="610" customWidth="1"/>
    <col min="9776" max="9776" width="15.42578125" style="610" customWidth="1"/>
    <col min="9777" max="9777" width="5.5703125" style="610" customWidth="1"/>
    <col min="9778" max="9778" width="4.7109375" style="610" customWidth="1"/>
    <col min="9779" max="9780" width="7.28515625" style="610" customWidth="1"/>
    <col min="9781" max="9781" width="8.42578125" style="610" customWidth="1"/>
    <col min="9782" max="9782" width="9.5703125" style="610" customWidth="1"/>
    <col min="9783" max="9783" width="6.28515625" style="610" customWidth="1"/>
    <col min="9784" max="9784" width="5.85546875" style="610" customWidth="1"/>
    <col min="9785" max="9786" width="4.42578125" style="610" customWidth="1"/>
    <col min="9787" max="9787" width="5" style="610" customWidth="1"/>
    <col min="9788" max="9788" width="5.85546875" style="610" customWidth="1"/>
    <col min="9789" max="9789" width="6.140625" style="610" customWidth="1"/>
    <col min="9790" max="9790" width="6.28515625" style="610" customWidth="1"/>
    <col min="9791" max="9791" width="4.85546875" style="610" customWidth="1"/>
    <col min="9792" max="9792" width="8.140625" style="610" customWidth="1"/>
    <col min="9793" max="9793" width="11.5703125" style="610" customWidth="1"/>
    <col min="9794" max="9794" width="13.7109375" style="610" customWidth="1"/>
    <col min="9795" max="9795" width="20.85546875" style="610" customWidth="1"/>
    <col min="9796" max="10008" width="11.42578125" style="610"/>
    <col min="10009" max="10009" width="13.140625" style="610" customWidth="1"/>
    <col min="10010" max="10010" width="4" style="610" customWidth="1"/>
    <col min="10011" max="10011" width="12.85546875" style="610" customWidth="1"/>
    <col min="10012" max="10012" width="14.7109375" style="610" customWidth="1"/>
    <col min="10013" max="10013" width="10" style="610" customWidth="1"/>
    <col min="10014" max="10014" width="6.28515625" style="610" customWidth="1"/>
    <col min="10015" max="10015" width="12.28515625" style="610" customWidth="1"/>
    <col min="10016" max="10016" width="8.5703125" style="610" customWidth="1"/>
    <col min="10017" max="10017" width="13.7109375" style="610" customWidth="1"/>
    <col min="10018" max="10018" width="11.5703125" style="610" customWidth="1"/>
    <col min="10019" max="10019" width="24.7109375" style="610" customWidth="1"/>
    <col min="10020" max="10020" width="17.42578125" style="610" customWidth="1"/>
    <col min="10021" max="10021" width="20.85546875" style="610" customWidth="1"/>
    <col min="10022" max="10022" width="26.85546875" style="610" customWidth="1"/>
    <col min="10023" max="10023" width="8" style="610" customWidth="1"/>
    <col min="10024" max="10024" width="25" style="610" customWidth="1"/>
    <col min="10025" max="10025" width="12.7109375" style="610" customWidth="1"/>
    <col min="10026" max="10026" width="16.42578125" style="610" customWidth="1"/>
    <col min="10027" max="10027" width="23.5703125" style="610" customWidth="1"/>
    <col min="10028" max="10028" width="33.7109375" style="610" customWidth="1"/>
    <col min="10029" max="10029" width="31.140625" style="610" customWidth="1"/>
    <col min="10030" max="10030" width="19.28515625" style="610" customWidth="1"/>
    <col min="10031" max="10031" width="11.7109375" style="610" customWidth="1"/>
    <col min="10032" max="10032" width="15.42578125" style="610" customWidth="1"/>
    <col min="10033" max="10033" width="5.5703125" style="610" customWidth="1"/>
    <col min="10034" max="10034" width="4.7109375" style="610" customWidth="1"/>
    <col min="10035" max="10036" width="7.28515625" style="610" customWidth="1"/>
    <col min="10037" max="10037" width="8.42578125" style="610" customWidth="1"/>
    <col min="10038" max="10038" width="9.5703125" style="610" customWidth="1"/>
    <col min="10039" max="10039" width="6.28515625" style="610" customWidth="1"/>
    <col min="10040" max="10040" width="5.85546875" style="610" customWidth="1"/>
    <col min="10041" max="10042" width="4.42578125" style="610" customWidth="1"/>
    <col min="10043" max="10043" width="5" style="610" customWidth="1"/>
    <col min="10044" max="10044" width="5.85546875" style="610" customWidth="1"/>
    <col min="10045" max="10045" width="6.140625" style="610" customWidth="1"/>
    <col min="10046" max="10046" width="6.28515625" style="610" customWidth="1"/>
    <col min="10047" max="10047" width="4.85546875" style="610" customWidth="1"/>
    <col min="10048" max="10048" width="8.140625" style="610" customWidth="1"/>
    <col min="10049" max="10049" width="11.5703125" style="610" customWidth="1"/>
    <col min="10050" max="10050" width="13.7109375" style="610" customWidth="1"/>
    <col min="10051" max="10051" width="20.85546875" style="610" customWidth="1"/>
    <col min="10052" max="10264" width="11.42578125" style="610"/>
    <col min="10265" max="10265" width="13.140625" style="610" customWidth="1"/>
    <col min="10266" max="10266" width="4" style="610" customWidth="1"/>
    <col min="10267" max="10267" width="12.85546875" style="610" customWidth="1"/>
    <col min="10268" max="10268" width="14.7109375" style="610" customWidth="1"/>
    <col min="10269" max="10269" width="10" style="610" customWidth="1"/>
    <col min="10270" max="10270" width="6.28515625" style="610" customWidth="1"/>
    <col min="10271" max="10271" width="12.28515625" style="610" customWidth="1"/>
    <col min="10272" max="10272" width="8.5703125" style="610" customWidth="1"/>
    <col min="10273" max="10273" width="13.7109375" style="610" customWidth="1"/>
    <col min="10274" max="10274" width="11.5703125" style="610" customWidth="1"/>
    <col min="10275" max="10275" width="24.7109375" style="610" customWidth="1"/>
    <col min="10276" max="10276" width="17.42578125" style="610" customWidth="1"/>
    <col min="10277" max="10277" width="20.85546875" style="610" customWidth="1"/>
    <col min="10278" max="10278" width="26.85546875" style="610" customWidth="1"/>
    <col min="10279" max="10279" width="8" style="610" customWidth="1"/>
    <col min="10280" max="10280" width="25" style="610" customWidth="1"/>
    <col min="10281" max="10281" width="12.7109375" style="610" customWidth="1"/>
    <col min="10282" max="10282" width="16.42578125" style="610" customWidth="1"/>
    <col min="10283" max="10283" width="23.5703125" style="610" customWidth="1"/>
    <col min="10284" max="10284" width="33.7109375" style="610" customWidth="1"/>
    <col min="10285" max="10285" width="31.140625" style="610" customWidth="1"/>
    <col min="10286" max="10286" width="19.28515625" style="610" customWidth="1"/>
    <col min="10287" max="10287" width="11.7109375" style="610" customWidth="1"/>
    <col min="10288" max="10288" width="15.42578125" style="610" customWidth="1"/>
    <col min="10289" max="10289" width="5.5703125" style="610" customWidth="1"/>
    <col min="10290" max="10290" width="4.7109375" style="610" customWidth="1"/>
    <col min="10291" max="10292" width="7.28515625" style="610" customWidth="1"/>
    <col min="10293" max="10293" width="8.42578125" style="610" customWidth="1"/>
    <col min="10294" max="10294" width="9.5703125" style="610" customWidth="1"/>
    <col min="10295" max="10295" width="6.28515625" style="610" customWidth="1"/>
    <col min="10296" max="10296" width="5.85546875" style="610" customWidth="1"/>
    <col min="10297" max="10298" width="4.42578125" style="610" customWidth="1"/>
    <col min="10299" max="10299" width="5" style="610" customWidth="1"/>
    <col min="10300" max="10300" width="5.85546875" style="610" customWidth="1"/>
    <col min="10301" max="10301" width="6.140625" style="610" customWidth="1"/>
    <col min="10302" max="10302" width="6.28515625" style="610" customWidth="1"/>
    <col min="10303" max="10303" width="4.85546875" style="610" customWidth="1"/>
    <col min="10304" max="10304" width="8.140625" style="610" customWidth="1"/>
    <col min="10305" max="10305" width="11.5703125" style="610" customWidth="1"/>
    <col min="10306" max="10306" width="13.7109375" style="610" customWidth="1"/>
    <col min="10307" max="10307" width="20.85546875" style="610" customWidth="1"/>
    <col min="10308" max="10520" width="11.42578125" style="610"/>
    <col min="10521" max="10521" width="13.140625" style="610" customWidth="1"/>
    <col min="10522" max="10522" width="4" style="610" customWidth="1"/>
    <col min="10523" max="10523" width="12.85546875" style="610" customWidth="1"/>
    <col min="10524" max="10524" width="14.7109375" style="610" customWidth="1"/>
    <col min="10525" max="10525" width="10" style="610" customWidth="1"/>
    <col min="10526" max="10526" width="6.28515625" style="610" customWidth="1"/>
    <col min="10527" max="10527" width="12.28515625" style="610" customWidth="1"/>
    <col min="10528" max="10528" width="8.5703125" style="610" customWidth="1"/>
    <col min="10529" max="10529" width="13.7109375" style="610" customWidth="1"/>
    <col min="10530" max="10530" width="11.5703125" style="610" customWidth="1"/>
    <col min="10531" max="10531" width="24.7109375" style="610" customWidth="1"/>
    <col min="10532" max="10532" width="17.42578125" style="610" customWidth="1"/>
    <col min="10533" max="10533" width="20.85546875" style="610" customWidth="1"/>
    <col min="10534" max="10534" width="26.85546875" style="610" customWidth="1"/>
    <col min="10535" max="10535" width="8" style="610" customWidth="1"/>
    <col min="10536" max="10536" width="25" style="610" customWidth="1"/>
    <col min="10537" max="10537" width="12.7109375" style="610" customWidth="1"/>
    <col min="10538" max="10538" width="16.42578125" style="610" customWidth="1"/>
    <col min="10539" max="10539" width="23.5703125" style="610" customWidth="1"/>
    <col min="10540" max="10540" width="33.7109375" style="610" customWidth="1"/>
    <col min="10541" max="10541" width="31.140625" style="610" customWidth="1"/>
    <col min="10542" max="10542" width="19.28515625" style="610" customWidth="1"/>
    <col min="10543" max="10543" width="11.7109375" style="610" customWidth="1"/>
    <col min="10544" max="10544" width="15.42578125" style="610" customWidth="1"/>
    <col min="10545" max="10545" width="5.5703125" style="610" customWidth="1"/>
    <col min="10546" max="10546" width="4.7109375" style="610" customWidth="1"/>
    <col min="10547" max="10548" width="7.28515625" style="610" customWidth="1"/>
    <col min="10549" max="10549" width="8.42578125" style="610" customWidth="1"/>
    <col min="10550" max="10550" width="9.5703125" style="610" customWidth="1"/>
    <col min="10551" max="10551" width="6.28515625" style="610" customWidth="1"/>
    <col min="10552" max="10552" width="5.85546875" style="610" customWidth="1"/>
    <col min="10553" max="10554" width="4.42578125" style="610" customWidth="1"/>
    <col min="10555" max="10555" width="5" style="610" customWidth="1"/>
    <col min="10556" max="10556" width="5.85546875" style="610" customWidth="1"/>
    <col min="10557" max="10557" width="6.140625" style="610" customWidth="1"/>
    <col min="10558" max="10558" width="6.28515625" style="610" customWidth="1"/>
    <col min="10559" max="10559" width="4.85546875" style="610" customWidth="1"/>
    <col min="10560" max="10560" width="8.140625" style="610" customWidth="1"/>
    <col min="10561" max="10561" width="11.5703125" style="610" customWidth="1"/>
    <col min="10562" max="10562" width="13.7109375" style="610" customWidth="1"/>
    <col min="10563" max="10563" width="20.85546875" style="610" customWidth="1"/>
    <col min="10564" max="10776" width="11.42578125" style="610"/>
    <col min="10777" max="10777" width="13.140625" style="610" customWidth="1"/>
    <col min="10778" max="10778" width="4" style="610" customWidth="1"/>
    <col min="10779" max="10779" width="12.85546875" style="610" customWidth="1"/>
    <col min="10780" max="10780" width="14.7109375" style="610" customWidth="1"/>
    <col min="10781" max="10781" width="10" style="610" customWidth="1"/>
    <col min="10782" max="10782" width="6.28515625" style="610" customWidth="1"/>
    <col min="10783" max="10783" width="12.28515625" style="610" customWidth="1"/>
    <col min="10784" max="10784" width="8.5703125" style="610" customWidth="1"/>
    <col min="10785" max="10785" width="13.7109375" style="610" customWidth="1"/>
    <col min="10786" max="10786" width="11.5703125" style="610" customWidth="1"/>
    <col min="10787" max="10787" width="24.7109375" style="610" customWidth="1"/>
    <col min="10788" max="10788" width="17.42578125" style="610" customWidth="1"/>
    <col min="10789" max="10789" width="20.85546875" style="610" customWidth="1"/>
    <col min="10790" max="10790" width="26.85546875" style="610" customWidth="1"/>
    <col min="10791" max="10791" width="8" style="610" customWidth="1"/>
    <col min="10792" max="10792" width="25" style="610" customWidth="1"/>
    <col min="10793" max="10793" width="12.7109375" style="610" customWidth="1"/>
    <col min="10794" max="10794" width="16.42578125" style="610" customWidth="1"/>
    <col min="10795" max="10795" width="23.5703125" style="610" customWidth="1"/>
    <col min="10796" max="10796" width="33.7109375" style="610" customWidth="1"/>
    <col min="10797" max="10797" width="31.140625" style="610" customWidth="1"/>
    <col min="10798" max="10798" width="19.28515625" style="610" customWidth="1"/>
    <col min="10799" max="10799" width="11.7109375" style="610" customWidth="1"/>
    <col min="10800" max="10800" width="15.42578125" style="610" customWidth="1"/>
    <col min="10801" max="10801" width="5.5703125" style="610" customWidth="1"/>
    <col min="10802" max="10802" width="4.7109375" style="610" customWidth="1"/>
    <col min="10803" max="10804" width="7.28515625" style="610" customWidth="1"/>
    <col min="10805" max="10805" width="8.42578125" style="610" customWidth="1"/>
    <col min="10806" max="10806" width="9.5703125" style="610" customWidth="1"/>
    <col min="10807" max="10807" width="6.28515625" style="610" customWidth="1"/>
    <col min="10808" max="10808" width="5.85546875" style="610" customWidth="1"/>
    <col min="10809" max="10810" width="4.42578125" style="610" customWidth="1"/>
    <col min="10811" max="10811" width="5" style="610" customWidth="1"/>
    <col min="10812" max="10812" width="5.85546875" style="610" customWidth="1"/>
    <col min="10813" max="10813" width="6.140625" style="610" customWidth="1"/>
    <col min="10814" max="10814" width="6.28515625" style="610" customWidth="1"/>
    <col min="10815" max="10815" width="4.85546875" style="610" customWidth="1"/>
    <col min="10816" max="10816" width="8.140625" style="610" customWidth="1"/>
    <col min="10817" max="10817" width="11.5703125" style="610" customWidth="1"/>
    <col min="10818" max="10818" width="13.7109375" style="610" customWidth="1"/>
    <col min="10819" max="10819" width="20.85546875" style="610" customWidth="1"/>
    <col min="10820" max="11032" width="11.42578125" style="610"/>
    <col min="11033" max="11033" width="13.140625" style="610" customWidth="1"/>
    <col min="11034" max="11034" width="4" style="610" customWidth="1"/>
    <col min="11035" max="11035" width="12.85546875" style="610" customWidth="1"/>
    <col min="11036" max="11036" width="14.7109375" style="610" customWidth="1"/>
    <col min="11037" max="11037" width="10" style="610" customWidth="1"/>
    <col min="11038" max="11038" width="6.28515625" style="610" customWidth="1"/>
    <col min="11039" max="11039" width="12.28515625" style="610" customWidth="1"/>
    <col min="11040" max="11040" width="8.5703125" style="610" customWidth="1"/>
    <col min="11041" max="11041" width="13.7109375" style="610" customWidth="1"/>
    <col min="11042" max="11042" width="11.5703125" style="610" customWidth="1"/>
    <col min="11043" max="11043" width="24.7109375" style="610" customWidth="1"/>
    <col min="11044" max="11044" width="17.42578125" style="610" customWidth="1"/>
    <col min="11045" max="11045" width="20.85546875" style="610" customWidth="1"/>
    <col min="11046" max="11046" width="26.85546875" style="610" customWidth="1"/>
    <col min="11047" max="11047" width="8" style="610" customWidth="1"/>
    <col min="11048" max="11048" width="25" style="610" customWidth="1"/>
    <col min="11049" max="11049" width="12.7109375" style="610" customWidth="1"/>
    <col min="11050" max="11050" width="16.42578125" style="610" customWidth="1"/>
    <col min="11051" max="11051" width="23.5703125" style="610" customWidth="1"/>
    <col min="11052" max="11052" width="33.7109375" style="610" customWidth="1"/>
    <col min="11053" max="11053" width="31.140625" style="610" customWidth="1"/>
    <col min="11054" max="11054" width="19.28515625" style="610" customWidth="1"/>
    <col min="11055" max="11055" width="11.7109375" style="610" customWidth="1"/>
    <col min="11056" max="11056" width="15.42578125" style="610" customWidth="1"/>
    <col min="11057" max="11057" width="5.5703125" style="610" customWidth="1"/>
    <col min="11058" max="11058" width="4.7109375" style="610" customWidth="1"/>
    <col min="11059" max="11060" width="7.28515625" style="610" customWidth="1"/>
    <col min="11061" max="11061" width="8.42578125" style="610" customWidth="1"/>
    <col min="11062" max="11062" width="9.5703125" style="610" customWidth="1"/>
    <col min="11063" max="11063" width="6.28515625" style="610" customWidth="1"/>
    <col min="11064" max="11064" width="5.85546875" style="610" customWidth="1"/>
    <col min="11065" max="11066" width="4.42578125" style="610" customWidth="1"/>
    <col min="11067" max="11067" width="5" style="610" customWidth="1"/>
    <col min="11068" max="11068" width="5.85546875" style="610" customWidth="1"/>
    <col min="11069" max="11069" width="6.140625" style="610" customWidth="1"/>
    <col min="11070" max="11070" width="6.28515625" style="610" customWidth="1"/>
    <col min="11071" max="11071" width="4.85546875" style="610" customWidth="1"/>
    <col min="11072" max="11072" width="8.140625" style="610" customWidth="1"/>
    <col min="11073" max="11073" width="11.5703125" style="610" customWidth="1"/>
    <col min="11074" max="11074" width="13.7109375" style="610" customWidth="1"/>
    <col min="11075" max="11075" width="20.85546875" style="610" customWidth="1"/>
    <col min="11076" max="11288" width="11.42578125" style="610"/>
    <col min="11289" max="11289" width="13.140625" style="610" customWidth="1"/>
    <col min="11290" max="11290" width="4" style="610" customWidth="1"/>
    <col min="11291" max="11291" width="12.85546875" style="610" customWidth="1"/>
    <col min="11292" max="11292" width="14.7109375" style="610" customWidth="1"/>
    <col min="11293" max="11293" width="10" style="610" customWidth="1"/>
    <col min="11294" max="11294" width="6.28515625" style="610" customWidth="1"/>
    <col min="11295" max="11295" width="12.28515625" style="610" customWidth="1"/>
    <col min="11296" max="11296" width="8.5703125" style="610" customWidth="1"/>
    <col min="11297" max="11297" width="13.7109375" style="610" customWidth="1"/>
    <col min="11298" max="11298" width="11.5703125" style="610" customWidth="1"/>
    <col min="11299" max="11299" width="24.7109375" style="610" customWidth="1"/>
    <col min="11300" max="11300" width="17.42578125" style="610" customWidth="1"/>
    <col min="11301" max="11301" width="20.85546875" style="610" customWidth="1"/>
    <col min="11302" max="11302" width="26.85546875" style="610" customWidth="1"/>
    <col min="11303" max="11303" width="8" style="610" customWidth="1"/>
    <col min="11304" max="11304" width="25" style="610" customWidth="1"/>
    <col min="11305" max="11305" width="12.7109375" style="610" customWidth="1"/>
    <col min="11306" max="11306" width="16.42578125" style="610" customWidth="1"/>
    <col min="11307" max="11307" width="23.5703125" style="610" customWidth="1"/>
    <col min="11308" max="11308" width="33.7109375" style="610" customWidth="1"/>
    <col min="11309" max="11309" width="31.140625" style="610" customWidth="1"/>
    <col min="11310" max="11310" width="19.28515625" style="610" customWidth="1"/>
    <col min="11311" max="11311" width="11.7109375" style="610" customWidth="1"/>
    <col min="11312" max="11312" width="15.42578125" style="610" customWidth="1"/>
    <col min="11313" max="11313" width="5.5703125" style="610" customWidth="1"/>
    <col min="11314" max="11314" width="4.7109375" style="610" customWidth="1"/>
    <col min="11315" max="11316" width="7.28515625" style="610" customWidth="1"/>
    <col min="11317" max="11317" width="8.42578125" style="610" customWidth="1"/>
    <col min="11318" max="11318" width="9.5703125" style="610" customWidth="1"/>
    <col min="11319" max="11319" width="6.28515625" style="610" customWidth="1"/>
    <col min="11320" max="11320" width="5.85546875" style="610" customWidth="1"/>
    <col min="11321" max="11322" width="4.42578125" style="610" customWidth="1"/>
    <col min="11323" max="11323" width="5" style="610" customWidth="1"/>
    <col min="11324" max="11324" width="5.85546875" style="610" customWidth="1"/>
    <col min="11325" max="11325" width="6.140625" style="610" customWidth="1"/>
    <col min="11326" max="11326" width="6.28515625" style="610" customWidth="1"/>
    <col min="11327" max="11327" width="4.85546875" style="610" customWidth="1"/>
    <col min="11328" max="11328" width="8.140625" style="610" customWidth="1"/>
    <col min="11329" max="11329" width="11.5703125" style="610" customWidth="1"/>
    <col min="11330" max="11330" width="13.7109375" style="610" customWidth="1"/>
    <col min="11331" max="11331" width="20.85546875" style="610" customWidth="1"/>
    <col min="11332" max="11544" width="11.42578125" style="610"/>
    <col min="11545" max="11545" width="13.140625" style="610" customWidth="1"/>
    <col min="11546" max="11546" width="4" style="610" customWidth="1"/>
    <col min="11547" max="11547" width="12.85546875" style="610" customWidth="1"/>
    <col min="11548" max="11548" width="14.7109375" style="610" customWidth="1"/>
    <col min="11549" max="11549" width="10" style="610" customWidth="1"/>
    <col min="11550" max="11550" width="6.28515625" style="610" customWidth="1"/>
    <col min="11551" max="11551" width="12.28515625" style="610" customWidth="1"/>
    <col min="11552" max="11552" width="8.5703125" style="610" customWidth="1"/>
    <col min="11553" max="11553" width="13.7109375" style="610" customWidth="1"/>
    <col min="11554" max="11554" width="11.5703125" style="610" customWidth="1"/>
    <col min="11555" max="11555" width="24.7109375" style="610" customWidth="1"/>
    <col min="11556" max="11556" width="17.42578125" style="610" customWidth="1"/>
    <col min="11557" max="11557" width="20.85546875" style="610" customWidth="1"/>
    <col min="11558" max="11558" width="26.85546875" style="610" customWidth="1"/>
    <col min="11559" max="11559" width="8" style="610" customWidth="1"/>
    <col min="11560" max="11560" width="25" style="610" customWidth="1"/>
    <col min="11561" max="11561" width="12.7109375" style="610" customWidth="1"/>
    <col min="11562" max="11562" width="16.42578125" style="610" customWidth="1"/>
    <col min="11563" max="11563" width="23.5703125" style="610" customWidth="1"/>
    <col min="11564" max="11564" width="33.7109375" style="610" customWidth="1"/>
    <col min="11565" max="11565" width="31.140625" style="610" customWidth="1"/>
    <col min="11566" max="11566" width="19.28515625" style="610" customWidth="1"/>
    <col min="11567" max="11567" width="11.7109375" style="610" customWidth="1"/>
    <col min="11568" max="11568" width="15.42578125" style="610" customWidth="1"/>
    <col min="11569" max="11569" width="5.5703125" style="610" customWidth="1"/>
    <col min="11570" max="11570" width="4.7109375" style="610" customWidth="1"/>
    <col min="11571" max="11572" width="7.28515625" style="610" customWidth="1"/>
    <col min="11573" max="11573" width="8.42578125" style="610" customWidth="1"/>
    <col min="11574" max="11574" width="9.5703125" style="610" customWidth="1"/>
    <col min="11575" max="11575" width="6.28515625" style="610" customWidth="1"/>
    <col min="11576" max="11576" width="5.85546875" style="610" customWidth="1"/>
    <col min="11577" max="11578" width="4.42578125" style="610" customWidth="1"/>
    <col min="11579" max="11579" width="5" style="610" customWidth="1"/>
    <col min="11580" max="11580" width="5.85546875" style="610" customWidth="1"/>
    <col min="11581" max="11581" width="6.140625" style="610" customWidth="1"/>
    <col min="11582" max="11582" width="6.28515625" style="610" customWidth="1"/>
    <col min="11583" max="11583" width="4.85546875" style="610" customWidth="1"/>
    <col min="11584" max="11584" width="8.140625" style="610" customWidth="1"/>
    <col min="11585" max="11585" width="11.5703125" style="610" customWidth="1"/>
    <col min="11586" max="11586" width="13.7109375" style="610" customWidth="1"/>
    <col min="11587" max="11587" width="20.85546875" style="610" customWidth="1"/>
    <col min="11588" max="11800" width="11.42578125" style="610"/>
    <col min="11801" max="11801" width="13.140625" style="610" customWidth="1"/>
    <col min="11802" max="11802" width="4" style="610" customWidth="1"/>
    <col min="11803" max="11803" width="12.85546875" style="610" customWidth="1"/>
    <col min="11804" max="11804" width="14.7109375" style="610" customWidth="1"/>
    <col min="11805" max="11805" width="10" style="610" customWidth="1"/>
    <col min="11806" max="11806" width="6.28515625" style="610" customWidth="1"/>
    <col min="11807" max="11807" width="12.28515625" style="610" customWidth="1"/>
    <col min="11808" max="11808" width="8.5703125" style="610" customWidth="1"/>
    <col min="11809" max="11809" width="13.7109375" style="610" customWidth="1"/>
    <col min="11810" max="11810" width="11.5703125" style="610" customWidth="1"/>
    <col min="11811" max="11811" width="24.7109375" style="610" customWidth="1"/>
    <col min="11812" max="11812" width="17.42578125" style="610" customWidth="1"/>
    <col min="11813" max="11813" width="20.85546875" style="610" customWidth="1"/>
    <col min="11814" max="11814" width="26.85546875" style="610" customWidth="1"/>
    <col min="11815" max="11815" width="8" style="610" customWidth="1"/>
    <col min="11816" max="11816" width="25" style="610" customWidth="1"/>
    <col min="11817" max="11817" width="12.7109375" style="610" customWidth="1"/>
    <col min="11818" max="11818" width="16.42578125" style="610" customWidth="1"/>
    <col min="11819" max="11819" width="23.5703125" style="610" customWidth="1"/>
    <col min="11820" max="11820" width="33.7109375" style="610" customWidth="1"/>
    <col min="11821" max="11821" width="31.140625" style="610" customWidth="1"/>
    <col min="11822" max="11822" width="19.28515625" style="610" customWidth="1"/>
    <col min="11823" max="11823" width="11.7109375" style="610" customWidth="1"/>
    <col min="11824" max="11824" width="15.42578125" style="610" customWidth="1"/>
    <col min="11825" max="11825" width="5.5703125" style="610" customWidth="1"/>
    <col min="11826" max="11826" width="4.7109375" style="610" customWidth="1"/>
    <col min="11827" max="11828" width="7.28515625" style="610" customWidth="1"/>
    <col min="11829" max="11829" width="8.42578125" style="610" customWidth="1"/>
    <col min="11830" max="11830" width="9.5703125" style="610" customWidth="1"/>
    <col min="11831" max="11831" width="6.28515625" style="610" customWidth="1"/>
    <col min="11832" max="11832" width="5.85546875" style="610" customWidth="1"/>
    <col min="11833" max="11834" width="4.42578125" style="610" customWidth="1"/>
    <col min="11835" max="11835" width="5" style="610" customWidth="1"/>
    <col min="11836" max="11836" width="5.85546875" style="610" customWidth="1"/>
    <col min="11837" max="11837" width="6.140625" style="610" customWidth="1"/>
    <col min="11838" max="11838" width="6.28515625" style="610" customWidth="1"/>
    <col min="11839" max="11839" width="4.85546875" style="610" customWidth="1"/>
    <col min="11840" max="11840" width="8.140625" style="610" customWidth="1"/>
    <col min="11841" max="11841" width="11.5703125" style="610" customWidth="1"/>
    <col min="11842" max="11842" width="13.7109375" style="610" customWidth="1"/>
    <col min="11843" max="11843" width="20.85546875" style="610" customWidth="1"/>
    <col min="11844" max="12056" width="11.42578125" style="610"/>
    <col min="12057" max="12057" width="13.140625" style="610" customWidth="1"/>
    <col min="12058" max="12058" width="4" style="610" customWidth="1"/>
    <col min="12059" max="12059" width="12.85546875" style="610" customWidth="1"/>
    <col min="12060" max="12060" width="14.7109375" style="610" customWidth="1"/>
    <col min="12061" max="12061" width="10" style="610" customWidth="1"/>
    <col min="12062" max="12062" width="6.28515625" style="610" customWidth="1"/>
    <col min="12063" max="12063" width="12.28515625" style="610" customWidth="1"/>
    <col min="12064" max="12064" width="8.5703125" style="610" customWidth="1"/>
    <col min="12065" max="12065" width="13.7109375" style="610" customWidth="1"/>
    <col min="12066" max="12066" width="11.5703125" style="610" customWidth="1"/>
    <col min="12067" max="12067" width="24.7109375" style="610" customWidth="1"/>
    <col min="12068" max="12068" width="17.42578125" style="610" customWidth="1"/>
    <col min="12069" max="12069" width="20.85546875" style="610" customWidth="1"/>
    <col min="12070" max="12070" width="26.85546875" style="610" customWidth="1"/>
    <col min="12071" max="12071" width="8" style="610" customWidth="1"/>
    <col min="12072" max="12072" width="25" style="610" customWidth="1"/>
    <col min="12073" max="12073" width="12.7109375" style="610" customWidth="1"/>
    <col min="12074" max="12074" width="16.42578125" style="610" customWidth="1"/>
    <col min="12075" max="12075" width="23.5703125" style="610" customWidth="1"/>
    <col min="12076" max="12076" width="33.7109375" style="610" customWidth="1"/>
    <col min="12077" max="12077" width="31.140625" style="610" customWidth="1"/>
    <col min="12078" max="12078" width="19.28515625" style="610" customWidth="1"/>
    <col min="12079" max="12079" width="11.7109375" style="610" customWidth="1"/>
    <col min="12080" max="12080" width="15.42578125" style="610" customWidth="1"/>
    <col min="12081" max="12081" width="5.5703125" style="610" customWidth="1"/>
    <col min="12082" max="12082" width="4.7109375" style="610" customWidth="1"/>
    <col min="12083" max="12084" width="7.28515625" style="610" customWidth="1"/>
    <col min="12085" max="12085" width="8.42578125" style="610" customWidth="1"/>
    <col min="12086" max="12086" width="9.5703125" style="610" customWidth="1"/>
    <col min="12087" max="12087" width="6.28515625" style="610" customWidth="1"/>
    <col min="12088" max="12088" width="5.85546875" style="610" customWidth="1"/>
    <col min="12089" max="12090" width="4.42578125" style="610" customWidth="1"/>
    <col min="12091" max="12091" width="5" style="610" customWidth="1"/>
    <col min="12092" max="12092" width="5.85546875" style="610" customWidth="1"/>
    <col min="12093" max="12093" width="6.140625" style="610" customWidth="1"/>
    <col min="12094" max="12094" width="6.28515625" style="610" customWidth="1"/>
    <col min="12095" max="12095" width="4.85546875" style="610" customWidth="1"/>
    <col min="12096" max="12096" width="8.140625" style="610" customWidth="1"/>
    <col min="12097" max="12097" width="11.5703125" style="610" customWidth="1"/>
    <col min="12098" max="12098" width="13.7109375" style="610" customWidth="1"/>
    <col min="12099" max="12099" width="20.85546875" style="610" customWidth="1"/>
    <col min="12100" max="12312" width="11.42578125" style="610"/>
    <col min="12313" max="12313" width="13.140625" style="610" customWidth="1"/>
    <col min="12314" max="12314" width="4" style="610" customWidth="1"/>
    <col min="12315" max="12315" width="12.85546875" style="610" customWidth="1"/>
    <col min="12316" max="12316" width="14.7109375" style="610" customWidth="1"/>
    <col min="12317" max="12317" width="10" style="610" customWidth="1"/>
    <col min="12318" max="12318" width="6.28515625" style="610" customWidth="1"/>
    <col min="12319" max="12319" width="12.28515625" style="610" customWidth="1"/>
    <col min="12320" max="12320" width="8.5703125" style="610" customWidth="1"/>
    <col min="12321" max="12321" width="13.7109375" style="610" customWidth="1"/>
    <col min="12322" max="12322" width="11.5703125" style="610" customWidth="1"/>
    <col min="12323" max="12323" width="24.7109375" style="610" customWidth="1"/>
    <col min="12324" max="12324" width="17.42578125" style="610" customWidth="1"/>
    <col min="12325" max="12325" width="20.85546875" style="610" customWidth="1"/>
    <col min="12326" max="12326" width="26.85546875" style="610" customWidth="1"/>
    <col min="12327" max="12327" width="8" style="610" customWidth="1"/>
    <col min="12328" max="12328" width="25" style="610" customWidth="1"/>
    <col min="12329" max="12329" width="12.7109375" style="610" customWidth="1"/>
    <col min="12330" max="12330" width="16.42578125" style="610" customWidth="1"/>
    <col min="12331" max="12331" width="23.5703125" style="610" customWidth="1"/>
    <col min="12332" max="12332" width="33.7109375" style="610" customWidth="1"/>
    <col min="12333" max="12333" width="31.140625" style="610" customWidth="1"/>
    <col min="12334" max="12334" width="19.28515625" style="610" customWidth="1"/>
    <col min="12335" max="12335" width="11.7109375" style="610" customWidth="1"/>
    <col min="12336" max="12336" width="15.42578125" style="610" customWidth="1"/>
    <col min="12337" max="12337" width="5.5703125" style="610" customWidth="1"/>
    <col min="12338" max="12338" width="4.7109375" style="610" customWidth="1"/>
    <col min="12339" max="12340" width="7.28515625" style="610" customWidth="1"/>
    <col min="12341" max="12341" width="8.42578125" style="610" customWidth="1"/>
    <col min="12342" max="12342" width="9.5703125" style="610" customWidth="1"/>
    <col min="12343" max="12343" width="6.28515625" style="610" customWidth="1"/>
    <col min="12344" max="12344" width="5.85546875" style="610" customWidth="1"/>
    <col min="12345" max="12346" width="4.42578125" style="610" customWidth="1"/>
    <col min="12347" max="12347" width="5" style="610" customWidth="1"/>
    <col min="12348" max="12348" width="5.85546875" style="610" customWidth="1"/>
    <col min="12349" max="12349" width="6.140625" style="610" customWidth="1"/>
    <col min="12350" max="12350" width="6.28515625" style="610" customWidth="1"/>
    <col min="12351" max="12351" width="4.85546875" style="610" customWidth="1"/>
    <col min="12352" max="12352" width="8.140625" style="610" customWidth="1"/>
    <col min="12353" max="12353" width="11.5703125" style="610" customWidth="1"/>
    <col min="12354" max="12354" width="13.7109375" style="610" customWidth="1"/>
    <col min="12355" max="12355" width="20.85546875" style="610" customWidth="1"/>
    <col min="12356" max="12568" width="11.42578125" style="610"/>
    <col min="12569" max="12569" width="13.140625" style="610" customWidth="1"/>
    <col min="12570" max="12570" width="4" style="610" customWidth="1"/>
    <col min="12571" max="12571" width="12.85546875" style="610" customWidth="1"/>
    <col min="12572" max="12572" width="14.7109375" style="610" customWidth="1"/>
    <col min="12573" max="12573" width="10" style="610" customWidth="1"/>
    <col min="12574" max="12574" width="6.28515625" style="610" customWidth="1"/>
    <col min="12575" max="12575" width="12.28515625" style="610" customWidth="1"/>
    <col min="12576" max="12576" width="8.5703125" style="610" customWidth="1"/>
    <col min="12577" max="12577" width="13.7109375" style="610" customWidth="1"/>
    <col min="12578" max="12578" width="11.5703125" style="610" customWidth="1"/>
    <col min="12579" max="12579" width="24.7109375" style="610" customWidth="1"/>
    <col min="12580" max="12580" width="17.42578125" style="610" customWidth="1"/>
    <col min="12581" max="12581" width="20.85546875" style="610" customWidth="1"/>
    <col min="12582" max="12582" width="26.85546875" style="610" customWidth="1"/>
    <col min="12583" max="12583" width="8" style="610" customWidth="1"/>
    <col min="12584" max="12584" width="25" style="610" customWidth="1"/>
    <col min="12585" max="12585" width="12.7109375" style="610" customWidth="1"/>
    <col min="12586" max="12586" width="16.42578125" style="610" customWidth="1"/>
    <col min="12587" max="12587" width="23.5703125" style="610" customWidth="1"/>
    <col min="12588" max="12588" width="33.7109375" style="610" customWidth="1"/>
    <col min="12589" max="12589" width="31.140625" style="610" customWidth="1"/>
    <col min="12590" max="12590" width="19.28515625" style="610" customWidth="1"/>
    <col min="12591" max="12591" width="11.7109375" style="610" customWidth="1"/>
    <col min="12592" max="12592" width="15.42578125" style="610" customWidth="1"/>
    <col min="12593" max="12593" width="5.5703125" style="610" customWidth="1"/>
    <col min="12594" max="12594" width="4.7109375" style="610" customWidth="1"/>
    <col min="12595" max="12596" width="7.28515625" style="610" customWidth="1"/>
    <col min="12597" max="12597" width="8.42578125" style="610" customWidth="1"/>
    <col min="12598" max="12598" width="9.5703125" style="610" customWidth="1"/>
    <col min="12599" max="12599" width="6.28515625" style="610" customWidth="1"/>
    <col min="12600" max="12600" width="5.85546875" style="610" customWidth="1"/>
    <col min="12601" max="12602" width="4.42578125" style="610" customWidth="1"/>
    <col min="12603" max="12603" width="5" style="610" customWidth="1"/>
    <col min="12604" max="12604" width="5.85546875" style="610" customWidth="1"/>
    <col min="12605" max="12605" width="6.140625" style="610" customWidth="1"/>
    <col min="12606" max="12606" width="6.28515625" style="610" customWidth="1"/>
    <col min="12607" max="12607" width="4.85546875" style="610" customWidth="1"/>
    <col min="12608" max="12608" width="8.140625" style="610" customWidth="1"/>
    <col min="12609" max="12609" width="11.5703125" style="610" customWidth="1"/>
    <col min="12610" max="12610" width="13.7109375" style="610" customWidth="1"/>
    <col min="12611" max="12611" width="20.85546875" style="610" customWidth="1"/>
    <col min="12612" max="12824" width="11.42578125" style="610"/>
    <col min="12825" max="12825" width="13.140625" style="610" customWidth="1"/>
    <col min="12826" max="12826" width="4" style="610" customWidth="1"/>
    <col min="12827" max="12827" width="12.85546875" style="610" customWidth="1"/>
    <col min="12828" max="12828" width="14.7109375" style="610" customWidth="1"/>
    <col min="12829" max="12829" width="10" style="610" customWidth="1"/>
    <col min="12830" max="12830" width="6.28515625" style="610" customWidth="1"/>
    <col min="12831" max="12831" width="12.28515625" style="610" customWidth="1"/>
    <col min="12832" max="12832" width="8.5703125" style="610" customWidth="1"/>
    <col min="12833" max="12833" width="13.7109375" style="610" customWidth="1"/>
    <col min="12834" max="12834" width="11.5703125" style="610" customWidth="1"/>
    <col min="12835" max="12835" width="24.7109375" style="610" customWidth="1"/>
    <col min="12836" max="12836" width="17.42578125" style="610" customWidth="1"/>
    <col min="12837" max="12837" width="20.85546875" style="610" customWidth="1"/>
    <col min="12838" max="12838" width="26.85546875" style="610" customWidth="1"/>
    <col min="12839" max="12839" width="8" style="610" customWidth="1"/>
    <col min="12840" max="12840" width="25" style="610" customWidth="1"/>
    <col min="12841" max="12841" width="12.7109375" style="610" customWidth="1"/>
    <col min="12842" max="12842" width="16.42578125" style="610" customWidth="1"/>
    <col min="12843" max="12843" width="23.5703125" style="610" customWidth="1"/>
    <col min="12844" max="12844" width="33.7109375" style="610" customWidth="1"/>
    <col min="12845" max="12845" width="31.140625" style="610" customWidth="1"/>
    <col min="12846" max="12846" width="19.28515625" style="610" customWidth="1"/>
    <col min="12847" max="12847" width="11.7109375" style="610" customWidth="1"/>
    <col min="12848" max="12848" width="15.42578125" style="610" customWidth="1"/>
    <col min="12849" max="12849" width="5.5703125" style="610" customWidth="1"/>
    <col min="12850" max="12850" width="4.7109375" style="610" customWidth="1"/>
    <col min="12851" max="12852" width="7.28515625" style="610" customWidth="1"/>
    <col min="12853" max="12853" width="8.42578125" style="610" customWidth="1"/>
    <col min="12854" max="12854" width="9.5703125" style="610" customWidth="1"/>
    <col min="12855" max="12855" width="6.28515625" style="610" customWidth="1"/>
    <col min="12856" max="12856" width="5.85546875" style="610" customWidth="1"/>
    <col min="12857" max="12858" width="4.42578125" style="610" customWidth="1"/>
    <col min="12859" max="12859" width="5" style="610" customWidth="1"/>
    <col min="12860" max="12860" width="5.85546875" style="610" customWidth="1"/>
    <col min="12861" max="12861" width="6.140625" style="610" customWidth="1"/>
    <col min="12862" max="12862" width="6.28515625" style="610" customWidth="1"/>
    <col min="12863" max="12863" width="4.85546875" style="610" customWidth="1"/>
    <col min="12864" max="12864" width="8.140625" style="610" customWidth="1"/>
    <col min="12865" max="12865" width="11.5703125" style="610" customWidth="1"/>
    <col min="12866" max="12866" width="13.7109375" style="610" customWidth="1"/>
    <col min="12867" max="12867" width="20.85546875" style="610" customWidth="1"/>
    <col min="12868" max="13080" width="11.42578125" style="610"/>
    <col min="13081" max="13081" width="13.140625" style="610" customWidth="1"/>
    <col min="13082" max="13082" width="4" style="610" customWidth="1"/>
    <col min="13083" max="13083" width="12.85546875" style="610" customWidth="1"/>
    <col min="13084" max="13084" width="14.7109375" style="610" customWidth="1"/>
    <col min="13085" max="13085" width="10" style="610" customWidth="1"/>
    <col min="13086" max="13086" width="6.28515625" style="610" customWidth="1"/>
    <col min="13087" max="13087" width="12.28515625" style="610" customWidth="1"/>
    <col min="13088" max="13088" width="8.5703125" style="610" customWidth="1"/>
    <col min="13089" max="13089" width="13.7109375" style="610" customWidth="1"/>
    <col min="13090" max="13090" width="11.5703125" style="610" customWidth="1"/>
    <col min="13091" max="13091" width="24.7109375" style="610" customWidth="1"/>
    <col min="13092" max="13092" width="17.42578125" style="610" customWidth="1"/>
    <col min="13093" max="13093" width="20.85546875" style="610" customWidth="1"/>
    <col min="13094" max="13094" width="26.85546875" style="610" customWidth="1"/>
    <col min="13095" max="13095" width="8" style="610" customWidth="1"/>
    <col min="13096" max="13096" width="25" style="610" customWidth="1"/>
    <col min="13097" max="13097" width="12.7109375" style="610" customWidth="1"/>
    <col min="13098" max="13098" width="16.42578125" style="610" customWidth="1"/>
    <col min="13099" max="13099" width="23.5703125" style="610" customWidth="1"/>
    <col min="13100" max="13100" width="33.7109375" style="610" customWidth="1"/>
    <col min="13101" max="13101" width="31.140625" style="610" customWidth="1"/>
    <col min="13102" max="13102" width="19.28515625" style="610" customWidth="1"/>
    <col min="13103" max="13103" width="11.7109375" style="610" customWidth="1"/>
    <col min="13104" max="13104" width="15.42578125" style="610" customWidth="1"/>
    <col min="13105" max="13105" width="5.5703125" style="610" customWidth="1"/>
    <col min="13106" max="13106" width="4.7109375" style="610" customWidth="1"/>
    <col min="13107" max="13108" width="7.28515625" style="610" customWidth="1"/>
    <col min="13109" max="13109" width="8.42578125" style="610" customWidth="1"/>
    <col min="13110" max="13110" width="9.5703125" style="610" customWidth="1"/>
    <col min="13111" max="13111" width="6.28515625" style="610" customWidth="1"/>
    <col min="13112" max="13112" width="5.85546875" style="610" customWidth="1"/>
    <col min="13113" max="13114" width="4.42578125" style="610" customWidth="1"/>
    <col min="13115" max="13115" width="5" style="610" customWidth="1"/>
    <col min="13116" max="13116" width="5.85546875" style="610" customWidth="1"/>
    <col min="13117" max="13117" width="6.140625" style="610" customWidth="1"/>
    <col min="13118" max="13118" width="6.28515625" style="610" customWidth="1"/>
    <col min="13119" max="13119" width="4.85546875" style="610" customWidth="1"/>
    <col min="13120" max="13120" width="8.140625" style="610" customWidth="1"/>
    <col min="13121" max="13121" width="11.5703125" style="610" customWidth="1"/>
    <col min="13122" max="13122" width="13.7109375" style="610" customWidth="1"/>
    <col min="13123" max="13123" width="20.85546875" style="610" customWidth="1"/>
    <col min="13124" max="13336" width="11.42578125" style="610"/>
    <col min="13337" max="13337" width="13.140625" style="610" customWidth="1"/>
    <col min="13338" max="13338" width="4" style="610" customWidth="1"/>
    <col min="13339" max="13339" width="12.85546875" style="610" customWidth="1"/>
    <col min="13340" max="13340" width="14.7109375" style="610" customWidth="1"/>
    <col min="13341" max="13341" width="10" style="610" customWidth="1"/>
    <col min="13342" max="13342" width="6.28515625" style="610" customWidth="1"/>
    <col min="13343" max="13343" width="12.28515625" style="610" customWidth="1"/>
    <col min="13344" max="13344" width="8.5703125" style="610" customWidth="1"/>
    <col min="13345" max="13345" width="13.7109375" style="610" customWidth="1"/>
    <col min="13346" max="13346" width="11.5703125" style="610" customWidth="1"/>
    <col min="13347" max="13347" width="24.7109375" style="610" customWidth="1"/>
    <col min="13348" max="13348" width="17.42578125" style="610" customWidth="1"/>
    <col min="13349" max="13349" width="20.85546875" style="610" customWidth="1"/>
    <col min="13350" max="13350" width="26.85546875" style="610" customWidth="1"/>
    <col min="13351" max="13351" width="8" style="610" customWidth="1"/>
    <col min="13352" max="13352" width="25" style="610" customWidth="1"/>
    <col min="13353" max="13353" width="12.7109375" style="610" customWidth="1"/>
    <col min="13354" max="13354" width="16.42578125" style="610" customWidth="1"/>
    <col min="13355" max="13355" width="23.5703125" style="610" customWidth="1"/>
    <col min="13356" max="13356" width="33.7109375" style="610" customWidth="1"/>
    <col min="13357" max="13357" width="31.140625" style="610" customWidth="1"/>
    <col min="13358" max="13358" width="19.28515625" style="610" customWidth="1"/>
    <col min="13359" max="13359" width="11.7109375" style="610" customWidth="1"/>
    <col min="13360" max="13360" width="15.42578125" style="610" customWidth="1"/>
    <col min="13361" max="13361" width="5.5703125" style="610" customWidth="1"/>
    <col min="13362" max="13362" width="4.7109375" style="610" customWidth="1"/>
    <col min="13363" max="13364" width="7.28515625" style="610" customWidth="1"/>
    <col min="13365" max="13365" width="8.42578125" style="610" customWidth="1"/>
    <col min="13366" max="13366" width="9.5703125" style="610" customWidth="1"/>
    <col min="13367" max="13367" width="6.28515625" style="610" customWidth="1"/>
    <col min="13368" max="13368" width="5.85546875" style="610" customWidth="1"/>
    <col min="13369" max="13370" width="4.42578125" style="610" customWidth="1"/>
    <col min="13371" max="13371" width="5" style="610" customWidth="1"/>
    <col min="13372" max="13372" width="5.85546875" style="610" customWidth="1"/>
    <col min="13373" max="13373" width="6.140625" style="610" customWidth="1"/>
    <col min="13374" max="13374" width="6.28515625" style="610" customWidth="1"/>
    <col min="13375" max="13375" width="4.85546875" style="610" customWidth="1"/>
    <col min="13376" max="13376" width="8.140625" style="610" customWidth="1"/>
    <col min="13377" max="13377" width="11.5703125" style="610" customWidth="1"/>
    <col min="13378" max="13378" width="13.7109375" style="610" customWidth="1"/>
    <col min="13379" max="13379" width="20.85546875" style="610" customWidth="1"/>
    <col min="13380" max="13592" width="11.42578125" style="610"/>
    <col min="13593" max="13593" width="13.140625" style="610" customWidth="1"/>
    <col min="13594" max="13594" width="4" style="610" customWidth="1"/>
    <col min="13595" max="13595" width="12.85546875" style="610" customWidth="1"/>
    <col min="13596" max="13596" width="14.7109375" style="610" customWidth="1"/>
    <col min="13597" max="13597" width="10" style="610" customWidth="1"/>
    <col min="13598" max="13598" width="6.28515625" style="610" customWidth="1"/>
    <col min="13599" max="13599" width="12.28515625" style="610" customWidth="1"/>
    <col min="13600" max="13600" width="8.5703125" style="610" customWidth="1"/>
    <col min="13601" max="13601" width="13.7109375" style="610" customWidth="1"/>
    <col min="13602" max="13602" width="11.5703125" style="610" customWidth="1"/>
    <col min="13603" max="13603" width="24.7109375" style="610" customWidth="1"/>
    <col min="13604" max="13604" width="17.42578125" style="610" customWidth="1"/>
    <col min="13605" max="13605" width="20.85546875" style="610" customWidth="1"/>
    <col min="13606" max="13606" width="26.85546875" style="610" customWidth="1"/>
    <col min="13607" max="13607" width="8" style="610" customWidth="1"/>
    <col min="13608" max="13608" width="25" style="610" customWidth="1"/>
    <col min="13609" max="13609" width="12.7109375" style="610" customWidth="1"/>
    <col min="13610" max="13610" width="16.42578125" style="610" customWidth="1"/>
    <col min="13611" max="13611" width="23.5703125" style="610" customWidth="1"/>
    <col min="13612" max="13612" width="33.7109375" style="610" customWidth="1"/>
    <col min="13613" max="13613" width="31.140625" style="610" customWidth="1"/>
    <col min="13614" max="13614" width="19.28515625" style="610" customWidth="1"/>
    <col min="13615" max="13615" width="11.7109375" style="610" customWidth="1"/>
    <col min="13616" max="13616" width="15.42578125" style="610" customWidth="1"/>
    <col min="13617" max="13617" width="5.5703125" style="610" customWidth="1"/>
    <col min="13618" max="13618" width="4.7109375" style="610" customWidth="1"/>
    <col min="13619" max="13620" width="7.28515625" style="610" customWidth="1"/>
    <col min="13621" max="13621" width="8.42578125" style="610" customWidth="1"/>
    <col min="13622" max="13622" width="9.5703125" style="610" customWidth="1"/>
    <col min="13623" max="13623" width="6.28515625" style="610" customWidth="1"/>
    <col min="13624" max="13624" width="5.85546875" style="610" customWidth="1"/>
    <col min="13625" max="13626" width="4.42578125" style="610" customWidth="1"/>
    <col min="13627" max="13627" width="5" style="610" customWidth="1"/>
    <col min="13628" max="13628" width="5.85546875" style="610" customWidth="1"/>
    <col min="13629" max="13629" width="6.140625" style="610" customWidth="1"/>
    <col min="13630" max="13630" width="6.28515625" style="610" customWidth="1"/>
    <col min="13631" max="13631" width="4.85546875" style="610" customWidth="1"/>
    <col min="13632" max="13632" width="8.140625" style="610" customWidth="1"/>
    <col min="13633" max="13633" width="11.5703125" style="610" customWidth="1"/>
    <col min="13634" max="13634" width="13.7109375" style="610" customWidth="1"/>
    <col min="13635" max="13635" width="20.85546875" style="610" customWidth="1"/>
    <col min="13636" max="13848" width="11.42578125" style="610"/>
    <col min="13849" max="13849" width="13.140625" style="610" customWidth="1"/>
    <col min="13850" max="13850" width="4" style="610" customWidth="1"/>
    <col min="13851" max="13851" width="12.85546875" style="610" customWidth="1"/>
    <col min="13852" max="13852" width="14.7109375" style="610" customWidth="1"/>
    <col min="13853" max="13853" width="10" style="610" customWidth="1"/>
    <col min="13854" max="13854" width="6.28515625" style="610" customWidth="1"/>
    <col min="13855" max="13855" width="12.28515625" style="610" customWidth="1"/>
    <col min="13856" max="13856" width="8.5703125" style="610" customWidth="1"/>
    <col min="13857" max="13857" width="13.7109375" style="610" customWidth="1"/>
    <col min="13858" max="13858" width="11.5703125" style="610" customWidth="1"/>
    <col min="13859" max="13859" width="24.7109375" style="610" customWidth="1"/>
    <col min="13860" max="13860" width="17.42578125" style="610" customWidth="1"/>
    <col min="13861" max="13861" width="20.85546875" style="610" customWidth="1"/>
    <col min="13862" max="13862" width="26.85546875" style="610" customWidth="1"/>
    <col min="13863" max="13863" width="8" style="610" customWidth="1"/>
    <col min="13864" max="13864" width="25" style="610" customWidth="1"/>
    <col min="13865" max="13865" width="12.7109375" style="610" customWidth="1"/>
    <col min="13866" max="13866" width="16.42578125" style="610" customWidth="1"/>
    <col min="13867" max="13867" width="23.5703125" style="610" customWidth="1"/>
    <col min="13868" max="13868" width="33.7109375" style="610" customWidth="1"/>
    <col min="13869" max="13869" width="31.140625" style="610" customWidth="1"/>
    <col min="13870" max="13870" width="19.28515625" style="610" customWidth="1"/>
    <col min="13871" max="13871" width="11.7109375" style="610" customWidth="1"/>
    <col min="13872" max="13872" width="15.42578125" style="610" customWidth="1"/>
    <col min="13873" max="13873" width="5.5703125" style="610" customWidth="1"/>
    <col min="13874" max="13874" width="4.7109375" style="610" customWidth="1"/>
    <col min="13875" max="13876" width="7.28515625" style="610" customWidth="1"/>
    <col min="13877" max="13877" width="8.42578125" style="610" customWidth="1"/>
    <col min="13878" max="13878" width="9.5703125" style="610" customWidth="1"/>
    <col min="13879" max="13879" width="6.28515625" style="610" customWidth="1"/>
    <col min="13880" max="13880" width="5.85546875" style="610" customWidth="1"/>
    <col min="13881" max="13882" width="4.42578125" style="610" customWidth="1"/>
    <col min="13883" max="13883" width="5" style="610" customWidth="1"/>
    <col min="13884" max="13884" width="5.85546875" style="610" customWidth="1"/>
    <col min="13885" max="13885" width="6.140625" style="610" customWidth="1"/>
    <col min="13886" max="13886" width="6.28515625" style="610" customWidth="1"/>
    <col min="13887" max="13887" width="4.85546875" style="610" customWidth="1"/>
    <col min="13888" max="13888" width="8.140625" style="610" customWidth="1"/>
    <col min="13889" max="13889" width="11.5703125" style="610" customWidth="1"/>
    <col min="13890" max="13890" width="13.7109375" style="610" customWidth="1"/>
    <col min="13891" max="13891" width="20.85546875" style="610" customWidth="1"/>
    <col min="13892" max="14104" width="11.42578125" style="610"/>
    <col min="14105" max="14105" width="13.140625" style="610" customWidth="1"/>
    <col min="14106" max="14106" width="4" style="610" customWidth="1"/>
    <col min="14107" max="14107" width="12.85546875" style="610" customWidth="1"/>
    <col min="14108" max="14108" width="14.7109375" style="610" customWidth="1"/>
    <col min="14109" max="14109" width="10" style="610" customWidth="1"/>
    <col min="14110" max="14110" width="6.28515625" style="610" customWidth="1"/>
    <col min="14111" max="14111" width="12.28515625" style="610" customWidth="1"/>
    <col min="14112" max="14112" width="8.5703125" style="610" customWidth="1"/>
    <col min="14113" max="14113" width="13.7109375" style="610" customWidth="1"/>
    <col min="14114" max="14114" width="11.5703125" style="610" customWidth="1"/>
    <col min="14115" max="14115" width="24.7109375" style="610" customWidth="1"/>
    <col min="14116" max="14116" width="17.42578125" style="610" customWidth="1"/>
    <col min="14117" max="14117" width="20.85546875" style="610" customWidth="1"/>
    <col min="14118" max="14118" width="26.85546875" style="610" customWidth="1"/>
    <col min="14119" max="14119" width="8" style="610" customWidth="1"/>
    <col min="14120" max="14120" width="25" style="610" customWidth="1"/>
    <col min="14121" max="14121" width="12.7109375" style="610" customWidth="1"/>
    <col min="14122" max="14122" width="16.42578125" style="610" customWidth="1"/>
    <col min="14123" max="14123" width="23.5703125" style="610" customWidth="1"/>
    <col min="14124" max="14124" width="33.7109375" style="610" customWidth="1"/>
    <col min="14125" max="14125" width="31.140625" style="610" customWidth="1"/>
    <col min="14126" max="14126" width="19.28515625" style="610" customWidth="1"/>
    <col min="14127" max="14127" width="11.7109375" style="610" customWidth="1"/>
    <col min="14128" max="14128" width="15.42578125" style="610" customWidth="1"/>
    <col min="14129" max="14129" width="5.5703125" style="610" customWidth="1"/>
    <col min="14130" max="14130" width="4.7109375" style="610" customWidth="1"/>
    <col min="14131" max="14132" width="7.28515625" style="610" customWidth="1"/>
    <col min="14133" max="14133" width="8.42578125" style="610" customWidth="1"/>
    <col min="14134" max="14134" width="9.5703125" style="610" customWidth="1"/>
    <col min="14135" max="14135" width="6.28515625" style="610" customWidth="1"/>
    <col min="14136" max="14136" width="5.85546875" style="610" customWidth="1"/>
    <col min="14137" max="14138" width="4.42578125" style="610" customWidth="1"/>
    <col min="14139" max="14139" width="5" style="610" customWidth="1"/>
    <col min="14140" max="14140" width="5.85546875" style="610" customWidth="1"/>
    <col min="14141" max="14141" width="6.140625" style="610" customWidth="1"/>
    <col min="14142" max="14142" width="6.28515625" style="610" customWidth="1"/>
    <col min="14143" max="14143" width="4.85546875" style="610" customWidth="1"/>
    <col min="14144" max="14144" width="8.140625" style="610" customWidth="1"/>
    <col min="14145" max="14145" width="11.5703125" style="610" customWidth="1"/>
    <col min="14146" max="14146" width="13.7109375" style="610" customWidth="1"/>
    <col min="14147" max="14147" width="20.85546875" style="610" customWidth="1"/>
    <col min="14148" max="14360" width="11.42578125" style="610"/>
    <col min="14361" max="14361" width="13.140625" style="610" customWidth="1"/>
    <col min="14362" max="14362" width="4" style="610" customWidth="1"/>
    <col min="14363" max="14363" width="12.85546875" style="610" customWidth="1"/>
    <col min="14364" max="14364" width="14.7109375" style="610" customWidth="1"/>
    <col min="14365" max="14365" width="10" style="610" customWidth="1"/>
    <col min="14366" max="14366" width="6.28515625" style="610" customWidth="1"/>
    <col min="14367" max="14367" width="12.28515625" style="610" customWidth="1"/>
    <col min="14368" max="14368" width="8.5703125" style="610" customWidth="1"/>
    <col min="14369" max="14369" width="13.7109375" style="610" customWidth="1"/>
    <col min="14370" max="14370" width="11.5703125" style="610" customWidth="1"/>
    <col min="14371" max="14371" width="24.7109375" style="610" customWidth="1"/>
    <col min="14372" max="14372" width="17.42578125" style="610" customWidth="1"/>
    <col min="14373" max="14373" width="20.85546875" style="610" customWidth="1"/>
    <col min="14374" max="14374" width="26.85546875" style="610" customWidth="1"/>
    <col min="14375" max="14375" width="8" style="610" customWidth="1"/>
    <col min="14376" max="14376" width="25" style="610" customWidth="1"/>
    <col min="14377" max="14377" width="12.7109375" style="610" customWidth="1"/>
    <col min="14378" max="14378" width="16.42578125" style="610" customWidth="1"/>
    <col min="14379" max="14379" width="23.5703125" style="610" customWidth="1"/>
    <col min="14380" max="14380" width="33.7109375" style="610" customWidth="1"/>
    <col min="14381" max="14381" width="31.140625" style="610" customWidth="1"/>
    <col min="14382" max="14382" width="19.28515625" style="610" customWidth="1"/>
    <col min="14383" max="14383" width="11.7109375" style="610" customWidth="1"/>
    <col min="14384" max="14384" width="15.42578125" style="610" customWidth="1"/>
    <col min="14385" max="14385" width="5.5703125" style="610" customWidth="1"/>
    <col min="14386" max="14386" width="4.7109375" style="610" customWidth="1"/>
    <col min="14387" max="14388" width="7.28515625" style="610" customWidth="1"/>
    <col min="14389" max="14389" width="8.42578125" style="610" customWidth="1"/>
    <col min="14390" max="14390" width="9.5703125" style="610" customWidth="1"/>
    <col min="14391" max="14391" width="6.28515625" style="610" customWidth="1"/>
    <col min="14392" max="14392" width="5.85546875" style="610" customWidth="1"/>
    <col min="14393" max="14394" width="4.42578125" style="610" customWidth="1"/>
    <col min="14395" max="14395" width="5" style="610" customWidth="1"/>
    <col min="14396" max="14396" width="5.85546875" style="610" customWidth="1"/>
    <col min="14397" max="14397" width="6.140625" style="610" customWidth="1"/>
    <col min="14398" max="14398" width="6.28515625" style="610" customWidth="1"/>
    <col min="14399" max="14399" width="4.85546875" style="610" customWidth="1"/>
    <col min="14400" max="14400" width="8.140625" style="610" customWidth="1"/>
    <col min="14401" max="14401" width="11.5703125" style="610" customWidth="1"/>
    <col min="14402" max="14402" width="13.7109375" style="610" customWidth="1"/>
    <col min="14403" max="14403" width="20.85546875" style="610" customWidth="1"/>
    <col min="14404" max="14616" width="11.42578125" style="610"/>
    <col min="14617" max="14617" width="13.140625" style="610" customWidth="1"/>
    <col min="14618" max="14618" width="4" style="610" customWidth="1"/>
    <col min="14619" max="14619" width="12.85546875" style="610" customWidth="1"/>
    <col min="14620" max="14620" width="14.7109375" style="610" customWidth="1"/>
    <col min="14621" max="14621" width="10" style="610" customWidth="1"/>
    <col min="14622" max="14622" width="6.28515625" style="610" customWidth="1"/>
    <col min="14623" max="14623" width="12.28515625" style="610" customWidth="1"/>
    <col min="14624" max="14624" width="8.5703125" style="610" customWidth="1"/>
    <col min="14625" max="14625" width="13.7109375" style="610" customWidth="1"/>
    <col min="14626" max="14626" width="11.5703125" style="610" customWidth="1"/>
    <col min="14627" max="14627" width="24.7109375" style="610" customWidth="1"/>
    <col min="14628" max="14628" width="17.42578125" style="610" customWidth="1"/>
    <col min="14629" max="14629" width="20.85546875" style="610" customWidth="1"/>
    <col min="14630" max="14630" width="26.85546875" style="610" customWidth="1"/>
    <col min="14631" max="14631" width="8" style="610" customWidth="1"/>
    <col min="14632" max="14632" width="25" style="610" customWidth="1"/>
    <col min="14633" max="14633" width="12.7109375" style="610" customWidth="1"/>
    <col min="14634" max="14634" width="16.42578125" style="610" customWidth="1"/>
    <col min="14635" max="14635" width="23.5703125" style="610" customWidth="1"/>
    <col min="14636" max="14636" width="33.7109375" style="610" customWidth="1"/>
    <col min="14637" max="14637" width="31.140625" style="610" customWidth="1"/>
    <col min="14638" max="14638" width="19.28515625" style="610" customWidth="1"/>
    <col min="14639" max="14639" width="11.7109375" style="610" customWidth="1"/>
    <col min="14640" max="14640" width="15.42578125" style="610" customWidth="1"/>
    <col min="14641" max="14641" width="5.5703125" style="610" customWidth="1"/>
    <col min="14642" max="14642" width="4.7109375" style="610" customWidth="1"/>
    <col min="14643" max="14644" width="7.28515625" style="610" customWidth="1"/>
    <col min="14645" max="14645" width="8.42578125" style="610" customWidth="1"/>
    <col min="14646" max="14646" width="9.5703125" style="610" customWidth="1"/>
    <col min="14647" max="14647" width="6.28515625" style="610" customWidth="1"/>
    <col min="14648" max="14648" width="5.85546875" style="610" customWidth="1"/>
    <col min="14649" max="14650" width="4.42578125" style="610" customWidth="1"/>
    <col min="14651" max="14651" width="5" style="610" customWidth="1"/>
    <col min="14652" max="14652" width="5.85546875" style="610" customWidth="1"/>
    <col min="14653" max="14653" width="6.140625" style="610" customWidth="1"/>
    <col min="14654" max="14654" width="6.28515625" style="610" customWidth="1"/>
    <col min="14655" max="14655" width="4.85546875" style="610" customWidth="1"/>
    <col min="14656" max="14656" width="8.140625" style="610" customWidth="1"/>
    <col min="14657" max="14657" width="11.5703125" style="610" customWidth="1"/>
    <col min="14658" max="14658" width="13.7109375" style="610" customWidth="1"/>
    <col min="14659" max="14659" width="20.85546875" style="610" customWidth="1"/>
    <col min="14660" max="14872" width="11.42578125" style="610"/>
    <col min="14873" max="14873" width="13.140625" style="610" customWidth="1"/>
    <col min="14874" max="14874" width="4" style="610" customWidth="1"/>
    <col min="14875" max="14875" width="12.85546875" style="610" customWidth="1"/>
    <col min="14876" max="14876" width="14.7109375" style="610" customWidth="1"/>
    <col min="14877" max="14877" width="10" style="610" customWidth="1"/>
    <col min="14878" max="14878" width="6.28515625" style="610" customWidth="1"/>
    <col min="14879" max="14879" width="12.28515625" style="610" customWidth="1"/>
    <col min="14880" max="14880" width="8.5703125" style="610" customWidth="1"/>
    <col min="14881" max="14881" width="13.7109375" style="610" customWidth="1"/>
    <col min="14882" max="14882" width="11.5703125" style="610" customWidth="1"/>
    <col min="14883" max="14883" width="24.7109375" style="610" customWidth="1"/>
    <col min="14884" max="14884" width="17.42578125" style="610" customWidth="1"/>
    <col min="14885" max="14885" width="20.85546875" style="610" customWidth="1"/>
    <col min="14886" max="14886" width="26.85546875" style="610" customWidth="1"/>
    <col min="14887" max="14887" width="8" style="610" customWidth="1"/>
    <col min="14888" max="14888" width="25" style="610" customWidth="1"/>
    <col min="14889" max="14889" width="12.7109375" style="610" customWidth="1"/>
    <col min="14890" max="14890" width="16.42578125" style="610" customWidth="1"/>
    <col min="14891" max="14891" width="23.5703125" style="610" customWidth="1"/>
    <col min="14892" max="14892" width="33.7109375" style="610" customWidth="1"/>
    <col min="14893" max="14893" width="31.140625" style="610" customWidth="1"/>
    <col min="14894" max="14894" width="19.28515625" style="610" customWidth="1"/>
    <col min="14895" max="14895" width="11.7109375" style="610" customWidth="1"/>
    <col min="14896" max="14896" width="15.42578125" style="610" customWidth="1"/>
    <col min="14897" max="14897" width="5.5703125" style="610" customWidth="1"/>
    <col min="14898" max="14898" width="4.7109375" style="610" customWidth="1"/>
    <col min="14899" max="14900" width="7.28515625" style="610" customWidth="1"/>
    <col min="14901" max="14901" width="8.42578125" style="610" customWidth="1"/>
    <col min="14902" max="14902" width="9.5703125" style="610" customWidth="1"/>
    <col min="14903" max="14903" width="6.28515625" style="610" customWidth="1"/>
    <col min="14904" max="14904" width="5.85546875" style="610" customWidth="1"/>
    <col min="14905" max="14906" width="4.42578125" style="610" customWidth="1"/>
    <col min="14907" max="14907" width="5" style="610" customWidth="1"/>
    <col min="14908" max="14908" width="5.85546875" style="610" customWidth="1"/>
    <col min="14909" max="14909" width="6.140625" style="610" customWidth="1"/>
    <col min="14910" max="14910" width="6.28515625" style="610" customWidth="1"/>
    <col min="14911" max="14911" width="4.85546875" style="610" customWidth="1"/>
    <col min="14912" max="14912" width="8.140625" style="610" customWidth="1"/>
    <col min="14913" max="14913" width="11.5703125" style="610" customWidth="1"/>
    <col min="14914" max="14914" width="13.7109375" style="610" customWidth="1"/>
    <col min="14915" max="14915" width="20.85546875" style="610" customWidth="1"/>
    <col min="14916" max="15128" width="11.42578125" style="610"/>
    <col min="15129" max="15129" width="13.140625" style="610" customWidth="1"/>
    <col min="15130" max="15130" width="4" style="610" customWidth="1"/>
    <col min="15131" max="15131" width="12.85546875" style="610" customWidth="1"/>
    <col min="15132" max="15132" width="14.7109375" style="610" customWidth="1"/>
    <col min="15133" max="15133" width="10" style="610" customWidth="1"/>
    <col min="15134" max="15134" width="6.28515625" style="610" customWidth="1"/>
    <col min="15135" max="15135" width="12.28515625" style="610" customWidth="1"/>
    <col min="15136" max="15136" width="8.5703125" style="610" customWidth="1"/>
    <col min="15137" max="15137" width="13.7109375" style="610" customWidth="1"/>
    <col min="15138" max="15138" width="11.5703125" style="610" customWidth="1"/>
    <col min="15139" max="15139" width="24.7109375" style="610" customWidth="1"/>
    <col min="15140" max="15140" width="17.42578125" style="610" customWidth="1"/>
    <col min="15141" max="15141" width="20.85546875" style="610" customWidth="1"/>
    <col min="15142" max="15142" width="26.85546875" style="610" customWidth="1"/>
    <col min="15143" max="15143" width="8" style="610" customWidth="1"/>
    <col min="15144" max="15144" width="25" style="610" customWidth="1"/>
    <col min="15145" max="15145" width="12.7109375" style="610" customWidth="1"/>
    <col min="15146" max="15146" width="16.42578125" style="610" customWidth="1"/>
    <col min="15147" max="15147" width="23.5703125" style="610" customWidth="1"/>
    <col min="15148" max="15148" width="33.7109375" style="610" customWidth="1"/>
    <col min="15149" max="15149" width="31.140625" style="610" customWidth="1"/>
    <col min="15150" max="15150" width="19.28515625" style="610" customWidth="1"/>
    <col min="15151" max="15151" width="11.7109375" style="610" customWidth="1"/>
    <col min="15152" max="15152" width="15.42578125" style="610" customWidth="1"/>
    <col min="15153" max="15153" width="5.5703125" style="610" customWidth="1"/>
    <col min="15154" max="15154" width="4.7109375" style="610" customWidth="1"/>
    <col min="15155" max="15156" width="7.28515625" style="610" customWidth="1"/>
    <col min="15157" max="15157" width="8.42578125" style="610" customWidth="1"/>
    <col min="15158" max="15158" width="9.5703125" style="610" customWidth="1"/>
    <col min="15159" max="15159" width="6.28515625" style="610" customWidth="1"/>
    <col min="15160" max="15160" width="5.85546875" style="610" customWidth="1"/>
    <col min="15161" max="15162" width="4.42578125" style="610" customWidth="1"/>
    <col min="15163" max="15163" width="5" style="610" customWidth="1"/>
    <col min="15164" max="15164" width="5.85546875" style="610" customWidth="1"/>
    <col min="15165" max="15165" width="6.140625" style="610" customWidth="1"/>
    <col min="15166" max="15166" width="6.28515625" style="610" customWidth="1"/>
    <col min="15167" max="15167" width="4.85546875" style="610" customWidth="1"/>
    <col min="15168" max="15168" width="8.140625" style="610" customWidth="1"/>
    <col min="15169" max="15169" width="11.5703125" style="610" customWidth="1"/>
    <col min="15170" max="15170" width="13.7109375" style="610" customWidth="1"/>
    <col min="15171" max="15171" width="20.85546875" style="610" customWidth="1"/>
    <col min="15172" max="15384" width="11.42578125" style="610"/>
    <col min="15385" max="15385" width="13.140625" style="610" customWidth="1"/>
    <col min="15386" max="15386" width="4" style="610" customWidth="1"/>
    <col min="15387" max="15387" width="12.85546875" style="610" customWidth="1"/>
    <col min="15388" max="15388" width="14.7109375" style="610" customWidth="1"/>
    <col min="15389" max="15389" width="10" style="610" customWidth="1"/>
    <col min="15390" max="15390" width="6.28515625" style="610" customWidth="1"/>
    <col min="15391" max="15391" width="12.28515625" style="610" customWidth="1"/>
    <col min="15392" max="15392" width="8.5703125" style="610" customWidth="1"/>
    <col min="15393" max="15393" width="13.7109375" style="610" customWidth="1"/>
    <col min="15394" max="15394" width="11.5703125" style="610" customWidth="1"/>
    <col min="15395" max="15395" width="24.7109375" style="610" customWidth="1"/>
    <col min="15396" max="15396" width="17.42578125" style="610" customWidth="1"/>
    <col min="15397" max="15397" width="20.85546875" style="610" customWidth="1"/>
    <col min="15398" max="15398" width="26.85546875" style="610" customWidth="1"/>
    <col min="15399" max="15399" width="8" style="610" customWidth="1"/>
    <col min="15400" max="15400" width="25" style="610" customWidth="1"/>
    <col min="15401" max="15401" width="12.7109375" style="610" customWidth="1"/>
    <col min="15402" max="15402" width="16.42578125" style="610" customWidth="1"/>
    <col min="15403" max="15403" width="23.5703125" style="610" customWidth="1"/>
    <col min="15404" max="15404" width="33.7109375" style="610" customWidth="1"/>
    <col min="15405" max="15405" width="31.140625" style="610" customWidth="1"/>
    <col min="15406" max="15406" width="19.28515625" style="610" customWidth="1"/>
    <col min="15407" max="15407" width="11.7109375" style="610" customWidth="1"/>
    <col min="15408" max="15408" width="15.42578125" style="610" customWidth="1"/>
    <col min="15409" max="15409" width="5.5703125" style="610" customWidth="1"/>
    <col min="15410" max="15410" width="4.7109375" style="610" customWidth="1"/>
    <col min="15411" max="15412" width="7.28515625" style="610" customWidth="1"/>
    <col min="15413" max="15413" width="8.42578125" style="610" customWidth="1"/>
    <col min="15414" max="15414" width="9.5703125" style="610" customWidth="1"/>
    <col min="15415" max="15415" width="6.28515625" style="610" customWidth="1"/>
    <col min="15416" max="15416" width="5.85546875" style="610" customWidth="1"/>
    <col min="15417" max="15418" width="4.42578125" style="610" customWidth="1"/>
    <col min="15419" max="15419" width="5" style="610" customWidth="1"/>
    <col min="15420" max="15420" width="5.85546875" style="610" customWidth="1"/>
    <col min="15421" max="15421" width="6.140625" style="610" customWidth="1"/>
    <col min="15422" max="15422" width="6.28515625" style="610" customWidth="1"/>
    <col min="15423" max="15423" width="4.85546875" style="610" customWidth="1"/>
    <col min="15424" max="15424" width="8.140625" style="610" customWidth="1"/>
    <col min="15425" max="15425" width="11.5703125" style="610" customWidth="1"/>
    <col min="15426" max="15426" width="13.7109375" style="610" customWidth="1"/>
    <col min="15427" max="15427" width="20.85546875" style="610" customWidth="1"/>
    <col min="15428" max="15640" width="11.42578125" style="610"/>
    <col min="15641" max="15641" width="13.140625" style="610" customWidth="1"/>
    <col min="15642" max="15642" width="4" style="610" customWidth="1"/>
    <col min="15643" max="15643" width="12.85546875" style="610" customWidth="1"/>
    <col min="15644" max="15644" width="14.7109375" style="610" customWidth="1"/>
    <col min="15645" max="15645" width="10" style="610" customWidth="1"/>
    <col min="15646" max="15646" width="6.28515625" style="610" customWidth="1"/>
    <col min="15647" max="15647" width="12.28515625" style="610" customWidth="1"/>
    <col min="15648" max="15648" width="8.5703125" style="610" customWidth="1"/>
    <col min="15649" max="15649" width="13.7109375" style="610" customWidth="1"/>
    <col min="15650" max="15650" width="11.5703125" style="610" customWidth="1"/>
    <col min="15651" max="15651" width="24.7109375" style="610" customWidth="1"/>
    <col min="15652" max="15652" width="17.42578125" style="610" customWidth="1"/>
    <col min="15653" max="15653" width="20.85546875" style="610" customWidth="1"/>
    <col min="15654" max="15654" width="26.85546875" style="610" customWidth="1"/>
    <col min="15655" max="15655" width="8" style="610" customWidth="1"/>
    <col min="15656" max="15656" width="25" style="610" customWidth="1"/>
    <col min="15657" max="15657" width="12.7109375" style="610" customWidth="1"/>
    <col min="15658" max="15658" width="16.42578125" style="610" customWidth="1"/>
    <col min="15659" max="15659" width="23.5703125" style="610" customWidth="1"/>
    <col min="15660" max="15660" width="33.7109375" style="610" customWidth="1"/>
    <col min="15661" max="15661" width="31.140625" style="610" customWidth="1"/>
    <col min="15662" max="15662" width="19.28515625" style="610" customWidth="1"/>
    <col min="15663" max="15663" width="11.7109375" style="610" customWidth="1"/>
    <col min="15664" max="15664" width="15.42578125" style="610" customWidth="1"/>
    <col min="15665" max="15665" width="5.5703125" style="610" customWidth="1"/>
    <col min="15666" max="15666" width="4.7109375" style="610" customWidth="1"/>
    <col min="15667" max="15668" width="7.28515625" style="610" customWidth="1"/>
    <col min="15669" max="15669" width="8.42578125" style="610" customWidth="1"/>
    <col min="15670" max="15670" width="9.5703125" style="610" customWidth="1"/>
    <col min="15671" max="15671" width="6.28515625" style="610" customWidth="1"/>
    <col min="15672" max="15672" width="5.85546875" style="610" customWidth="1"/>
    <col min="15673" max="15674" width="4.42578125" style="610" customWidth="1"/>
    <col min="15675" max="15675" width="5" style="610" customWidth="1"/>
    <col min="15676" max="15676" width="5.85546875" style="610" customWidth="1"/>
    <col min="15677" max="15677" width="6.140625" style="610" customWidth="1"/>
    <col min="15678" max="15678" width="6.28515625" style="610" customWidth="1"/>
    <col min="15679" max="15679" width="4.85546875" style="610" customWidth="1"/>
    <col min="15680" max="15680" width="8.140625" style="610" customWidth="1"/>
    <col min="15681" max="15681" width="11.5703125" style="610" customWidth="1"/>
    <col min="15682" max="15682" width="13.7109375" style="610" customWidth="1"/>
    <col min="15683" max="15683" width="20.85546875" style="610" customWidth="1"/>
    <col min="15684" max="15896" width="11.42578125" style="610"/>
    <col min="15897" max="15897" width="13.140625" style="610" customWidth="1"/>
    <col min="15898" max="15898" width="4" style="610" customWidth="1"/>
    <col min="15899" max="15899" width="12.85546875" style="610" customWidth="1"/>
    <col min="15900" max="15900" width="14.7109375" style="610" customWidth="1"/>
    <col min="15901" max="15901" width="10" style="610" customWidth="1"/>
    <col min="15902" max="15902" width="6.28515625" style="610" customWidth="1"/>
    <col min="15903" max="15903" width="12.28515625" style="610" customWidth="1"/>
    <col min="15904" max="15904" width="8.5703125" style="610" customWidth="1"/>
    <col min="15905" max="15905" width="13.7109375" style="610" customWidth="1"/>
    <col min="15906" max="15906" width="11.5703125" style="610" customWidth="1"/>
    <col min="15907" max="15907" width="24.7109375" style="610" customWidth="1"/>
    <col min="15908" max="15908" width="17.42578125" style="610" customWidth="1"/>
    <col min="15909" max="15909" width="20.85546875" style="610" customWidth="1"/>
    <col min="15910" max="15910" width="26.85546875" style="610" customWidth="1"/>
    <col min="15911" max="15911" width="8" style="610" customWidth="1"/>
    <col min="15912" max="15912" width="25" style="610" customWidth="1"/>
    <col min="15913" max="15913" width="12.7109375" style="610" customWidth="1"/>
    <col min="15914" max="15914" width="16.42578125" style="610" customWidth="1"/>
    <col min="15915" max="15915" width="23.5703125" style="610" customWidth="1"/>
    <col min="15916" max="15916" width="33.7109375" style="610" customWidth="1"/>
    <col min="15917" max="15917" width="31.140625" style="610" customWidth="1"/>
    <col min="15918" max="15918" width="19.28515625" style="610" customWidth="1"/>
    <col min="15919" max="15919" width="11.7109375" style="610" customWidth="1"/>
    <col min="15920" max="15920" width="15.42578125" style="610" customWidth="1"/>
    <col min="15921" max="15921" width="5.5703125" style="610" customWidth="1"/>
    <col min="15922" max="15922" width="4.7109375" style="610" customWidth="1"/>
    <col min="15923" max="15924" width="7.28515625" style="610" customWidth="1"/>
    <col min="15925" max="15925" width="8.42578125" style="610" customWidth="1"/>
    <col min="15926" max="15926" width="9.5703125" style="610" customWidth="1"/>
    <col min="15927" max="15927" width="6.28515625" style="610" customWidth="1"/>
    <col min="15928" max="15928" width="5.85546875" style="610" customWidth="1"/>
    <col min="15929" max="15930" width="4.42578125" style="610" customWidth="1"/>
    <col min="15931" max="15931" width="5" style="610" customWidth="1"/>
    <col min="15932" max="15932" width="5.85546875" style="610" customWidth="1"/>
    <col min="15933" max="15933" width="6.140625" style="610" customWidth="1"/>
    <col min="15934" max="15934" width="6.28515625" style="610" customWidth="1"/>
    <col min="15935" max="15935" width="4.85546875" style="610" customWidth="1"/>
    <col min="15936" max="15936" width="8.140625" style="610" customWidth="1"/>
    <col min="15937" max="15937" width="11.5703125" style="610" customWidth="1"/>
    <col min="15938" max="15938" width="13.7109375" style="610" customWidth="1"/>
    <col min="15939" max="15939" width="20.85546875" style="610" customWidth="1"/>
    <col min="15940" max="16152" width="11.42578125" style="610"/>
    <col min="16153" max="16153" width="13.140625" style="610" customWidth="1"/>
    <col min="16154" max="16154" width="4" style="610" customWidth="1"/>
    <col min="16155" max="16155" width="12.85546875" style="610" customWidth="1"/>
    <col min="16156" max="16156" width="14.7109375" style="610" customWidth="1"/>
    <col min="16157" max="16157" width="10" style="610" customWidth="1"/>
    <col min="16158" max="16158" width="6.28515625" style="610" customWidth="1"/>
    <col min="16159" max="16159" width="12.28515625" style="610" customWidth="1"/>
    <col min="16160" max="16160" width="8.5703125" style="610" customWidth="1"/>
    <col min="16161" max="16161" width="13.7109375" style="610" customWidth="1"/>
    <col min="16162" max="16162" width="11.5703125" style="610" customWidth="1"/>
    <col min="16163" max="16163" width="24.7109375" style="610" customWidth="1"/>
    <col min="16164" max="16164" width="17.42578125" style="610" customWidth="1"/>
    <col min="16165" max="16165" width="20.85546875" style="610" customWidth="1"/>
    <col min="16166" max="16166" width="26.85546875" style="610" customWidth="1"/>
    <col min="16167" max="16167" width="8" style="610" customWidth="1"/>
    <col min="16168" max="16168" width="25" style="610" customWidth="1"/>
    <col min="16169" max="16169" width="12.7109375" style="610" customWidth="1"/>
    <col min="16170" max="16170" width="16.42578125" style="610" customWidth="1"/>
    <col min="16171" max="16171" width="23.5703125" style="610" customWidth="1"/>
    <col min="16172" max="16172" width="33.7109375" style="610" customWidth="1"/>
    <col min="16173" max="16173" width="31.140625" style="610" customWidth="1"/>
    <col min="16174" max="16174" width="19.28515625" style="610" customWidth="1"/>
    <col min="16175" max="16175" width="11.7109375" style="610" customWidth="1"/>
    <col min="16176" max="16176" width="15.42578125" style="610" customWidth="1"/>
    <col min="16177" max="16177" width="5.5703125" style="610" customWidth="1"/>
    <col min="16178" max="16178" width="4.7109375" style="610" customWidth="1"/>
    <col min="16179" max="16180" width="7.28515625" style="610" customWidth="1"/>
    <col min="16181" max="16181" width="8.42578125" style="610" customWidth="1"/>
    <col min="16182" max="16182" width="9.5703125" style="610" customWidth="1"/>
    <col min="16183" max="16183" width="6.28515625" style="610" customWidth="1"/>
    <col min="16184" max="16184" width="5.85546875" style="610" customWidth="1"/>
    <col min="16185" max="16186" width="4.42578125" style="610" customWidth="1"/>
    <col min="16187" max="16187" width="5" style="610" customWidth="1"/>
    <col min="16188" max="16188" width="5.85546875" style="610" customWidth="1"/>
    <col min="16189" max="16189" width="6.140625" style="610" customWidth="1"/>
    <col min="16190" max="16190" width="6.28515625" style="610" customWidth="1"/>
    <col min="16191" max="16191" width="4.85546875" style="610" customWidth="1"/>
    <col min="16192" max="16192" width="8.140625" style="610" customWidth="1"/>
    <col min="16193" max="16193" width="11.5703125" style="610" customWidth="1"/>
    <col min="16194" max="16194" width="13.7109375" style="610" customWidth="1"/>
    <col min="16195" max="16195" width="20.85546875" style="610" customWidth="1"/>
    <col min="16196" max="16384" width="11.42578125" style="610"/>
  </cols>
  <sheetData>
    <row r="1" spans="1:87" ht="15.75" x14ac:dyDescent="0.25">
      <c r="A1" s="3434" t="s">
        <v>331</v>
      </c>
      <c r="B1" s="3435"/>
      <c r="C1" s="3435"/>
      <c r="D1" s="3435"/>
      <c r="E1" s="3435"/>
      <c r="F1" s="3435"/>
      <c r="G1" s="3435"/>
      <c r="H1" s="3435"/>
      <c r="I1" s="3435"/>
      <c r="J1" s="3435"/>
      <c r="K1" s="3435"/>
      <c r="L1" s="3435"/>
      <c r="M1" s="3435"/>
      <c r="N1" s="3435"/>
      <c r="O1" s="3435"/>
      <c r="P1" s="3435"/>
      <c r="Q1" s="3435"/>
      <c r="R1" s="3435"/>
      <c r="S1" s="3435"/>
      <c r="T1" s="3435"/>
      <c r="U1" s="3435"/>
      <c r="V1" s="3435"/>
      <c r="W1" s="3435"/>
      <c r="X1" s="3435"/>
      <c r="Y1" s="3435"/>
      <c r="Z1" s="3435"/>
      <c r="AA1" s="3435"/>
      <c r="AB1" s="3435"/>
      <c r="AC1" s="3435"/>
      <c r="AD1" s="3435"/>
      <c r="AE1" s="3435"/>
      <c r="AF1" s="3435"/>
      <c r="AG1" s="3435"/>
      <c r="AH1" s="3435"/>
      <c r="AI1" s="3435"/>
      <c r="AJ1" s="3435"/>
      <c r="AK1" s="3435"/>
      <c r="AL1" s="3435"/>
      <c r="AM1" s="3435"/>
      <c r="AN1" s="3435"/>
      <c r="AO1" s="3435"/>
      <c r="AP1" s="3435"/>
      <c r="AQ1" s="3435"/>
      <c r="AR1" s="3435"/>
      <c r="AS1" s="3435"/>
      <c r="AT1" s="3435"/>
      <c r="AU1" s="3435"/>
      <c r="AV1" s="3435"/>
      <c r="AW1" s="3435"/>
      <c r="AX1" s="3435"/>
      <c r="AY1" s="3435"/>
      <c r="AZ1" s="3435"/>
      <c r="BA1" s="3435"/>
      <c r="BB1" s="3435"/>
      <c r="BC1" s="3435"/>
      <c r="BD1" s="3435"/>
      <c r="BE1" s="3435"/>
      <c r="BF1" s="3435"/>
      <c r="BG1" s="3435"/>
      <c r="BH1" s="3435"/>
      <c r="BI1" s="3435"/>
      <c r="BJ1" s="3435"/>
      <c r="BK1" s="3435"/>
      <c r="BL1" s="3435"/>
      <c r="BM1" s="3435"/>
      <c r="BN1" s="3435"/>
      <c r="BO1" s="3435"/>
      <c r="BP1" s="4167"/>
      <c r="BQ1" s="132" t="s">
        <v>0</v>
      </c>
      <c r="BR1" s="609" t="s">
        <v>1</v>
      </c>
    </row>
    <row r="2" spans="1:87" ht="15.75" x14ac:dyDescent="0.25">
      <c r="A2" s="3436"/>
      <c r="B2" s="3437"/>
      <c r="C2" s="3437"/>
      <c r="D2" s="3437"/>
      <c r="E2" s="3437"/>
      <c r="F2" s="3437"/>
      <c r="G2" s="3437"/>
      <c r="H2" s="3437"/>
      <c r="I2" s="3437"/>
      <c r="J2" s="3437"/>
      <c r="K2" s="3437"/>
      <c r="L2" s="3437"/>
      <c r="M2" s="3437"/>
      <c r="N2" s="3437"/>
      <c r="O2" s="3437"/>
      <c r="P2" s="3437"/>
      <c r="Q2" s="3437"/>
      <c r="R2" s="3437"/>
      <c r="S2" s="3437"/>
      <c r="T2" s="3437"/>
      <c r="U2" s="3437"/>
      <c r="V2" s="3437"/>
      <c r="W2" s="3437"/>
      <c r="X2" s="3437"/>
      <c r="Y2" s="3437"/>
      <c r="Z2" s="3437"/>
      <c r="AA2" s="3437"/>
      <c r="AB2" s="3437"/>
      <c r="AC2" s="3437"/>
      <c r="AD2" s="3437"/>
      <c r="AE2" s="3437"/>
      <c r="AF2" s="3437"/>
      <c r="AG2" s="3437"/>
      <c r="AH2" s="3437"/>
      <c r="AI2" s="3437"/>
      <c r="AJ2" s="3437"/>
      <c r="AK2" s="3437"/>
      <c r="AL2" s="3437"/>
      <c r="AM2" s="3437"/>
      <c r="AN2" s="3437"/>
      <c r="AO2" s="3437"/>
      <c r="AP2" s="3437"/>
      <c r="AQ2" s="3437"/>
      <c r="AR2" s="3437"/>
      <c r="AS2" s="3437"/>
      <c r="AT2" s="3437"/>
      <c r="AU2" s="3437"/>
      <c r="AV2" s="3437"/>
      <c r="AW2" s="3437"/>
      <c r="AX2" s="3437"/>
      <c r="AY2" s="3437"/>
      <c r="AZ2" s="3437"/>
      <c r="BA2" s="3437"/>
      <c r="BB2" s="3437"/>
      <c r="BC2" s="3437"/>
      <c r="BD2" s="3437"/>
      <c r="BE2" s="3437"/>
      <c r="BF2" s="3437"/>
      <c r="BG2" s="3437"/>
      <c r="BH2" s="3437"/>
      <c r="BI2" s="3437"/>
      <c r="BJ2" s="3437"/>
      <c r="BK2" s="3437"/>
      <c r="BL2" s="3437"/>
      <c r="BM2" s="3437"/>
      <c r="BN2" s="3437"/>
      <c r="BO2" s="3437"/>
      <c r="BP2" s="4168"/>
      <c r="BQ2" s="133" t="s">
        <v>2</v>
      </c>
      <c r="BR2" s="6">
        <v>6</v>
      </c>
    </row>
    <row r="3" spans="1:87" ht="15.75" x14ac:dyDescent="0.25">
      <c r="A3" s="3436"/>
      <c r="B3" s="3437"/>
      <c r="C3" s="3437"/>
      <c r="D3" s="3437"/>
      <c r="E3" s="3437"/>
      <c r="F3" s="3437"/>
      <c r="G3" s="3437"/>
      <c r="H3" s="3437"/>
      <c r="I3" s="3437"/>
      <c r="J3" s="3437"/>
      <c r="K3" s="3437"/>
      <c r="L3" s="3437"/>
      <c r="M3" s="3437"/>
      <c r="N3" s="3437"/>
      <c r="O3" s="3437"/>
      <c r="P3" s="3437"/>
      <c r="Q3" s="3437"/>
      <c r="R3" s="3437"/>
      <c r="S3" s="3437"/>
      <c r="T3" s="3437"/>
      <c r="U3" s="3437"/>
      <c r="V3" s="3437"/>
      <c r="W3" s="3437"/>
      <c r="X3" s="3437"/>
      <c r="Y3" s="3437"/>
      <c r="Z3" s="3437"/>
      <c r="AA3" s="3437"/>
      <c r="AB3" s="3437"/>
      <c r="AC3" s="3437"/>
      <c r="AD3" s="3437"/>
      <c r="AE3" s="3437"/>
      <c r="AF3" s="3437"/>
      <c r="AG3" s="3437"/>
      <c r="AH3" s="3437"/>
      <c r="AI3" s="3437"/>
      <c r="AJ3" s="3437"/>
      <c r="AK3" s="3437"/>
      <c r="AL3" s="3437"/>
      <c r="AM3" s="3437"/>
      <c r="AN3" s="3437"/>
      <c r="AO3" s="3437"/>
      <c r="AP3" s="3437"/>
      <c r="AQ3" s="3437"/>
      <c r="AR3" s="3437"/>
      <c r="AS3" s="3437"/>
      <c r="AT3" s="3437"/>
      <c r="AU3" s="3437"/>
      <c r="AV3" s="3437"/>
      <c r="AW3" s="3437"/>
      <c r="AX3" s="3437"/>
      <c r="AY3" s="3437"/>
      <c r="AZ3" s="3437"/>
      <c r="BA3" s="3437"/>
      <c r="BB3" s="3437"/>
      <c r="BC3" s="3437"/>
      <c r="BD3" s="3437"/>
      <c r="BE3" s="3437"/>
      <c r="BF3" s="3437"/>
      <c r="BG3" s="3437"/>
      <c r="BH3" s="3437"/>
      <c r="BI3" s="3437"/>
      <c r="BJ3" s="3437"/>
      <c r="BK3" s="3437"/>
      <c r="BL3" s="3437"/>
      <c r="BM3" s="3437"/>
      <c r="BN3" s="3437"/>
      <c r="BO3" s="3437"/>
      <c r="BP3" s="4168"/>
      <c r="BQ3" s="132" t="s">
        <v>3</v>
      </c>
      <c r="BR3" s="7" t="s">
        <v>4</v>
      </c>
    </row>
    <row r="4" spans="1:87" s="611" customFormat="1" x14ac:dyDescent="0.2">
      <c r="A4" s="3438"/>
      <c r="B4" s="3439"/>
      <c r="C4" s="3439"/>
      <c r="D4" s="3439"/>
      <c r="E4" s="3439"/>
      <c r="F4" s="3439"/>
      <c r="G4" s="3439"/>
      <c r="H4" s="3439"/>
      <c r="I4" s="3439"/>
      <c r="J4" s="3439"/>
      <c r="K4" s="3439"/>
      <c r="L4" s="3439"/>
      <c r="M4" s="3439"/>
      <c r="N4" s="3439"/>
      <c r="O4" s="3439"/>
      <c r="P4" s="3439"/>
      <c r="Q4" s="3439"/>
      <c r="R4" s="3439"/>
      <c r="S4" s="3439"/>
      <c r="T4" s="3439"/>
      <c r="U4" s="3439"/>
      <c r="V4" s="3439"/>
      <c r="W4" s="3439"/>
      <c r="X4" s="3439"/>
      <c r="Y4" s="3439"/>
      <c r="Z4" s="3439"/>
      <c r="AA4" s="3439"/>
      <c r="AB4" s="3439"/>
      <c r="AC4" s="3439"/>
      <c r="AD4" s="3439"/>
      <c r="AE4" s="3439"/>
      <c r="AF4" s="3439"/>
      <c r="AG4" s="3439"/>
      <c r="AH4" s="3439"/>
      <c r="AI4" s="3439"/>
      <c r="AJ4" s="3439"/>
      <c r="AK4" s="3439"/>
      <c r="AL4" s="3439"/>
      <c r="AM4" s="3439"/>
      <c r="AN4" s="3439"/>
      <c r="AO4" s="3439"/>
      <c r="AP4" s="3439"/>
      <c r="AQ4" s="3439"/>
      <c r="AR4" s="3439"/>
      <c r="AS4" s="3439"/>
      <c r="AT4" s="3439"/>
      <c r="AU4" s="3439"/>
      <c r="AV4" s="3439"/>
      <c r="AW4" s="3439"/>
      <c r="AX4" s="3439"/>
      <c r="AY4" s="3439"/>
      <c r="AZ4" s="3439"/>
      <c r="BA4" s="3439"/>
      <c r="BB4" s="3439"/>
      <c r="BC4" s="3439"/>
      <c r="BD4" s="3439"/>
      <c r="BE4" s="3439"/>
      <c r="BF4" s="3439"/>
      <c r="BG4" s="3439"/>
      <c r="BH4" s="3439"/>
      <c r="BI4" s="3439"/>
      <c r="BJ4" s="3439"/>
      <c r="BK4" s="3439"/>
      <c r="BL4" s="3439"/>
      <c r="BM4" s="3439"/>
      <c r="BN4" s="3439"/>
      <c r="BO4" s="3439"/>
      <c r="BP4" s="4169"/>
      <c r="BQ4" s="132" t="s">
        <v>5</v>
      </c>
      <c r="BR4" s="9" t="s">
        <v>6</v>
      </c>
    </row>
    <row r="5" spans="1:87" ht="15.75" x14ac:dyDescent="0.2">
      <c r="A5" s="3873" t="s">
        <v>7</v>
      </c>
      <c r="B5" s="3874"/>
      <c r="C5" s="3874"/>
      <c r="D5" s="3874"/>
      <c r="E5" s="3874"/>
      <c r="F5" s="3874"/>
      <c r="G5" s="3874"/>
      <c r="H5" s="3874"/>
      <c r="I5" s="3874"/>
      <c r="J5" s="3874"/>
      <c r="K5" s="3874"/>
      <c r="L5" s="3874"/>
      <c r="M5" s="3874"/>
      <c r="N5" s="601"/>
      <c r="O5" s="3877" t="s">
        <v>8</v>
      </c>
      <c r="P5" s="3877"/>
      <c r="Q5" s="3877"/>
      <c r="R5" s="3877"/>
      <c r="S5" s="3877"/>
      <c r="T5" s="3877"/>
      <c r="U5" s="3877"/>
      <c r="V5" s="3877"/>
      <c r="W5" s="3877"/>
      <c r="X5" s="3877"/>
      <c r="Y5" s="3877"/>
      <c r="Z5" s="3877"/>
      <c r="AA5" s="3877"/>
      <c r="AB5" s="3877"/>
      <c r="AC5" s="3877"/>
      <c r="AD5" s="3877"/>
      <c r="AE5" s="3877"/>
      <c r="AF5" s="3877"/>
      <c r="AG5" s="3877"/>
      <c r="AH5" s="3877"/>
      <c r="AI5" s="3877"/>
      <c r="AJ5" s="3877"/>
      <c r="AK5" s="3877"/>
      <c r="AL5" s="3877"/>
      <c r="AM5" s="3877"/>
      <c r="AN5" s="3877"/>
      <c r="AO5" s="3877"/>
      <c r="AP5" s="3877"/>
      <c r="AQ5" s="3877"/>
      <c r="AR5" s="3877"/>
      <c r="AS5" s="3877"/>
      <c r="AT5" s="3877"/>
      <c r="AU5" s="3877"/>
      <c r="AV5" s="3877"/>
      <c r="AW5" s="3877"/>
      <c r="AX5" s="3877"/>
      <c r="AY5" s="3877"/>
      <c r="AZ5" s="3877"/>
      <c r="BA5" s="3877"/>
      <c r="BB5" s="3877"/>
      <c r="BC5" s="3877"/>
      <c r="BD5" s="3877"/>
      <c r="BE5" s="3877"/>
      <c r="BF5" s="3877"/>
      <c r="BG5" s="3877"/>
      <c r="BH5" s="3877"/>
      <c r="BI5" s="3877"/>
      <c r="BJ5" s="3877"/>
      <c r="BK5" s="3877"/>
      <c r="BL5" s="3877"/>
      <c r="BM5" s="3877"/>
      <c r="BN5" s="3877"/>
      <c r="BO5" s="3877"/>
      <c r="BP5" s="3877"/>
      <c r="BQ5" s="3878"/>
      <c r="BR5" s="3879"/>
      <c r="BS5" s="612"/>
      <c r="BT5" s="612"/>
      <c r="BU5" s="612"/>
      <c r="BV5" s="612"/>
      <c r="BW5" s="612"/>
      <c r="BX5" s="612"/>
      <c r="BY5" s="612"/>
      <c r="BZ5" s="612"/>
      <c r="CA5" s="612"/>
      <c r="CB5" s="612"/>
      <c r="CC5" s="612"/>
      <c r="CD5" s="612"/>
      <c r="CE5" s="612"/>
      <c r="CF5" s="612"/>
      <c r="CG5" s="612"/>
      <c r="CH5" s="612"/>
      <c r="CI5" s="612"/>
    </row>
    <row r="6" spans="1:87" ht="16.5" thickBot="1" x14ac:dyDescent="0.25">
      <c r="A6" s="3875"/>
      <c r="B6" s="3876"/>
      <c r="C6" s="3876"/>
      <c r="D6" s="3876"/>
      <c r="E6" s="3876"/>
      <c r="F6" s="3876"/>
      <c r="G6" s="3876"/>
      <c r="H6" s="3876"/>
      <c r="I6" s="3876"/>
      <c r="J6" s="3876"/>
      <c r="K6" s="3876"/>
      <c r="L6" s="3876"/>
      <c r="M6" s="3876"/>
      <c r="N6" s="602"/>
      <c r="O6" s="613"/>
      <c r="P6" s="614"/>
      <c r="Q6" s="615"/>
      <c r="R6" s="616"/>
      <c r="S6" s="617"/>
      <c r="T6" s="615"/>
      <c r="U6" s="615"/>
      <c r="V6" s="615"/>
      <c r="W6" s="616"/>
      <c r="X6" s="616"/>
      <c r="Y6" s="616"/>
      <c r="Z6" s="616"/>
      <c r="AA6" s="616"/>
      <c r="AB6" s="4170" t="s">
        <v>107</v>
      </c>
      <c r="AC6" s="3876"/>
      <c r="AD6" s="3876"/>
      <c r="AE6" s="3876"/>
      <c r="AF6" s="3876"/>
      <c r="AG6" s="3876"/>
      <c r="AH6" s="3876"/>
      <c r="AI6" s="3876"/>
      <c r="AJ6" s="3876"/>
      <c r="AK6" s="3876"/>
      <c r="AL6" s="3876"/>
      <c r="AM6" s="3876"/>
      <c r="AN6" s="3876"/>
      <c r="AO6" s="3876"/>
      <c r="AP6" s="3876"/>
      <c r="AQ6" s="3876"/>
      <c r="AR6" s="3876"/>
      <c r="AS6" s="3876"/>
      <c r="AT6" s="3876"/>
      <c r="AU6" s="3876"/>
      <c r="AV6" s="3876"/>
      <c r="AW6" s="3876"/>
      <c r="AX6" s="3876"/>
      <c r="AY6" s="3876"/>
      <c r="AZ6" s="3876"/>
      <c r="BA6" s="3876"/>
      <c r="BB6" s="3876"/>
      <c r="BC6" s="3876"/>
      <c r="BD6" s="3876"/>
      <c r="BE6" s="602"/>
      <c r="BF6" s="618"/>
      <c r="BG6" s="618"/>
      <c r="BH6" s="619"/>
      <c r="BI6" s="620"/>
      <c r="BJ6" s="620"/>
      <c r="BK6" s="621"/>
      <c r="BL6" s="619"/>
      <c r="BM6" s="619"/>
      <c r="BN6" s="622"/>
      <c r="BO6" s="622"/>
      <c r="BP6" s="622"/>
      <c r="BQ6" s="622"/>
      <c r="BR6" s="623"/>
      <c r="BS6" s="612"/>
      <c r="BT6" s="612"/>
      <c r="BU6" s="612"/>
      <c r="BV6" s="612"/>
      <c r="BW6" s="612"/>
      <c r="BX6" s="612"/>
      <c r="BY6" s="612"/>
      <c r="BZ6" s="612"/>
      <c r="CA6" s="612"/>
      <c r="CB6" s="612"/>
      <c r="CC6" s="612"/>
      <c r="CD6" s="612"/>
      <c r="CE6" s="612"/>
      <c r="CF6" s="612"/>
      <c r="CG6" s="612"/>
      <c r="CH6" s="612"/>
      <c r="CI6" s="612"/>
    </row>
    <row r="7" spans="1:87" s="625" customFormat="1" ht="15.75" customHeight="1" x14ac:dyDescent="0.2">
      <c r="A7" s="4171" t="s">
        <v>0</v>
      </c>
      <c r="B7" s="3898" t="s">
        <v>9</v>
      </c>
      <c r="C7" s="3899"/>
      <c r="D7" s="3899" t="s">
        <v>0</v>
      </c>
      <c r="E7" s="3898" t="s">
        <v>10</v>
      </c>
      <c r="F7" s="3899"/>
      <c r="G7" s="3899" t="s">
        <v>0</v>
      </c>
      <c r="H7" s="3898" t="s">
        <v>11</v>
      </c>
      <c r="I7" s="3899"/>
      <c r="J7" s="3899" t="s">
        <v>0</v>
      </c>
      <c r="K7" s="3898" t="s">
        <v>12</v>
      </c>
      <c r="L7" s="4159" t="s">
        <v>13</v>
      </c>
      <c r="M7" s="3898" t="s">
        <v>332</v>
      </c>
      <c r="N7" s="3899"/>
      <c r="O7" s="4159" t="s">
        <v>15</v>
      </c>
      <c r="P7" s="4159" t="s">
        <v>108</v>
      </c>
      <c r="Q7" s="4159" t="s">
        <v>8</v>
      </c>
      <c r="R7" s="4161" t="s">
        <v>17</v>
      </c>
      <c r="S7" s="4163" t="s">
        <v>18</v>
      </c>
      <c r="T7" s="3898" t="s">
        <v>19</v>
      </c>
      <c r="U7" s="3898" t="s">
        <v>20</v>
      </c>
      <c r="V7" s="4159" t="s">
        <v>21</v>
      </c>
      <c r="W7" s="3866" t="s">
        <v>18</v>
      </c>
      <c r="X7" s="4187"/>
      <c r="Y7" s="4188"/>
      <c r="Z7" s="4192" t="s">
        <v>0</v>
      </c>
      <c r="AA7" s="4159" t="s">
        <v>22</v>
      </c>
      <c r="AB7" s="3032" t="s">
        <v>23</v>
      </c>
      <c r="AC7" s="3033"/>
      <c r="AD7" s="3033"/>
      <c r="AE7" s="3033"/>
      <c r="AF7" s="3036" t="s">
        <v>24</v>
      </c>
      <c r="AG7" s="3036"/>
      <c r="AH7" s="3036"/>
      <c r="AI7" s="3036"/>
      <c r="AJ7" s="3036"/>
      <c r="AK7" s="3036"/>
      <c r="AL7" s="3036"/>
      <c r="AM7" s="3037"/>
      <c r="AN7" s="3038" t="s">
        <v>25</v>
      </c>
      <c r="AO7" s="3039"/>
      <c r="AP7" s="3039"/>
      <c r="AQ7" s="3039"/>
      <c r="AR7" s="3039"/>
      <c r="AS7" s="3039"/>
      <c r="AT7" s="3039"/>
      <c r="AU7" s="3039"/>
      <c r="AV7" s="3039"/>
      <c r="AW7" s="3039"/>
      <c r="AX7" s="3039"/>
      <c r="AY7" s="599"/>
      <c r="AZ7" s="3041" t="s">
        <v>26</v>
      </c>
      <c r="BA7" s="3042"/>
      <c r="BB7" s="3042"/>
      <c r="BC7" s="3042"/>
      <c r="BD7" s="3042"/>
      <c r="BE7" s="3043"/>
      <c r="BF7" s="4013" t="s">
        <v>27</v>
      </c>
      <c r="BG7" s="4014"/>
      <c r="BH7" s="4173" t="s">
        <v>28</v>
      </c>
      <c r="BI7" s="4174"/>
      <c r="BJ7" s="4174"/>
      <c r="BK7" s="4174"/>
      <c r="BL7" s="4174"/>
      <c r="BM7" s="4175"/>
      <c r="BN7" s="4179" t="s">
        <v>29</v>
      </c>
      <c r="BO7" s="4180"/>
      <c r="BP7" s="4179" t="s">
        <v>30</v>
      </c>
      <c r="BQ7" s="4180"/>
      <c r="BR7" s="4185" t="s">
        <v>31</v>
      </c>
      <c r="BS7" s="624"/>
      <c r="BT7" s="624"/>
      <c r="BU7" s="624"/>
      <c r="BV7" s="624"/>
      <c r="BW7" s="624"/>
      <c r="BX7" s="624"/>
      <c r="BY7" s="624"/>
      <c r="BZ7" s="624"/>
      <c r="CA7" s="624"/>
      <c r="CB7" s="624"/>
      <c r="CC7" s="624"/>
      <c r="CD7" s="624"/>
      <c r="CE7" s="624"/>
      <c r="CF7" s="624"/>
      <c r="CG7" s="624"/>
      <c r="CH7" s="624"/>
      <c r="CI7" s="624"/>
    </row>
    <row r="8" spans="1:87" s="625" customFormat="1" ht="137.25" customHeight="1" x14ac:dyDescent="0.2">
      <c r="A8" s="4172"/>
      <c r="B8" s="4165"/>
      <c r="C8" s="4166"/>
      <c r="D8" s="4166"/>
      <c r="E8" s="4165"/>
      <c r="F8" s="4166"/>
      <c r="G8" s="4166"/>
      <c r="H8" s="4165"/>
      <c r="I8" s="4166"/>
      <c r="J8" s="4166"/>
      <c r="K8" s="4165"/>
      <c r="L8" s="4160"/>
      <c r="M8" s="4165"/>
      <c r="N8" s="4166"/>
      <c r="O8" s="4160"/>
      <c r="P8" s="4160"/>
      <c r="Q8" s="4160"/>
      <c r="R8" s="4162"/>
      <c r="S8" s="4164"/>
      <c r="T8" s="4165"/>
      <c r="U8" s="4165"/>
      <c r="V8" s="4160"/>
      <c r="W8" s="4189"/>
      <c r="X8" s="4190"/>
      <c r="Y8" s="4191"/>
      <c r="Z8" s="4193"/>
      <c r="AA8" s="4160"/>
      <c r="AB8" s="4150" t="s">
        <v>37</v>
      </c>
      <c r="AC8" s="4151"/>
      <c r="AD8" s="4150" t="s">
        <v>38</v>
      </c>
      <c r="AE8" s="4151"/>
      <c r="AF8" s="4150" t="s">
        <v>39</v>
      </c>
      <c r="AG8" s="4151"/>
      <c r="AH8" s="4150" t="s">
        <v>40</v>
      </c>
      <c r="AI8" s="4151"/>
      <c r="AJ8" s="4150" t="s">
        <v>2352</v>
      </c>
      <c r="AK8" s="4151"/>
      <c r="AL8" s="4150" t="s">
        <v>42</v>
      </c>
      <c r="AM8" s="4151"/>
      <c r="AN8" s="4150" t="s">
        <v>43</v>
      </c>
      <c r="AO8" s="4151"/>
      <c r="AP8" s="4150" t="s">
        <v>44</v>
      </c>
      <c r="AQ8" s="4151"/>
      <c r="AR8" s="4150" t="s">
        <v>45</v>
      </c>
      <c r="AS8" s="4151"/>
      <c r="AT8" s="4150" t="s">
        <v>46</v>
      </c>
      <c r="AU8" s="4151"/>
      <c r="AV8" s="4150" t="s">
        <v>47</v>
      </c>
      <c r="AW8" s="4151"/>
      <c r="AX8" s="4150" t="s">
        <v>48</v>
      </c>
      <c r="AY8" s="4151"/>
      <c r="AZ8" s="4150" t="s">
        <v>49</v>
      </c>
      <c r="BA8" s="4151"/>
      <c r="BB8" s="4150" t="s">
        <v>50</v>
      </c>
      <c r="BC8" s="4151"/>
      <c r="BD8" s="4152" t="s">
        <v>51</v>
      </c>
      <c r="BE8" s="4152"/>
      <c r="BF8" s="4015"/>
      <c r="BG8" s="4016"/>
      <c r="BH8" s="4176"/>
      <c r="BI8" s="4177"/>
      <c r="BJ8" s="4177"/>
      <c r="BK8" s="4177"/>
      <c r="BL8" s="4177"/>
      <c r="BM8" s="4178"/>
      <c r="BN8" s="4181"/>
      <c r="BO8" s="4182"/>
      <c r="BP8" s="4183"/>
      <c r="BQ8" s="4184"/>
      <c r="BR8" s="4186"/>
      <c r="BS8" s="624"/>
      <c r="BT8" s="624"/>
      <c r="BU8" s="624"/>
      <c r="BV8" s="624"/>
      <c r="BW8" s="624"/>
      <c r="BX8" s="624"/>
      <c r="BY8" s="624"/>
      <c r="BZ8" s="624"/>
      <c r="CA8" s="624"/>
      <c r="CB8" s="624"/>
      <c r="CC8" s="624"/>
      <c r="CD8" s="624"/>
      <c r="CE8" s="624"/>
      <c r="CF8" s="624"/>
      <c r="CG8" s="624"/>
      <c r="CH8" s="624"/>
      <c r="CI8" s="624"/>
    </row>
    <row r="9" spans="1:87" s="625" customFormat="1" ht="33" customHeight="1" x14ac:dyDescent="0.2">
      <c r="A9" s="4172"/>
      <c r="B9" s="4165"/>
      <c r="C9" s="4166"/>
      <c r="D9" s="4166"/>
      <c r="E9" s="4165"/>
      <c r="F9" s="4166"/>
      <c r="G9" s="4166"/>
      <c r="H9" s="4165"/>
      <c r="I9" s="4166"/>
      <c r="J9" s="4166"/>
      <c r="K9" s="4165"/>
      <c r="L9" s="4160"/>
      <c r="M9" s="17" t="s">
        <v>32</v>
      </c>
      <c r="N9" s="17" t="s">
        <v>33</v>
      </c>
      <c r="O9" s="4160"/>
      <c r="P9" s="4160"/>
      <c r="Q9" s="4160"/>
      <c r="R9" s="4162"/>
      <c r="S9" s="4164"/>
      <c r="T9" s="4165"/>
      <c r="U9" s="4165"/>
      <c r="V9" s="4160"/>
      <c r="W9" s="626" t="s">
        <v>34</v>
      </c>
      <c r="X9" s="600" t="s">
        <v>35</v>
      </c>
      <c r="Y9" s="600" t="s">
        <v>36</v>
      </c>
      <c r="Z9" s="4194"/>
      <c r="AA9" s="4160"/>
      <c r="AB9" s="17" t="s">
        <v>32</v>
      </c>
      <c r="AC9" s="17" t="s">
        <v>33</v>
      </c>
      <c r="AD9" s="17" t="s">
        <v>32</v>
      </c>
      <c r="AE9" s="17" t="s">
        <v>33</v>
      </c>
      <c r="AF9" s="17" t="s">
        <v>32</v>
      </c>
      <c r="AG9" s="17" t="s">
        <v>33</v>
      </c>
      <c r="AH9" s="17" t="s">
        <v>32</v>
      </c>
      <c r="AI9" s="17" t="s">
        <v>33</v>
      </c>
      <c r="AJ9" s="17" t="s">
        <v>32</v>
      </c>
      <c r="AK9" s="17" t="s">
        <v>33</v>
      </c>
      <c r="AL9" s="17" t="s">
        <v>32</v>
      </c>
      <c r="AM9" s="17" t="s">
        <v>33</v>
      </c>
      <c r="AN9" s="17" t="s">
        <v>32</v>
      </c>
      <c r="AO9" s="17" t="s">
        <v>33</v>
      </c>
      <c r="AP9" s="17" t="s">
        <v>32</v>
      </c>
      <c r="AQ9" s="17" t="s">
        <v>33</v>
      </c>
      <c r="AR9" s="17" t="s">
        <v>32</v>
      </c>
      <c r="AS9" s="17" t="s">
        <v>33</v>
      </c>
      <c r="AT9" s="17" t="s">
        <v>32</v>
      </c>
      <c r="AU9" s="17" t="s">
        <v>33</v>
      </c>
      <c r="AV9" s="17" t="s">
        <v>32</v>
      </c>
      <c r="AW9" s="17" t="s">
        <v>33</v>
      </c>
      <c r="AX9" s="17" t="s">
        <v>32</v>
      </c>
      <c r="AY9" s="17" t="s">
        <v>33</v>
      </c>
      <c r="AZ9" s="17" t="s">
        <v>32</v>
      </c>
      <c r="BA9" s="17" t="s">
        <v>33</v>
      </c>
      <c r="BB9" s="17" t="s">
        <v>32</v>
      </c>
      <c r="BC9" s="17" t="s">
        <v>33</v>
      </c>
      <c r="BD9" s="17" t="s">
        <v>32</v>
      </c>
      <c r="BE9" s="17" t="s">
        <v>33</v>
      </c>
      <c r="BF9" s="627" t="s">
        <v>32</v>
      </c>
      <c r="BG9" s="17" t="s">
        <v>33</v>
      </c>
      <c r="BH9" s="628" t="s">
        <v>112</v>
      </c>
      <c r="BI9" s="629" t="s">
        <v>53</v>
      </c>
      <c r="BJ9" s="630" t="s">
        <v>54</v>
      </c>
      <c r="BK9" s="631" t="s">
        <v>55</v>
      </c>
      <c r="BL9" s="628" t="s">
        <v>56</v>
      </c>
      <c r="BM9" s="632" t="s">
        <v>57</v>
      </c>
      <c r="BN9" s="17" t="s">
        <v>32</v>
      </c>
      <c r="BO9" s="17" t="s">
        <v>33</v>
      </c>
      <c r="BP9" s="17" t="s">
        <v>32</v>
      </c>
      <c r="BQ9" s="17" t="s">
        <v>33</v>
      </c>
      <c r="BR9" s="4186"/>
      <c r="BS9" s="624"/>
      <c r="BT9" s="624"/>
      <c r="BU9" s="624"/>
      <c r="BV9" s="624"/>
      <c r="BW9" s="624"/>
      <c r="BX9" s="624"/>
      <c r="BY9" s="624"/>
      <c r="BZ9" s="624"/>
      <c r="CA9" s="624"/>
      <c r="CB9" s="624"/>
      <c r="CC9" s="624"/>
      <c r="CD9" s="624"/>
      <c r="CE9" s="624"/>
      <c r="CF9" s="624"/>
      <c r="CG9" s="624"/>
      <c r="CH9" s="624"/>
      <c r="CI9" s="624"/>
    </row>
    <row r="10" spans="1:87" ht="15.75" x14ac:dyDescent="0.2">
      <c r="A10" s="633">
        <v>2</v>
      </c>
      <c r="B10" s="565"/>
      <c r="C10" s="565" t="s">
        <v>334</v>
      </c>
      <c r="D10" s="634"/>
      <c r="E10" s="565"/>
      <c r="F10" s="565"/>
      <c r="G10" s="565"/>
      <c r="H10" s="565"/>
      <c r="I10" s="565"/>
      <c r="J10" s="565"/>
      <c r="K10" s="635"/>
      <c r="L10" s="635"/>
      <c r="M10" s="565"/>
      <c r="N10" s="565"/>
      <c r="O10" s="565"/>
      <c r="P10" s="636"/>
      <c r="Q10" s="635"/>
      <c r="R10" s="637"/>
      <c r="S10" s="638"/>
      <c r="T10" s="635"/>
      <c r="U10" s="635"/>
      <c r="V10" s="635"/>
      <c r="W10" s="639"/>
      <c r="X10" s="639"/>
      <c r="Y10" s="639"/>
      <c r="Z10" s="640"/>
      <c r="AA10" s="641"/>
      <c r="AB10" s="642"/>
      <c r="AC10" s="642"/>
      <c r="AD10" s="642"/>
      <c r="AE10" s="642"/>
      <c r="AF10" s="565"/>
      <c r="AG10" s="565"/>
      <c r="AH10" s="565"/>
      <c r="AI10" s="565"/>
      <c r="AJ10" s="565"/>
      <c r="AK10" s="565"/>
      <c r="AL10" s="565"/>
      <c r="AM10" s="565"/>
      <c r="AN10" s="565"/>
      <c r="AO10" s="565"/>
      <c r="AP10" s="565"/>
      <c r="AQ10" s="565"/>
      <c r="AR10" s="565"/>
      <c r="AS10" s="565"/>
      <c r="AT10" s="565"/>
      <c r="AU10" s="565"/>
      <c r="AV10" s="565"/>
      <c r="AW10" s="565"/>
      <c r="AX10" s="565"/>
      <c r="AY10" s="565"/>
      <c r="AZ10" s="565"/>
      <c r="BA10" s="565"/>
      <c r="BB10" s="565"/>
      <c r="BC10" s="565"/>
      <c r="BD10" s="565"/>
      <c r="BE10" s="565"/>
      <c r="BF10" s="643"/>
      <c r="BG10" s="643"/>
      <c r="BH10" s="643"/>
      <c r="BI10" s="643"/>
      <c r="BJ10" s="643"/>
      <c r="BK10" s="643"/>
      <c r="BL10" s="643"/>
      <c r="BM10" s="643"/>
      <c r="BN10" s="643"/>
      <c r="BO10" s="644"/>
      <c r="BP10" s="644"/>
      <c r="BQ10" s="644"/>
      <c r="BR10" s="645"/>
      <c r="BS10" s="612"/>
      <c r="BT10" s="612"/>
      <c r="BU10" s="612"/>
      <c r="BV10" s="612"/>
      <c r="BW10" s="612"/>
      <c r="BX10" s="612"/>
      <c r="BY10" s="612"/>
      <c r="BZ10" s="612"/>
      <c r="CA10" s="612"/>
      <c r="CB10" s="612"/>
      <c r="CC10" s="612"/>
      <c r="CD10" s="612"/>
      <c r="CE10" s="612"/>
      <c r="CF10" s="612"/>
      <c r="CG10" s="612"/>
      <c r="CH10" s="612"/>
      <c r="CI10" s="612"/>
    </row>
    <row r="11" spans="1:87" s="612" customFormat="1" ht="15.75" x14ac:dyDescent="0.2">
      <c r="A11" s="4153"/>
      <c r="B11" s="4154"/>
      <c r="C11" s="3853"/>
      <c r="D11" s="646">
        <v>2</v>
      </c>
      <c r="E11" s="647" t="s">
        <v>335</v>
      </c>
      <c r="F11" s="647"/>
      <c r="G11" s="647"/>
      <c r="H11" s="647"/>
      <c r="I11" s="647"/>
      <c r="J11" s="648"/>
      <c r="K11" s="649"/>
      <c r="L11" s="649"/>
      <c r="M11" s="648"/>
      <c r="N11" s="648"/>
      <c r="O11" s="648"/>
      <c r="P11" s="650"/>
      <c r="Q11" s="649"/>
      <c r="R11" s="651"/>
      <c r="S11" s="652"/>
      <c r="T11" s="649"/>
      <c r="U11" s="649"/>
      <c r="V11" s="649"/>
      <c r="W11" s="653"/>
      <c r="X11" s="653"/>
      <c r="Y11" s="653"/>
      <c r="Z11" s="654"/>
      <c r="AA11" s="655"/>
      <c r="AB11" s="656"/>
      <c r="AC11" s="656"/>
      <c r="AD11" s="656"/>
      <c r="AE11" s="656"/>
      <c r="AF11" s="648"/>
      <c r="AG11" s="648"/>
      <c r="AH11" s="648"/>
      <c r="AI11" s="648"/>
      <c r="AJ11" s="648"/>
      <c r="AK11" s="648"/>
      <c r="AL11" s="648"/>
      <c r="AM11" s="648"/>
      <c r="AN11" s="648"/>
      <c r="AO11" s="648"/>
      <c r="AP11" s="648"/>
      <c r="AQ11" s="648"/>
      <c r="AR11" s="648"/>
      <c r="AS11" s="648"/>
      <c r="AT11" s="648"/>
      <c r="AU11" s="648"/>
      <c r="AV11" s="648"/>
      <c r="AW11" s="648"/>
      <c r="AX11" s="648"/>
      <c r="AY11" s="648"/>
      <c r="AZ11" s="648"/>
      <c r="BA11" s="648"/>
      <c r="BB11" s="648"/>
      <c r="BC11" s="648"/>
      <c r="BD11" s="648"/>
      <c r="BE11" s="648"/>
      <c r="BF11" s="657"/>
      <c r="BG11" s="657"/>
      <c r="BH11" s="658"/>
      <c r="BI11" s="659"/>
      <c r="BJ11" s="659"/>
      <c r="BK11" s="660"/>
      <c r="BL11" s="658"/>
      <c r="BM11" s="658"/>
      <c r="BN11" s="661"/>
      <c r="BO11" s="661"/>
      <c r="BP11" s="661"/>
      <c r="BQ11" s="661"/>
      <c r="BR11" s="662"/>
    </row>
    <row r="12" spans="1:87" s="612" customFormat="1" ht="15.75" x14ac:dyDescent="0.2">
      <c r="A12" s="4155"/>
      <c r="B12" s="4156"/>
      <c r="C12" s="3854"/>
      <c r="D12" s="4135"/>
      <c r="E12" s="4135"/>
      <c r="F12" s="3857"/>
      <c r="G12" s="663">
        <v>8</v>
      </c>
      <c r="H12" s="664" t="s">
        <v>336</v>
      </c>
      <c r="I12" s="664"/>
      <c r="J12" s="665"/>
      <c r="K12" s="666"/>
      <c r="L12" s="666"/>
      <c r="M12" s="665"/>
      <c r="N12" s="667"/>
      <c r="O12" s="667"/>
      <c r="P12" s="668"/>
      <c r="Q12" s="666"/>
      <c r="R12" s="669"/>
      <c r="S12" s="670"/>
      <c r="T12" s="666"/>
      <c r="U12" s="666"/>
      <c r="V12" s="666"/>
      <c r="W12" s="671"/>
      <c r="X12" s="671"/>
      <c r="Y12" s="671"/>
      <c r="Z12" s="672"/>
      <c r="AA12" s="673"/>
      <c r="AB12" s="674"/>
      <c r="AC12" s="674"/>
      <c r="AD12" s="674"/>
      <c r="AE12" s="674"/>
      <c r="AF12" s="665"/>
      <c r="AG12" s="665"/>
      <c r="AH12" s="665"/>
      <c r="AI12" s="665"/>
      <c r="AJ12" s="665"/>
      <c r="AK12" s="665"/>
      <c r="AL12" s="665"/>
      <c r="AM12" s="665"/>
      <c r="AN12" s="665"/>
      <c r="AO12" s="665"/>
      <c r="AP12" s="665"/>
      <c r="AQ12" s="665"/>
      <c r="AR12" s="665"/>
      <c r="AS12" s="665"/>
      <c r="AT12" s="665"/>
      <c r="AU12" s="665"/>
      <c r="AV12" s="665"/>
      <c r="AW12" s="665"/>
      <c r="AX12" s="665"/>
      <c r="AY12" s="665"/>
      <c r="AZ12" s="665"/>
      <c r="BA12" s="665"/>
      <c r="BB12" s="665"/>
      <c r="BC12" s="665"/>
      <c r="BD12" s="665"/>
      <c r="BE12" s="665"/>
      <c r="BF12" s="675"/>
      <c r="BG12" s="675"/>
      <c r="BH12" s="676"/>
      <c r="BI12" s="677"/>
      <c r="BJ12" s="677"/>
      <c r="BK12" s="678"/>
      <c r="BL12" s="676"/>
      <c r="BM12" s="676"/>
      <c r="BN12" s="679"/>
      <c r="BO12" s="679"/>
      <c r="BP12" s="679"/>
      <c r="BQ12" s="679"/>
      <c r="BR12" s="680"/>
    </row>
    <row r="13" spans="1:87" s="612" customFormat="1" ht="42.75" customHeight="1" x14ac:dyDescent="0.2">
      <c r="A13" s="4155"/>
      <c r="B13" s="4156"/>
      <c r="C13" s="3854"/>
      <c r="D13" s="4136"/>
      <c r="E13" s="4136"/>
      <c r="F13" s="3859"/>
      <c r="G13" s="3557"/>
      <c r="H13" s="3557"/>
      <c r="I13" s="3558"/>
      <c r="J13" s="4103">
        <v>38</v>
      </c>
      <c r="K13" s="4066" t="s">
        <v>337</v>
      </c>
      <c r="L13" s="4066" t="s">
        <v>338</v>
      </c>
      <c r="M13" s="3576">
        <v>4</v>
      </c>
      <c r="N13" s="3576">
        <v>3</v>
      </c>
      <c r="O13" s="3507" t="s">
        <v>339</v>
      </c>
      <c r="P13" s="4103" t="s">
        <v>340</v>
      </c>
      <c r="Q13" s="4066" t="s">
        <v>341</v>
      </c>
      <c r="R13" s="4068">
        <f>SUM(W13:W16)/S13</f>
        <v>0.66764214046822745</v>
      </c>
      <c r="S13" s="3527">
        <f>SUM(W13:W21)</f>
        <v>119600000</v>
      </c>
      <c r="T13" s="4066" t="s">
        <v>342</v>
      </c>
      <c r="U13" s="4085" t="s">
        <v>343</v>
      </c>
      <c r="V13" s="4066" t="s">
        <v>344</v>
      </c>
      <c r="W13" s="681">
        <v>16425000</v>
      </c>
      <c r="X13" s="681">
        <v>8925000</v>
      </c>
      <c r="Y13" s="681">
        <v>7500000</v>
      </c>
      <c r="Z13" s="682">
        <v>20</v>
      </c>
      <c r="AA13" s="683" t="s">
        <v>323</v>
      </c>
      <c r="AB13" s="4054">
        <v>294321</v>
      </c>
      <c r="AC13" s="4054">
        <v>148</v>
      </c>
      <c r="AD13" s="4054">
        <v>283947</v>
      </c>
      <c r="AE13" s="4054">
        <v>87</v>
      </c>
      <c r="AF13" s="4054">
        <v>135754</v>
      </c>
      <c r="AG13" s="4054"/>
      <c r="AH13" s="4054">
        <v>44640</v>
      </c>
      <c r="AI13" s="4054"/>
      <c r="AJ13" s="4054">
        <v>308178</v>
      </c>
      <c r="AK13" s="4054">
        <v>235</v>
      </c>
      <c r="AL13" s="4054">
        <v>89696</v>
      </c>
      <c r="AM13" s="4054"/>
      <c r="AN13" s="4054"/>
      <c r="AO13" s="4054"/>
      <c r="AP13" s="4054"/>
      <c r="AQ13" s="4054"/>
      <c r="AR13" s="4054"/>
      <c r="AS13" s="4054"/>
      <c r="AT13" s="4054"/>
      <c r="AU13" s="4054"/>
      <c r="AV13" s="4054"/>
      <c r="AW13" s="4054"/>
      <c r="AX13" s="4054"/>
      <c r="AY13" s="4054"/>
      <c r="AZ13" s="4054"/>
      <c r="BA13" s="4054"/>
      <c r="BB13" s="4054"/>
      <c r="BC13" s="4054"/>
      <c r="BD13" s="4054"/>
      <c r="BE13" s="4054"/>
      <c r="BF13" s="4054">
        <f>AB13+AD13</f>
        <v>578268</v>
      </c>
      <c r="BG13" s="4054">
        <f>SUM(AC13,AE13)</f>
        <v>235</v>
      </c>
      <c r="BH13" s="4060">
        <v>4</v>
      </c>
      <c r="BI13" s="4110">
        <f>SUM(X13:X21)</f>
        <v>34734000</v>
      </c>
      <c r="BJ13" s="4110">
        <f>SUM(Y13:Y21)</f>
        <v>21490000</v>
      </c>
      <c r="BK13" s="4113">
        <f>(BJ13/BI13)</f>
        <v>0.61870213623538894</v>
      </c>
      <c r="BL13" s="4060" t="s">
        <v>345</v>
      </c>
      <c r="BM13" s="4060" t="s">
        <v>346</v>
      </c>
      <c r="BN13" s="4042">
        <v>43467</v>
      </c>
      <c r="BO13" s="4042">
        <v>43509</v>
      </c>
      <c r="BP13" s="4042">
        <v>43830</v>
      </c>
      <c r="BQ13" s="4042">
        <v>43830</v>
      </c>
      <c r="BR13" s="4045" t="s">
        <v>347</v>
      </c>
      <c r="BS13" s="684"/>
      <c r="BT13" s="684"/>
      <c r="BU13" s="684"/>
      <c r="BV13" s="684"/>
      <c r="BW13" s="684"/>
      <c r="BX13" s="684"/>
      <c r="BY13" s="684"/>
      <c r="BZ13" s="684"/>
      <c r="CA13" s="684"/>
      <c r="CB13" s="684"/>
      <c r="CC13" s="684"/>
      <c r="CD13" s="684"/>
      <c r="CE13" s="684"/>
      <c r="CF13" s="684"/>
    </row>
    <row r="14" spans="1:87" s="612" customFormat="1" ht="50.25" customHeight="1" x14ac:dyDescent="0.2">
      <c r="A14" s="4155"/>
      <c r="B14" s="4156"/>
      <c r="C14" s="3854"/>
      <c r="D14" s="4136"/>
      <c r="E14" s="4136"/>
      <c r="F14" s="3859"/>
      <c r="G14" s="3560"/>
      <c r="H14" s="3560"/>
      <c r="I14" s="3561"/>
      <c r="J14" s="4104"/>
      <c r="K14" s="4067"/>
      <c r="L14" s="4067"/>
      <c r="M14" s="3576"/>
      <c r="N14" s="3576"/>
      <c r="O14" s="3508"/>
      <c r="P14" s="4104"/>
      <c r="Q14" s="4067"/>
      <c r="R14" s="4069"/>
      <c r="S14" s="4070"/>
      <c r="T14" s="4067"/>
      <c r="U14" s="4086"/>
      <c r="V14" s="4083"/>
      <c r="W14" s="685">
        <f>0+60000000</f>
        <v>60000000</v>
      </c>
      <c r="X14" s="685"/>
      <c r="Y14" s="685"/>
      <c r="Z14" s="686">
        <v>88</v>
      </c>
      <c r="AA14" s="687" t="s">
        <v>348</v>
      </c>
      <c r="AB14" s="4064"/>
      <c r="AC14" s="4064"/>
      <c r="AD14" s="4055"/>
      <c r="AE14" s="4064"/>
      <c r="AF14" s="4055"/>
      <c r="AG14" s="4055"/>
      <c r="AH14" s="4055"/>
      <c r="AI14" s="4055"/>
      <c r="AJ14" s="4055"/>
      <c r="AK14" s="4055"/>
      <c r="AL14" s="4055"/>
      <c r="AM14" s="4055"/>
      <c r="AN14" s="4055"/>
      <c r="AO14" s="4055"/>
      <c r="AP14" s="4055"/>
      <c r="AQ14" s="4055"/>
      <c r="AR14" s="4055"/>
      <c r="AS14" s="4055"/>
      <c r="AT14" s="4055"/>
      <c r="AU14" s="4055"/>
      <c r="AV14" s="4055"/>
      <c r="AW14" s="4055"/>
      <c r="AX14" s="4055"/>
      <c r="AY14" s="4055"/>
      <c r="AZ14" s="4055"/>
      <c r="BA14" s="4055"/>
      <c r="BB14" s="4055"/>
      <c r="BC14" s="4055"/>
      <c r="BD14" s="4055"/>
      <c r="BE14" s="4055"/>
      <c r="BF14" s="4055"/>
      <c r="BG14" s="4055"/>
      <c r="BH14" s="4061"/>
      <c r="BI14" s="4111"/>
      <c r="BJ14" s="4111"/>
      <c r="BK14" s="4114"/>
      <c r="BL14" s="4061"/>
      <c r="BM14" s="4061"/>
      <c r="BN14" s="4043"/>
      <c r="BO14" s="4043"/>
      <c r="BP14" s="4043"/>
      <c r="BQ14" s="4043"/>
      <c r="BR14" s="4046"/>
      <c r="BS14" s="684"/>
      <c r="BT14" s="684"/>
      <c r="BU14" s="684"/>
      <c r="BV14" s="684"/>
      <c r="BW14" s="684"/>
      <c r="BX14" s="684"/>
      <c r="BY14" s="684"/>
      <c r="BZ14" s="684"/>
      <c r="CA14" s="684"/>
      <c r="CB14" s="684"/>
      <c r="CC14" s="684"/>
      <c r="CD14" s="684"/>
      <c r="CE14" s="684"/>
      <c r="CF14" s="684"/>
    </row>
    <row r="15" spans="1:87" s="612" customFormat="1" ht="31.5" customHeight="1" x14ac:dyDescent="0.2">
      <c r="A15" s="4155"/>
      <c r="B15" s="4156"/>
      <c r="C15" s="3854"/>
      <c r="D15" s="4136"/>
      <c r="E15" s="4136"/>
      <c r="F15" s="3859"/>
      <c r="G15" s="3560"/>
      <c r="H15" s="3560"/>
      <c r="I15" s="3561"/>
      <c r="J15" s="4104"/>
      <c r="K15" s="4067"/>
      <c r="L15" s="4067"/>
      <c r="M15" s="3576"/>
      <c r="N15" s="3576"/>
      <c r="O15" s="3508"/>
      <c r="P15" s="4104"/>
      <c r="Q15" s="4067"/>
      <c r="R15" s="4069"/>
      <c r="S15" s="4070"/>
      <c r="T15" s="4067"/>
      <c r="U15" s="4086"/>
      <c r="V15" s="4141" t="s">
        <v>349</v>
      </c>
      <c r="W15" s="4073">
        <v>3425000</v>
      </c>
      <c r="X15" s="4073">
        <v>3425000</v>
      </c>
      <c r="Y15" s="4073"/>
      <c r="Z15" s="3586">
        <v>20</v>
      </c>
      <c r="AA15" s="3508" t="s">
        <v>323</v>
      </c>
      <c r="AB15" s="4055"/>
      <c r="AC15" s="4055"/>
      <c r="AD15" s="4055"/>
      <c r="AE15" s="4055"/>
      <c r="AF15" s="4055"/>
      <c r="AG15" s="4055"/>
      <c r="AH15" s="4055"/>
      <c r="AI15" s="4055"/>
      <c r="AJ15" s="4055"/>
      <c r="AK15" s="4055"/>
      <c r="AL15" s="4055"/>
      <c r="AM15" s="4055"/>
      <c r="AN15" s="4055"/>
      <c r="AO15" s="4055"/>
      <c r="AP15" s="4055"/>
      <c r="AQ15" s="4055"/>
      <c r="AR15" s="4055"/>
      <c r="AS15" s="4055"/>
      <c r="AT15" s="4055"/>
      <c r="AU15" s="4055"/>
      <c r="AV15" s="4055"/>
      <c r="AW15" s="4055"/>
      <c r="AX15" s="4055"/>
      <c r="AY15" s="4055"/>
      <c r="AZ15" s="4055"/>
      <c r="BA15" s="4055"/>
      <c r="BB15" s="4055"/>
      <c r="BC15" s="4055"/>
      <c r="BD15" s="4055"/>
      <c r="BE15" s="4055"/>
      <c r="BF15" s="4055"/>
      <c r="BG15" s="4055"/>
      <c r="BH15" s="4061"/>
      <c r="BI15" s="4111"/>
      <c r="BJ15" s="4111"/>
      <c r="BK15" s="4114"/>
      <c r="BL15" s="4061"/>
      <c r="BM15" s="4061"/>
      <c r="BN15" s="4043"/>
      <c r="BO15" s="4043"/>
      <c r="BP15" s="4043"/>
      <c r="BQ15" s="4043"/>
      <c r="BR15" s="4046"/>
      <c r="BS15" s="684"/>
      <c r="BT15" s="684"/>
      <c r="BU15" s="684"/>
      <c r="BV15" s="684"/>
      <c r="BW15" s="684"/>
      <c r="BX15" s="684"/>
      <c r="BY15" s="684"/>
      <c r="BZ15" s="684"/>
      <c r="CA15" s="684"/>
      <c r="CB15" s="684"/>
      <c r="CC15" s="684"/>
      <c r="CD15" s="684"/>
      <c r="CE15" s="684"/>
      <c r="CF15" s="684"/>
    </row>
    <row r="16" spans="1:87" s="612" customFormat="1" ht="31.5" customHeight="1" x14ac:dyDescent="0.2">
      <c r="A16" s="4155"/>
      <c r="B16" s="4156"/>
      <c r="C16" s="3854"/>
      <c r="D16" s="4136"/>
      <c r="E16" s="4136"/>
      <c r="F16" s="3859"/>
      <c r="G16" s="3560"/>
      <c r="H16" s="3560"/>
      <c r="I16" s="3561"/>
      <c r="J16" s="4104"/>
      <c r="K16" s="4067"/>
      <c r="L16" s="4067"/>
      <c r="M16" s="3576"/>
      <c r="N16" s="3576"/>
      <c r="O16" s="3508"/>
      <c r="P16" s="4104"/>
      <c r="Q16" s="4067"/>
      <c r="R16" s="4069"/>
      <c r="S16" s="4070"/>
      <c r="T16" s="4067"/>
      <c r="U16" s="4086"/>
      <c r="V16" s="4141"/>
      <c r="W16" s="4073"/>
      <c r="X16" s="4073"/>
      <c r="Y16" s="4073"/>
      <c r="Z16" s="3586"/>
      <c r="AA16" s="3509"/>
      <c r="AB16" s="4055"/>
      <c r="AC16" s="4055"/>
      <c r="AD16" s="4055"/>
      <c r="AE16" s="4055"/>
      <c r="AF16" s="4055"/>
      <c r="AG16" s="4055"/>
      <c r="AH16" s="4055"/>
      <c r="AI16" s="4055"/>
      <c r="AJ16" s="4055"/>
      <c r="AK16" s="4055"/>
      <c r="AL16" s="4055"/>
      <c r="AM16" s="4055"/>
      <c r="AN16" s="4055"/>
      <c r="AO16" s="4055"/>
      <c r="AP16" s="4055"/>
      <c r="AQ16" s="4055"/>
      <c r="AR16" s="4055"/>
      <c r="AS16" s="4055"/>
      <c r="AT16" s="4055"/>
      <c r="AU16" s="4055"/>
      <c r="AV16" s="4055"/>
      <c r="AW16" s="4055"/>
      <c r="AX16" s="4055"/>
      <c r="AY16" s="4055"/>
      <c r="AZ16" s="4055"/>
      <c r="BA16" s="4055"/>
      <c r="BB16" s="4055"/>
      <c r="BC16" s="4055"/>
      <c r="BD16" s="4055"/>
      <c r="BE16" s="4055"/>
      <c r="BF16" s="4055"/>
      <c r="BG16" s="4055"/>
      <c r="BH16" s="4061"/>
      <c r="BI16" s="4111"/>
      <c r="BJ16" s="4111"/>
      <c r="BK16" s="4114"/>
      <c r="BL16" s="4061"/>
      <c r="BM16" s="4061"/>
      <c r="BN16" s="4043"/>
      <c r="BO16" s="4043"/>
      <c r="BP16" s="4043"/>
      <c r="BQ16" s="4043"/>
      <c r="BR16" s="4046"/>
      <c r="BS16" s="684"/>
      <c r="BT16" s="684"/>
      <c r="BU16" s="684"/>
      <c r="BV16" s="684"/>
      <c r="BW16" s="684"/>
      <c r="BX16" s="684"/>
      <c r="BY16" s="684"/>
      <c r="BZ16" s="684"/>
      <c r="CA16" s="684"/>
      <c r="CB16" s="684"/>
      <c r="CC16" s="684"/>
      <c r="CD16" s="684"/>
      <c r="CE16" s="684"/>
      <c r="CF16" s="684"/>
    </row>
    <row r="17" spans="1:84" ht="31.5" customHeight="1" x14ac:dyDescent="0.2">
      <c r="A17" s="4155"/>
      <c r="B17" s="4156"/>
      <c r="C17" s="3854"/>
      <c r="D17" s="4136"/>
      <c r="E17" s="4136"/>
      <c r="F17" s="3859"/>
      <c r="G17" s="3560"/>
      <c r="H17" s="3560"/>
      <c r="I17" s="3560"/>
      <c r="J17" s="4053">
        <v>39</v>
      </c>
      <c r="K17" s="4146" t="s">
        <v>350</v>
      </c>
      <c r="L17" s="4066" t="s">
        <v>351</v>
      </c>
      <c r="M17" s="4101">
        <v>3</v>
      </c>
      <c r="N17" s="4101">
        <v>2</v>
      </c>
      <c r="O17" s="3508"/>
      <c r="P17" s="4104"/>
      <c r="Q17" s="4067"/>
      <c r="R17" s="4068">
        <f>SUM(W17:W21)/S13</f>
        <v>0.33235785953177255</v>
      </c>
      <c r="S17" s="4070"/>
      <c r="T17" s="4067"/>
      <c r="U17" s="4086"/>
      <c r="V17" s="4066" t="s">
        <v>352</v>
      </c>
      <c r="W17" s="4148">
        <v>39750000</v>
      </c>
      <c r="X17" s="4148">
        <v>22384000</v>
      </c>
      <c r="Y17" s="4148">
        <v>13990000</v>
      </c>
      <c r="Z17" s="3610">
        <v>20</v>
      </c>
      <c r="AA17" s="3507" t="s">
        <v>323</v>
      </c>
      <c r="AB17" s="4055"/>
      <c r="AC17" s="4055"/>
      <c r="AD17" s="4055"/>
      <c r="AE17" s="4055"/>
      <c r="AF17" s="4055"/>
      <c r="AG17" s="4055"/>
      <c r="AH17" s="4055"/>
      <c r="AI17" s="4055"/>
      <c r="AJ17" s="4055"/>
      <c r="AK17" s="4055"/>
      <c r="AL17" s="4055"/>
      <c r="AM17" s="4055"/>
      <c r="AN17" s="4055"/>
      <c r="AO17" s="4055"/>
      <c r="AP17" s="4055"/>
      <c r="AQ17" s="4055"/>
      <c r="AR17" s="4055"/>
      <c r="AS17" s="4055"/>
      <c r="AT17" s="4055"/>
      <c r="AU17" s="4055"/>
      <c r="AV17" s="4055"/>
      <c r="AW17" s="4055"/>
      <c r="AX17" s="4055"/>
      <c r="AY17" s="4055"/>
      <c r="AZ17" s="4055"/>
      <c r="BA17" s="4055"/>
      <c r="BB17" s="4055"/>
      <c r="BC17" s="4055"/>
      <c r="BD17" s="4055"/>
      <c r="BE17" s="4055"/>
      <c r="BF17" s="4055"/>
      <c r="BG17" s="4055"/>
      <c r="BH17" s="4061"/>
      <c r="BI17" s="4111"/>
      <c r="BJ17" s="4111"/>
      <c r="BK17" s="4114"/>
      <c r="BL17" s="4061"/>
      <c r="BM17" s="4061"/>
      <c r="BN17" s="4043"/>
      <c r="BO17" s="4043"/>
      <c r="BP17" s="4043"/>
      <c r="BQ17" s="4043"/>
      <c r="BR17" s="4046"/>
      <c r="BS17" s="684"/>
      <c r="BT17" s="684"/>
      <c r="BU17" s="684"/>
      <c r="BV17" s="684"/>
      <c r="BW17" s="684"/>
      <c r="BX17" s="684"/>
      <c r="BY17" s="684"/>
      <c r="BZ17" s="684"/>
      <c r="CA17" s="684"/>
      <c r="CB17" s="684"/>
      <c r="CC17" s="684"/>
      <c r="CD17" s="684"/>
      <c r="CE17" s="684"/>
      <c r="CF17" s="684"/>
    </row>
    <row r="18" spans="1:84" ht="31.5" customHeight="1" x14ac:dyDescent="0.2">
      <c r="A18" s="4155"/>
      <c r="B18" s="4156"/>
      <c r="C18" s="3854"/>
      <c r="D18" s="4136"/>
      <c r="E18" s="4136"/>
      <c r="F18" s="3859"/>
      <c r="G18" s="3560"/>
      <c r="H18" s="3560"/>
      <c r="I18" s="3560"/>
      <c r="J18" s="4053"/>
      <c r="K18" s="4147"/>
      <c r="L18" s="4067"/>
      <c r="M18" s="4101"/>
      <c r="N18" s="4101"/>
      <c r="O18" s="3508"/>
      <c r="P18" s="4104"/>
      <c r="Q18" s="4067"/>
      <c r="R18" s="4069"/>
      <c r="S18" s="4070"/>
      <c r="T18" s="4067"/>
      <c r="U18" s="4086"/>
      <c r="V18" s="4067"/>
      <c r="W18" s="4149"/>
      <c r="X18" s="4149"/>
      <c r="Y18" s="4149"/>
      <c r="Z18" s="3586"/>
      <c r="AA18" s="3508"/>
      <c r="AB18" s="4055"/>
      <c r="AC18" s="4055"/>
      <c r="AD18" s="4055"/>
      <c r="AE18" s="4055"/>
      <c r="AF18" s="4055"/>
      <c r="AG18" s="4055"/>
      <c r="AH18" s="4055"/>
      <c r="AI18" s="4055"/>
      <c r="AJ18" s="4055"/>
      <c r="AK18" s="4055"/>
      <c r="AL18" s="4055"/>
      <c r="AM18" s="4055"/>
      <c r="AN18" s="4055"/>
      <c r="AO18" s="4055"/>
      <c r="AP18" s="4055"/>
      <c r="AQ18" s="4055"/>
      <c r="AR18" s="4055"/>
      <c r="AS18" s="4055"/>
      <c r="AT18" s="4055"/>
      <c r="AU18" s="4055"/>
      <c r="AV18" s="4055"/>
      <c r="AW18" s="4055"/>
      <c r="AX18" s="4055"/>
      <c r="AY18" s="4055"/>
      <c r="AZ18" s="4055"/>
      <c r="BA18" s="4055"/>
      <c r="BB18" s="4055"/>
      <c r="BC18" s="4055"/>
      <c r="BD18" s="4055"/>
      <c r="BE18" s="4055"/>
      <c r="BF18" s="4055"/>
      <c r="BG18" s="4055"/>
      <c r="BH18" s="4061"/>
      <c r="BI18" s="4111"/>
      <c r="BJ18" s="4111"/>
      <c r="BK18" s="4114"/>
      <c r="BL18" s="4061"/>
      <c r="BM18" s="4061"/>
      <c r="BN18" s="4043"/>
      <c r="BO18" s="4043"/>
      <c r="BP18" s="4043"/>
      <c r="BQ18" s="4043"/>
      <c r="BR18" s="4046"/>
      <c r="BS18" s="684"/>
      <c r="BT18" s="684"/>
      <c r="BU18" s="684"/>
      <c r="BV18" s="684"/>
      <c r="BW18" s="684"/>
      <c r="BX18" s="684"/>
      <c r="BY18" s="684"/>
      <c r="BZ18" s="684"/>
      <c r="CA18" s="684"/>
      <c r="CB18" s="684"/>
      <c r="CC18" s="684"/>
      <c r="CD18" s="684"/>
      <c r="CE18" s="684"/>
      <c r="CF18" s="684"/>
    </row>
    <row r="19" spans="1:84" ht="31.5" customHeight="1" x14ac:dyDescent="0.2">
      <c r="A19" s="4155"/>
      <c r="B19" s="4156"/>
      <c r="C19" s="3854"/>
      <c r="D19" s="4136"/>
      <c r="E19" s="4136"/>
      <c r="F19" s="3859"/>
      <c r="G19" s="3560"/>
      <c r="H19" s="3560"/>
      <c r="I19" s="3560"/>
      <c r="J19" s="4053"/>
      <c r="K19" s="4147"/>
      <c r="L19" s="4067"/>
      <c r="M19" s="4101"/>
      <c r="N19" s="4101"/>
      <c r="O19" s="3508"/>
      <c r="P19" s="4104"/>
      <c r="Q19" s="4067"/>
      <c r="R19" s="4069"/>
      <c r="S19" s="4070"/>
      <c r="T19" s="4067"/>
      <c r="U19" s="4086"/>
      <c r="V19" s="4067"/>
      <c r="W19" s="4149"/>
      <c r="X19" s="4149"/>
      <c r="Y19" s="4149"/>
      <c r="Z19" s="3586"/>
      <c r="AA19" s="3508"/>
      <c r="AB19" s="4055"/>
      <c r="AC19" s="4055"/>
      <c r="AD19" s="4055"/>
      <c r="AE19" s="4055"/>
      <c r="AF19" s="4055"/>
      <c r="AG19" s="4055"/>
      <c r="AH19" s="4055"/>
      <c r="AI19" s="4055"/>
      <c r="AJ19" s="4055"/>
      <c r="AK19" s="4055"/>
      <c r="AL19" s="4055"/>
      <c r="AM19" s="4055"/>
      <c r="AN19" s="4055"/>
      <c r="AO19" s="4055"/>
      <c r="AP19" s="4055"/>
      <c r="AQ19" s="4055"/>
      <c r="AR19" s="4055"/>
      <c r="AS19" s="4055"/>
      <c r="AT19" s="4055"/>
      <c r="AU19" s="4055"/>
      <c r="AV19" s="4055"/>
      <c r="AW19" s="4055"/>
      <c r="AX19" s="4055"/>
      <c r="AY19" s="4055"/>
      <c r="AZ19" s="4055"/>
      <c r="BA19" s="4055"/>
      <c r="BB19" s="4055"/>
      <c r="BC19" s="4055"/>
      <c r="BD19" s="4055"/>
      <c r="BE19" s="4055"/>
      <c r="BF19" s="4055"/>
      <c r="BG19" s="4055"/>
      <c r="BH19" s="4061"/>
      <c r="BI19" s="4111"/>
      <c r="BJ19" s="4111"/>
      <c r="BK19" s="4114"/>
      <c r="BL19" s="4061"/>
      <c r="BM19" s="4061"/>
      <c r="BN19" s="4043"/>
      <c r="BO19" s="4043"/>
      <c r="BP19" s="4043"/>
      <c r="BQ19" s="4043"/>
      <c r="BR19" s="4046"/>
      <c r="BS19" s="684"/>
      <c r="BT19" s="684"/>
      <c r="BU19" s="684"/>
      <c r="BV19" s="684"/>
      <c r="BW19" s="684"/>
      <c r="BX19" s="684"/>
      <c r="BY19" s="684"/>
      <c r="BZ19" s="684"/>
      <c r="CA19" s="684"/>
      <c r="CB19" s="684"/>
      <c r="CC19" s="684"/>
      <c r="CD19" s="684"/>
      <c r="CE19" s="684"/>
      <c r="CF19" s="684"/>
    </row>
    <row r="20" spans="1:84" ht="31.5" customHeight="1" x14ac:dyDescent="0.2">
      <c r="A20" s="4155"/>
      <c r="B20" s="4156"/>
      <c r="C20" s="3854"/>
      <c r="D20" s="4136"/>
      <c r="E20" s="4136"/>
      <c r="F20" s="3859"/>
      <c r="G20" s="3560"/>
      <c r="H20" s="3560"/>
      <c r="I20" s="3560"/>
      <c r="J20" s="4053"/>
      <c r="K20" s="4147"/>
      <c r="L20" s="4067"/>
      <c r="M20" s="4101"/>
      <c r="N20" s="4101"/>
      <c r="O20" s="3508"/>
      <c r="P20" s="4104"/>
      <c r="Q20" s="4067"/>
      <c r="R20" s="4069"/>
      <c r="S20" s="4070"/>
      <c r="T20" s="4067"/>
      <c r="U20" s="4086"/>
      <c r="V20" s="4067"/>
      <c r="W20" s="4149"/>
      <c r="X20" s="4149"/>
      <c r="Y20" s="4149"/>
      <c r="Z20" s="3586"/>
      <c r="AA20" s="3508"/>
      <c r="AB20" s="4055"/>
      <c r="AC20" s="4055"/>
      <c r="AD20" s="4055"/>
      <c r="AE20" s="4055"/>
      <c r="AF20" s="4055"/>
      <c r="AG20" s="4055"/>
      <c r="AH20" s="4055"/>
      <c r="AI20" s="4055"/>
      <c r="AJ20" s="4055"/>
      <c r="AK20" s="4055"/>
      <c r="AL20" s="4055"/>
      <c r="AM20" s="4055"/>
      <c r="AN20" s="4055"/>
      <c r="AO20" s="4055"/>
      <c r="AP20" s="4055"/>
      <c r="AQ20" s="4055"/>
      <c r="AR20" s="4055"/>
      <c r="AS20" s="4055"/>
      <c r="AT20" s="4055"/>
      <c r="AU20" s="4055"/>
      <c r="AV20" s="4055"/>
      <c r="AW20" s="4055"/>
      <c r="AX20" s="4055"/>
      <c r="AY20" s="4055"/>
      <c r="AZ20" s="4055"/>
      <c r="BA20" s="4055"/>
      <c r="BB20" s="4055"/>
      <c r="BC20" s="4055"/>
      <c r="BD20" s="4055"/>
      <c r="BE20" s="4055"/>
      <c r="BF20" s="4055"/>
      <c r="BG20" s="4055"/>
      <c r="BH20" s="4061"/>
      <c r="BI20" s="4111"/>
      <c r="BJ20" s="4111"/>
      <c r="BK20" s="4114"/>
      <c r="BL20" s="4061"/>
      <c r="BM20" s="4061"/>
      <c r="BN20" s="4043"/>
      <c r="BO20" s="4043"/>
      <c r="BP20" s="4043"/>
      <c r="BQ20" s="4043"/>
      <c r="BR20" s="4046"/>
      <c r="BS20" s="684"/>
      <c r="BT20" s="684"/>
      <c r="BU20" s="684"/>
      <c r="BV20" s="684"/>
      <c r="BW20" s="684"/>
      <c r="BX20" s="684"/>
      <c r="BY20" s="684"/>
      <c r="BZ20" s="684"/>
      <c r="CA20" s="684"/>
      <c r="CB20" s="684"/>
      <c r="CC20" s="684"/>
      <c r="CD20" s="684"/>
      <c r="CE20" s="684"/>
      <c r="CF20" s="684"/>
    </row>
    <row r="21" spans="1:84" ht="31.5" customHeight="1" x14ac:dyDescent="0.2">
      <c r="A21" s="4155"/>
      <c r="B21" s="4156"/>
      <c r="C21" s="3854"/>
      <c r="D21" s="4136"/>
      <c r="E21" s="4136"/>
      <c r="F21" s="3859"/>
      <c r="G21" s="3560"/>
      <c r="H21" s="3560"/>
      <c r="I21" s="3560"/>
      <c r="J21" s="4053"/>
      <c r="K21" s="4147"/>
      <c r="L21" s="4067"/>
      <c r="M21" s="4101"/>
      <c r="N21" s="4101"/>
      <c r="O21" s="3509"/>
      <c r="P21" s="4104"/>
      <c r="Q21" s="4067"/>
      <c r="R21" s="4069"/>
      <c r="S21" s="4070"/>
      <c r="T21" s="4067"/>
      <c r="U21" s="4087"/>
      <c r="V21" s="4083"/>
      <c r="W21" s="4149"/>
      <c r="X21" s="4149"/>
      <c r="Y21" s="4149"/>
      <c r="Z21" s="3586"/>
      <c r="AA21" s="3508"/>
      <c r="AB21" s="4090"/>
      <c r="AC21" s="4090"/>
      <c r="AD21" s="4090"/>
      <c r="AE21" s="4090"/>
      <c r="AF21" s="4090"/>
      <c r="AG21" s="4090"/>
      <c r="AH21" s="4090"/>
      <c r="AI21" s="4090"/>
      <c r="AJ21" s="4090"/>
      <c r="AK21" s="4090"/>
      <c r="AL21" s="4090"/>
      <c r="AM21" s="4090"/>
      <c r="AN21" s="4090"/>
      <c r="AO21" s="4090"/>
      <c r="AP21" s="4090"/>
      <c r="AQ21" s="4090"/>
      <c r="AR21" s="4090"/>
      <c r="AS21" s="4090"/>
      <c r="AT21" s="4090"/>
      <c r="AU21" s="4090"/>
      <c r="AV21" s="4090"/>
      <c r="AW21" s="4090"/>
      <c r="AX21" s="4090"/>
      <c r="AY21" s="4090"/>
      <c r="AZ21" s="4090"/>
      <c r="BA21" s="4090"/>
      <c r="BB21" s="4090"/>
      <c r="BC21" s="4090"/>
      <c r="BD21" s="4090"/>
      <c r="BE21" s="4090"/>
      <c r="BF21" s="4090"/>
      <c r="BG21" s="4090"/>
      <c r="BH21" s="4093"/>
      <c r="BI21" s="4112"/>
      <c r="BJ21" s="4112"/>
      <c r="BK21" s="4115"/>
      <c r="BL21" s="4093"/>
      <c r="BM21" s="4093"/>
      <c r="BN21" s="4091"/>
      <c r="BO21" s="4091"/>
      <c r="BP21" s="4091"/>
      <c r="BQ21" s="4091"/>
      <c r="BR21" s="4092"/>
      <c r="BS21" s="684"/>
      <c r="BT21" s="684"/>
      <c r="BU21" s="684"/>
      <c r="BV21" s="684"/>
      <c r="BW21" s="684"/>
      <c r="BX21" s="684"/>
      <c r="BY21" s="684"/>
      <c r="BZ21" s="684"/>
      <c r="CA21" s="684"/>
      <c r="CB21" s="684"/>
      <c r="CC21" s="684"/>
      <c r="CD21" s="684"/>
      <c r="CE21" s="684"/>
      <c r="CF21" s="684"/>
    </row>
    <row r="22" spans="1:84" ht="42" customHeight="1" x14ac:dyDescent="0.2">
      <c r="A22" s="4155"/>
      <c r="B22" s="4156"/>
      <c r="C22" s="3854"/>
      <c r="D22" s="4136"/>
      <c r="E22" s="4136"/>
      <c r="F22" s="3859"/>
      <c r="G22" s="3560"/>
      <c r="H22" s="3560"/>
      <c r="I22" s="3561"/>
      <c r="J22" s="4104">
        <v>40</v>
      </c>
      <c r="K22" s="4066" t="s">
        <v>353</v>
      </c>
      <c r="L22" s="4066" t="s">
        <v>354</v>
      </c>
      <c r="M22" s="4142">
        <f>0.56+0.36</f>
        <v>0.92</v>
      </c>
      <c r="N22" s="4144">
        <v>0.7</v>
      </c>
      <c r="O22" s="688"/>
      <c r="P22" s="3507" t="s">
        <v>355</v>
      </c>
      <c r="Q22" s="4066" t="s">
        <v>356</v>
      </c>
      <c r="R22" s="4068">
        <f>(W22+W23)/S22</f>
        <v>0.53959057551178058</v>
      </c>
      <c r="S22" s="3527">
        <f>SUM(W22:W30)</f>
        <v>129450000</v>
      </c>
      <c r="T22" s="4066" t="s">
        <v>357</v>
      </c>
      <c r="U22" s="4085" t="s">
        <v>358</v>
      </c>
      <c r="V22" s="4141" t="s">
        <v>359</v>
      </c>
      <c r="W22" s="689">
        <v>19850000</v>
      </c>
      <c r="X22" s="689">
        <v>19850000</v>
      </c>
      <c r="Y22" s="689">
        <v>19850000</v>
      </c>
      <c r="Z22" s="686">
        <v>20</v>
      </c>
      <c r="AA22" s="687" t="s">
        <v>323</v>
      </c>
      <c r="AB22" s="4063">
        <v>294321</v>
      </c>
      <c r="AC22" s="4063">
        <v>336</v>
      </c>
      <c r="AD22" s="4054">
        <v>283947</v>
      </c>
      <c r="AE22" s="4063">
        <v>256</v>
      </c>
      <c r="AF22" s="4054">
        <v>135754</v>
      </c>
      <c r="AG22" s="4054"/>
      <c r="AH22" s="4054">
        <v>44640</v>
      </c>
      <c r="AI22" s="4054">
        <v>212</v>
      </c>
      <c r="AJ22" s="4054">
        <v>308178</v>
      </c>
      <c r="AK22" s="4054">
        <v>362</v>
      </c>
      <c r="AL22" s="3610">
        <v>89696</v>
      </c>
      <c r="AM22" s="4054">
        <v>18</v>
      </c>
      <c r="AN22" s="4095"/>
      <c r="AO22" s="3610">
        <v>5</v>
      </c>
      <c r="AP22" s="4095"/>
      <c r="AQ22" s="3610">
        <v>7</v>
      </c>
      <c r="AR22" s="4095"/>
      <c r="AS22" s="4095"/>
      <c r="AT22" s="4095"/>
      <c r="AU22" s="4095"/>
      <c r="AV22" s="4095"/>
      <c r="AW22" s="4095"/>
      <c r="AX22" s="4095"/>
      <c r="AY22" s="4095"/>
      <c r="AZ22" s="4095"/>
      <c r="BA22" s="4095"/>
      <c r="BB22" s="4095"/>
      <c r="BC22" s="3610">
        <v>7</v>
      </c>
      <c r="BD22" s="4095"/>
      <c r="BE22" s="3610">
        <v>37</v>
      </c>
      <c r="BF22" s="4054">
        <f>+AB22+AD22</f>
        <v>578268</v>
      </c>
      <c r="BG22" s="4054">
        <f>SUM(AC22,AE22)</f>
        <v>592</v>
      </c>
      <c r="BH22" s="4138">
        <v>6</v>
      </c>
      <c r="BI22" s="4110">
        <f>SUM(X22:X30)</f>
        <v>129408933</v>
      </c>
      <c r="BJ22" s="4110">
        <f>SUM(Y22:Y30)</f>
        <v>79592000</v>
      </c>
      <c r="BK22" s="4113">
        <f>(BJ22/BI22)</f>
        <v>0.61504254887875476</v>
      </c>
      <c r="BL22" s="4138" t="s">
        <v>360</v>
      </c>
      <c r="BM22" s="4138" t="s">
        <v>361</v>
      </c>
      <c r="BN22" s="4042">
        <v>43467</v>
      </c>
      <c r="BO22" s="4042">
        <v>43488</v>
      </c>
      <c r="BP22" s="4042">
        <v>43830</v>
      </c>
      <c r="BQ22" s="4042">
        <v>43830</v>
      </c>
      <c r="BR22" s="4045" t="s">
        <v>347</v>
      </c>
      <c r="BS22" s="684"/>
      <c r="BT22" s="684"/>
      <c r="BU22" s="684"/>
      <c r="BV22" s="684"/>
      <c r="BW22" s="684"/>
      <c r="BX22" s="684"/>
      <c r="BY22" s="684"/>
      <c r="BZ22" s="684"/>
      <c r="CA22" s="684"/>
      <c r="CB22" s="684"/>
      <c r="CC22" s="684"/>
      <c r="CD22" s="684"/>
      <c r="CE22" s="684"/>
      <c r="CF22" s="684"/>
    </row>
    <row r="23" spans="1:84" ht="38.25" customHeight="1" x14ac:dyDescent="0.2">
      <c r="A23" s="4155"/>
      <c r="B23" s="4156"/>
      <c r="C23" s="3854"/>
      <c r="D23" s="4136"/>
      <c r="E23" s="4136"/>
      <c r="F23" s="3859"/>
      <c r="G23" s="3560"/>
      <c r="H23" s="3560"/>
      <c r="I23" s="3561"/>
      <c r="J23" s="4104"/>
      <c r="K23" s="4067"/>
      <c r="L23" s="4067"/>
      <c r="M23" s="4143"/>
      <c r="N23" s="4145"/>
      <c r="O23" s="688"/>
      <c r="P23" s="3508"/>
      <c r="Q23" s="4067"/>
      <c r="R23" s="4069"/>
      <c r="S23" s="4070"/>
      <c r="T23" s="4067"/>
      <c r="U23" s="4086"/>
      <c r="V23" s="4141"/>
      <c r="W23" s="4106">
        <f>0+50000000</f>
        <v>50000000</v>
      </c>
      <c r="X23" s="4106">
        <v>50000000</v>
      </c>
      <c r="Y23" s="4106">
        <v>15075000</v>
      </c>
      <c r="Z23" s="4051">
        <v>88</v>
      </c>
      <c r="AA23" s="4053" t="s">
        <v>348</v>
      </c>
      <c r="AB23" s="4064"/>
      <c r="AC23" s="4064"/>
      <c r="AD23" s="4055"/>
      <c r="AE23" s="4064"/>
      <c r="AF23" s="4055"/>
      <c r="AG23" s="4055"/>
      <c r="AH23" s="4055"/>
      <c r="AI23" s="4055"/>
      <c r="AJ23" s="4055"/>
      <c r="AK23" s="4055"/>
      <c r="AL23" s="3586"/>
      <c r="AM23" s="4055"/>
      <c r="AN23" s="4096"/>
      <c r="AO23" s="3586"/>
      <c r="AP23" s="4096"/>
      <c r="AQ23" s="3586"/>
      <c r="AR23" s="4096"/>
      <c r="AS23" s="4096"/>
      <c r="AT23" s="4096"/>
      <c r="AU23" s="4096"/>
      <c r="AV23" s="4096"/>
      <c r="AW23" s="4096"/>
      <c r="AX23" s="4096"/>
      <c r="AY23" s="4096"/>
      <c r="AZ23" s="4096"/>
      <c r="BA23" s="4096"/>
      <c r="BB23" s="4096"/>
      <c r="BC23" s="3586"/>
      <c r="BD23" s="4096"/>
      <c r="BE23" s="3586"/>
      <c r="BF23" s="4055"/>
      <c r="BG23" s="4055"/>
      <c r="BH23" s="4139"/>
      <c r="BI23" s="4111"/>
      <c r="BJ23" s="4111"/>
      <c r="BK23" s="4114"/>
      <c r="BL23" s="4139"/>
      <c r="BM23" s="4139"/>
      <c r="BN23" s="4043"/>
      <c r="BO23" s="4043"/>
      <c r="BP23" s="4043"/>
      <c r="BQ23" s="4043"/>
      <c r="BR23" s="4046"/>
      <c r="BS23" s="684"/>
      <c r="BT23" s="684"/>
      <c r="BU23" s="684"/>
      <c r="BV23" s="684"/>
      <c r="BW23" s="684"/>
      <c r="BX23" s="684"/>
      <c r="BY23" s="684"/>
      <c r="BZ23" s="684"/>
      <c r="CA23" s="684"/>
      <c r="CB23" s="684"/>
      <c r="CC23" s="684"/>
      <c r="CD23" s="684"/>
      <c r="CE23" s="684"/>
      <c r="CF23" s="684"/>
    </row>
    <row r="24" spans="1:84" ht="48" customHeight="1" x14ac:dyDescent="0.2">
      <c r="A24" s="4155"/>
      <c r="B24" s="4156"/>
      <c r="C24" s="3854"/>
      <c r="D24" s="4136"/>
      <c r="E24" s="4136"/>
      <c r="F24" s="3859"/>
      <c r="G24" s="3560"/>
      <c r="H24" s="3560"/>
      <c r="I24" s="3561"/>
      <c r="J24" s="4104"/>
      <c r="K24" s="4067"/>
      <c r="L24" s="4067"/>
      <c r="M24" s="4143"/>
      <c r="N24" s="4145"/>
      <c r="O24" s="688" t="s">
        <v>362</v>
      </c>
      <c r="P24" s="3508"/>
      <c r="Q24" s="4067"/>
      <c r="R24" s="4069"/>
      <c r="S24" s="4070"/>
      <c r="T24" s="4067"/>
      <c r="U24" s="4086"/>
      <c r="V24" s="4141"/>
      <c r="W24" s="4106"/>
      <c r="X24" s="4106"/>
      <c r="Y24" s="4106"/>
      <c r="Z24" s="4051"/>
      <c r="AA24" s="4053"/>
      <c r="AB24" s="4064"/>
      <c r="AC24" s="4064"/>
      <c r="AD24" s="4055"/>
      <c r="AE24" s="4064"/>
      <c r="AF24" s="4055"/>
      <c r="AG24" s="4055"/>
      <c r="AH24" s="4055"/>
      <c r="AI24" s="4055"/>
      <c r="AJ24" s="4055"/>
      <c r="AK24" s="4055"/>
      <c r="AL24" s="3586"/>
      <c r="AM24" s="4055"/>
      <c r="AN24" s="4096"/>
      <c r="AO24" s="3586"/>
      <c r="AP24" s="4096"/>
      <c r="AQ24" s="3586"/>
      <c r="AR24" s="4096"/>
      <c r="AS24" s="4096"/>
      <c r="AT24" s="4096"/>
      <c r="AU24" s="4096"/>
      <c r="AV24" s="4096"/>
      <c r="AW24" s="4096"/>
      <c r="AX24" s="4096"/>
      <c r="AY24" s="4096"/>
      <c r="AZ24" s="4096"/>
      <c r="BA24" s="4096"/>
      <c r="BB24" s="4096"/>
      <c r="BC24" s="3586"/>
      <c r="BD24" s="4096"/>
      <c r="BE24" s="3586"/>
      <c r="BF24" s="4055"/>
      <c r="BG24" s="4055"/>
      <c r="BH24" s="4139"/>
      <c r="BI24" s="4111"/>
      <c r="BJ24" s="4111"/>
      <c r="BK24" s="4114"/>
      <c r="BL24" s="4139"/>
      <c r="BM24" s="4139"/>
      <c r="BN24" s="4043"/>
      <c r="BO24" s="4043"/>
      <c r="BP24" s="4043"/>
      <c r="BQ24" s="4043"/>
      <c r="BR24" s="4046"/>
      <c r="BS24" s="684"/>
      <c r="BT24" s="684"/>
      <c r="BU24" s="684"/>
      <c r="BV24" s="684"/>
      <c r="BW24" s="684"/>
      <c r="BX24" s="684"/>
      <c r="BY24" s="684"/>
      <c r="BZ24" s="684"/>
      <c r="CA24" s="684"/>
      <c r="CB24" s="684"/>
      <c r="CC24" s="684"/>
      <c r="CD24" s="684"/>
      <c r="CE24" s="684"/>
      <c r="CF24" s="684"/>
    </row>
    <row r="25" spans="1:84" ht="31.5" customHeight="1" x14ac:dyDescent="0.2">
      <c r="A25" s="4155"/>
      <c r="B25" s="4156"/>
      <c r="C25" s="3854"/>
      <c r="D25" s="4136"/>
      <c r="E25" s="4136"/>
      <c r="F25" s="3859"/>
      <c r="G25" s="3560"/>
      <c r="H25" s="3560"/>
      <c r="I25" s="3561"/>
      <c r="J25" s="4103">
        <v>41</v>
      </c>
      <c r="K25" s="4066" t="s">
        <v>363</v>
      </c>
      <c r="L25" s="4066" t="s">
        <v>364</v>
      </c>
      <c r="M25" s="3507">
        <v>1</v>
      </c>
      <c r="N25" s="3507">
        <v>0.8</v>
      </c>
      <c r="O25" s="688"/>
      <c r="P25" s="3508"/>
      <c r="Q25" s="4067"/>
      <c r="R25" s="4068">
        <f>(W25)/S22</f>
        <v>0.19196601004248745</v>
      </c>
      <c r="S25" s="4070"/>
      <c r="T25" s="4067"/>
      <c r="U25" s="4085" t="s">
        <v>365</v>
      </c>
      <c r="V25" s="4071" t="s">
        <v>366</v>
      </c>
      <c r="W25" s="3528">
        <v>24850000</v>
      </c>
      <c r="X25" s="3528">
        <v>24808933</v>
      </c>
      <c r="Y25" s="3528">
        <v>19586000</v>
      </c>
      <c r="Z25" s="3586">
        <v>20</v>
      </c>
      <c r="AA25" s="3508" t="s">
        <v>323</v>
      </c>
      <c r="AB25" s="4055"/>
      <c r="AC25" s="4055"/>
      <c r="AD25" s="4055"/>
      <c r="AE25" s="4055"/>
      <c r="AF25" s="4055"/>
      <c r="AG25" s="4055"/>
      <c r="AH25" s="4055"/>
      <c r="AI25" s="4055"/>
      <c r="AJ25" s="4055"/>
      <c r="AK25" s="4055"/>
      <c r="AL25" s="3586"/>
      <c r="AM25" s="4055"/>
      <c r="AN25" s="4096"/>
      <c r="AO25" s="3586"/>
      <c r="AP25" s="4096"/>
      <c r="AQ25" s="3586"/>
      <c r="AR25" s="4096"/>
      <c r="AS25" s="4096"/>
      <c r="AT25" s="4096"/>
      <c r="AU25" s="4096"/>
      <c r="AV25" s="4096"/>
      <c r="AW25" s="4096"/>
      <c r="AX25" s="4096"/>
      <c r="AY25" s="4096"/>
      <c r="AZ25" s="4096"/>
      <c r="BA25" s="4096"/>
      <c r="BB25" s="4096"/>
      <c r="BC25" s="3586"/>
      <c r="BD25" s="4096"/>
      <c r="BE25" s="3586"/>
      <c r="BF25" s="4055"/>
      <c r="BG25" s="4055"/>
      <c r="BH25" s="4139"/>
      <c r="BI25" s="4111"/>
      <c r="BJ25" s="4111"/>
      <c r="BK25" s="4114"/>
      <c r="BL25" s="4139"/>
      <c r="BM25" s="4139"/>
      <c r="BN25" s="4043"/>
      <c r="BO25" s="4043"/>
      <c r="BP25" s="4043"/>
      <c r="BQ25" s="4043"/>
      <c r="BR25" s="4046"/>
      <c r="BS25" s="684"/>
      <c r="BT25" s="684"/>
      <c r="BU25" s="684"/>
      <c r="BV25" s="684"/>
      <c r="BW25" s="684"/>
      <c r="BX25" s="684"/>
      <c r="BY25" s="684"/>
      <c r="BZ25" s="684"/>
      <c r="CA25" s="684"/>
      <c r="CB25" s="684"/>
      <c r="CC25" s="684"/>
      <c r="CD25" s="684"/>
      <c r="CE25" s="684"/>
      <c r="CF25" s="684"/>
    </row>
    <row r="26" spans="1:84" ht="31.5" customHeight="1" x14ac:dyDescent="0.2">
      <c r="A26" s="4155"/>
      <c r="B26" s="4156"/>
      <c r="C26" s="3854"/>
      <c r="D26" s="4136"/>
      <c r="E26" s="4136"/>
      <c r="F26" s="3859"/>
      <c r="G26" s="3560"/>
      <c r="H26" s="3560"/>
      <c r="I26" s="3561"/>
      <c r="J26" s="4104"/>
      <c r="K26" s="4067"/>
      <c r="L26" s="4067"/>
      <c r="M26" s="3508"/>
      <c r="N26" s="3508"/>
      <c r="O26" s="688" t="s">
        <v>367</v>
      </c>
      <c r="P26" s="3508"/>
      <c r="Q26" s="4067"/>
      <c r="R26" s="4069"/>
      <c r="S26" s="4070"/>
      <c r="T26" s="4067"/>
      <c r="U26" s="4086"/>
      <c r="V26" s="4047"/>
      <c r="W26" s="4073"/>
      <c r="X26" s="4073"/>
      <c r="Y26" s="4073"/>
      <c r="Z26" s="3586"/>
      <c r="AA26" s="3508"/>
      <c r="AB26" s="4055"/>
      <c r="AC26" s="4055"/>
      <c r="AD26" s="4055"/>
      <c r="AE26" s="4055"/>
      <c r="AF26" s="4055"/>
      <c r="AG26" s="4055"/>
      <c r="AH26" s="4055"/>
      <c r="AI26" s="4055"/>
      <c r="AJ26" s="4055"/>
      <c r="AK26" s="4055"/>
      <c r="AL26" s="3586"/>
      <c r="AM26" s="4055"/>
      <c r="AN26" s="4096"/>
      <c r="AO26" s="3586"/>
      <c r="AP26" s="4096"/>
      <c r="AQ26" s="3586"/>
      <c r="AR26" s="4096"/>
      <c r="AS26" s="4096"/>
      <c r="AT26" s="4096"/>
      <c r="AU26" s="4096"/>
      <c r="AV26" s="4096"/>
      <c r="AW26" s="4096"/>
      <c r="AX26" s="4096"/>
      <c r="AY26" s="4096"/>
      <c r="AZ26" s="4096"/>
      <c r="BA26" s="4096"/>
      <c r="BB26" s="4096"/>
      <c r="BC26" s="3586"/>
      <c r="BD26" s="4096"/>
      <c r="BE26" s="3586"/>
      <c r="BF26" s="4055"/>
      <c r="BG26" s="4055"/>
      <c r="BH26" s="4139"/>
      <c r="BI26" s="4111"/>
      <c r="BJ26" s="4111"/>
      <c r="BK26" s="4114"/>
      <c r="BL26" s="4139"/>
      <c r="BM26" s="4139"/>
      <c r="BN26" s="4043"/>
      <c r="BO26" s="4043"/>
      <c r="BP26" s="4043"/>
      <c r="BQ26" s="4043"/>
      <c r="BR26" s="4046"/>
      <c r="BS26" s="684"/>
      <c r="BT26" s="684"/>
      <c r="BU26" s="684"/>
      <c r="BV26" s="684"/>
      <c r="BW26" s="684"/>
      <c r="BX26" s="684"/>
      <c r="BY26" s="684"/>
      <c r="BZ26" s="684"/>
      <c r="CA26" s="684"/>
      <c r="CB26" s="684"/>
      <c r="CC26" s="684"/>
      <c r="CD26" s="684"/>
      <c r="CE26" s="684"/>
      <c r="CF26" s="684"/>
    </row>
    <row r="27" spans="1:84" ht="31.5" customHeight="1" x14ac:dyDescent="0.2">
      <c r="A27" s="4155"/>
      <c r="B27" s="4156"/>
      <c r="C27" s="3854"/>
      <c r="D27" s="4136"/>
      <c r="E27" s="4136"/>
      <c r="F27" s="3859"/>
      <c r="G27" s="3560"/>
      <c r="H27" s="3560"/>
      <c r="I27" s="3561"/>
      <c r="J27" s="4104"/>
      <c r="K27" s="4067"/>
      <c r="L27" s="4067"/>
      <c r="M27" s="3508"/>
      <c r="N27" s="3508"/>
      <c r="O27" s="688"/>
      <c r="P27" s="3508"/>
      <c r="Q27" s="4067"/>
      <c r="R27" s="4069"/>
      <c r="S27" s="4070"/>
      <c r="T27" s="4067"/>
      <c r="U27" s="4086"/>
      <c r="V27" s="4072"/>
      <c r="W27" s="4073"/>
      <c r="X27" s="4073"/>
      <c r="Y27" s="4073"/>
      <c r="Z27" s="3587"/>
      <c r="AA27" s="3509"/>
      <c r="AB27" s="4055"/>
      <c r="AC27" s="4055"/>
      <c r="AD27" s="4055"/>
      <c r="AE27" s="4055"/>
      <c r="AF27" s="4055"/>
      <c r="AG27" s="4055"/>
      <c r="AH27" s="4055"/>
      <c r="AI27" s="4055"/>
      <c r="AJ27" s="4055"/>
      <c r="AK27" s="4055"/>
      <c r="AL27" s="3586"/>
      <c r="AM27" s="4055"/>
      <c r="AN27" s="4096"/>
      <c r="AO27" s="3586"/>
      <c r="AP27" s="4096"/>
      <c r="AQ27" s="3586"/>
      <c r="AR27" s="4096"/>
      <c r="AS27" s="4096"/>
      <c r="AT27" s="4096"/>
      <c r="AU27" s="4096"/>
      <c r="AV27" s="4096"/>
      <c r="AW27" s="4096"/>
      <c r="AX27" s="4096"/>
      <c r="AY27" s="4096"/>
      <c r="AZ27" s="4096"/>
      <c r="BA27" s="4096"/>
      <c r="BB27" s="4096"/>
      <c r="BC27" s="3586"/>
      <c r="BD27" s="4096"/>
      <c r="BE27" s="3586"/>
      <c r="BF27" s="4055"/>
      <c r="BG27" s="4055"/>
      <c r="BH27" s="4139"/>
      <c r="BI27" s="4111"/>
      <c r="BJ27" s="4111"/>
      <c r="BK27" s="4114"/>
      <c r="BL27" s="4139"/>
      <c r="BM27" s="4139"/>
      <c r="BN27" s="4043"/>
      <c r="BO27" s="4043"/>
      <c r="BP27" s="4043"/>
      <c r="BQ27" s="4043"/>
      <c r="BR27" s="4046"/>
      <c r="BS27" s="684"/>
      <c r="BT27" s="684"/>
      <c r="BU27" s="684"/>
      <c r="BV27" s="684"/>
      <c r="BW27" s="684"/>
      <c r="BX27" s="684"/>
      <c r="BY27" s="684"/>
      <c r="BZ27" s="684"/>
      <c r="CA27" s="684"/>
      <c r="CB27" s="684"/>
      <c r="CC27" s="684"/>
      <c r="CD27" s="684"/>
      <c r="CE27" s="684"/>
      <c r="CF27" s="684"/>
    </row>
    <row r="28" spans="1:84" ht="31.5" customHeight="1" x14ac:dyDescent="0.2">
      <c r="A28" s="4155"/>
      <c r="B28" s="4156"/>
      <c r="C28" s="3854"/>
      <c r="D28" s="4136"/>
      <c r="E28" s="4136"/>
      <c r="F28" s="3859"/>
      <c r="G28" s="3560"/>
      <c r="H28" s="3560"/>
      <c r="I28" s="3561"/>
      <c r="J28" s="4103">
        <v>42</v>
      </c>
      <c r="K28" s="4066" t="s">
        <v>368</v>
      </c>
      <c r="L28" s="4066" t="s">
        <v>369</v>
      </c>
      <c r="M28" s="3507">
        <v>1</v>
      </c>
      <c r="N28" s="3507">
        <v>0.8</v>
      </c>
      <c r="O28" s="688"/>
      <c r="P28" s="3508"/>
      <c r="Q28" s="4067"/>
      <c r="R28" s="4068">
        <f>(W28)/S22</f>
        <v>0.26844341444573194</v>
      </c>
      <c r="S28" s="4070"/>
      <c r="T28" s="4067"/>
      <c r="U28" s="4086"/>
      <c r="V28" s="4071" t="s">
        <v>370</v>
      </c>
      <c r="W28" s="4073">
        <v>34750000</v>
      </c>
      <c r="X28" s="4073">
        <v>34750000</v>
      </c>
      <c r="Y28" s="4073">
        <v>25081000</v>
      </c>
      <c r="Z28" s="3610">
        <v>20</v>
      </c>
      <c r="AA28" s="3507" t="s">
        <v>323</v>
      </c>
      <c r="AB28" s="4055"/>
      <c r="AC28" s="4055"/>
      <c r="AD28" s="4055"/>
      <c r="AE28" s="4055"/>
      <c r="AF28" s="4055"/>
      <c r="AG28" s="4055"/>
      <c r="AH28" s="4055"/>
      <c r="AI28" s="4055"/>
      <c r="AJ28" s="4055"/>
      <c r="AK28" s="4055"/>
      <c r="AL28" s="3586"/>
      <c r="AM28" s="4055"/>
      <c r="AN28" s="4096"/>
      <c r="AO28" s="3586"/>
      <c r="AP28" s="4096"/>
      <c r="AQ28" s="3586"/>
      <c r="AR28" s="4096"/>
      <c r="AS28" s="4096"/>
      <c r="AT28" s="4096"/>
      <c r="AU28" s="4096"/>
      <c r="AV28" s="4096"/>
      <c r="AW28" s="4096"/>
      <c r="AX28" s="4096"/>
      <c r="AY28" s="4096"/>
      <c r="AZ28" s="4096"/>
      <c r="BA28" s="4096"/>
      <c r="BB28" s="4096"/>
      <c r="BC28" s="3586"/>
      <c r="BD28" s="4096"/>
      <c r="BE28" s="3586"/>
      <c r="BF28" s="4055"/>
      <c r="BG28" s="4055"/>
      <c r="BH28" s="4139"/>
      <c r="BI28" s="4111"/>
      <c r="BJ28" s="4111"/>
      <c r="BK28" s="4114"/>
      <c r="BL28" s="4139"/>
      <c r="BM28" s="4139"/>
      <c r="BN28" s="4043"/>
      <c r="BO28" s="4043"/>
      <c r="BP28" s="4043"/>
      <c r="BQ28" s="4043"/>
      <c r="BR28" s="4046"/>
      <c r="BS28" s="684"/>
      <c r="BT28" s="684"/>
      <c r="BU28" s="684"/>
      <c r="BV28" s="684"/>
      <c r="BW28" s="684"/>
      <c r="BX28" s="684"/>
      <c r="BY28" s="684"/>
      <c r="BZ28" s="684"/>
      <c r="CA28" s="684"/>
      <c r="CB28" s="684"/>
      <c r="CC28" s="684"/>
      <c r="CD28" s="684"/>
      <c r="CE28" s="684"/>
      <c r="CF28" s="684"/>
    </row>
    <row r="29" spans="1:84" ht="31.5" customHeight="1" x14ac:dyDescent="0.2">
      <c r="A29" s="4155"/>
      <c r="B29" s="4156"/>
      <c r="C29" s="3854"/>
      <c r="D29" s="4136"/>
      <c r="E29" s="4136"/>
      <c r="F29" s="3859"/>
      <c r="G29" s="3560"/>
      <c r="H29" s="3560"/>
      <c r="I29" s="3561"/>
      <c r="J29" s="4104"/>
      <c r="K29" s="4067"/>
      <c r="L29" s="4067"/>
      <c r="M29" s="3508"/>
      <c r="N29" s="3508"/>
      <c r="O29" s="688"/>
      <c r="P29" s="3508"/>
      <c r="Q29" s="4067"/>
      <c r="R29" s="4069"/>
      <c r="S29" s="4070"/>
      <c r="T29" s="4067"/>
      <c r="U29" s="4086"/>
      <c r="V29" s="4047"/>
      <c r="W29" s="4073"/>
      <c r="X29" s="4073"/>
      <c r="Y29" s="4073"/>
      <c r="Z29" s="3586"/>
      <c r="AA29" s="3508"/>
      <c r="AB29" s="4055"/>
      <c r="AC29" s="4055"/>
      <c r="AD29" s="4055"/>
      <c r="AE29" s="4055"/>
      <c r="AF29" s="4055"/>
      <c r="AG29" s="4055"/>
      <c r="AH29" s="4055"/>
      <c r="AI29" s="4055"/>
      <c r="AJ29" s="4055"/>
      <c r="AK29" s="4055"/>
      <c r="AL29" s="3586"/>
      <c r="AM29" s="4055"/>
      <c r="AN29" s="4096"/>
      <c r="AO29" s="3586"/>
      <c r="AP29" s="4096"/>
      <c r="AQ29" s="3586"/>
      <c r="AR29" s="4096"/>
      <c r="AS29" s="4096"/>
      <c r="AT29" s="4096"/>
      <c r="AU29" s="4096"/>
      <c r="AV29" s="4096"/>
      <c r="AW29" s="4096"/>
      <c r="AX29" s="4096"/>
      <c r="AY29" s="4096"/>
      <c r="AZ29" s="4096"/>
      <c r="BA29" s="4096"/>
      <c r="BB29" s="4096"/>
      <c r="BC29" s="3586"/>
      <c r="BD29" s="4096"/>
      <c r="BE29" s="3586"/>
      <c r="BF29" s="4055"/>
      <c r="BG29" s="4055"/>
      <c r="BH29" s="4139"/>
      <c r="BI29" s="4111"/>
      <c r="BJ29" s="4111"/>
      <c r="BK29" s="4114"/>
      <c r="BL29" s="4139"/>
      <c r="BM29" s="4139"/>
      <c r="BN29" s="4043"/>
      <c r="BO29" s="4043"/>
      <c r="BP29" s="4043"/>
      <c r="BQ29" s="4043"/>
      <c r="BR29" s="4046"/>
      <c r="BS29" s="684"/>
      <c r="BT29" s="684"/>
      <c r="BU29" s="684"/>
      <c r="BV29" s="684"/>
      <c r="BW29" s="684"/>
      <c r="BX29" s="684"/>
      <c r="BY29" s="684"/>
      <c r="BZ29" s="684"/>
      <c r="CA29" s="684"/>
      <c r="CB29" s="684"/>
      <c r="CC29" s="684"/>
      <c r="CD29" s="684"/>
      <c r="CE29" s="684"/>
      <c r="CF29" s="684"/>
    </row>
    <row r="30" spans="1:84" ht="31.5" customHeight="1" x14ac:dyDescent="0.2">
      <c r="A30" s="4155"/>
      <c r="B30" s="4156"/>
      <c r="C30" s="3854"/>
      <c r="D30" s="4136"/>
      <c r="E30" s="4136"/>
      <c r="F30" s="3859"/>
      <c r="G30" s="4157"/>
      <c r="H30" s="4157"/>
      <c r="I30" s="4158"/>
      <c r="J30" s="4104"/>
      <c r="K30" s="4067"/>
      <c r="L30" s="4067"/>
      <c r="M30" s="3508"/>
      <c r="N30" s="3508"/>
      <c r="O30" s="688"/>
      <c r="P30" s="3508"/>
      <c r="Q30" s="4067"/>
      <c r="R30" s="4069"/>
      <c r="S30" s="4070"/>
      <c r="T30" s="4067"/>
      <c r="U30" s="4087"/>
      <c r="V30" s="4047"/>
      <c r="W30" s="4073"/>
      <c r="X30" s="4073"/>
      <c r="Y30" s="4073"/>
      <c r="Z30" s="3587"/>
      <c r="AA30" s="3509"/>
      <c r="AB30" s="4090"/>
      <c r="AC30" s="4090"/>
      <c r="AD30" s="4090"/>
      <c r="AE30" s="4090"/>
      <c r="AF30" s="4090"/>
      <c r="AG30" s="4090"/>
      <c r="AH30" s="4090"/>
      <c r="AI30" s="4090"/>
      <c r="AJ30" s="4090"/>
      <c r="AK30" s="4090"/>
      <c r="AL30" s="3587"/>
      <c r="AM30" s="4090"/>
      <c r="AN30" s="4097"/>
      <c r="AO30" s="3587"/>
      <c r="AP30" s="4097"/>
      <c r="AQ30" s="3587"/>
      <c r="AR30" s="4097"/>
      <c r="AS30" s="4097"/>
      <c r="AT30" s="4097"/>
      <c r="AU30" s="4097"/>
      <c r="AV30" s="4097"/>
      <c r="AW30" s="4097"/>
      <c r="AX30" s="4097"/>
      <c r="AY30" s="4097"/>
      <c r="AZ30" s="4097"/>
      <c r="BA30" s="4097"/>
      <c r="BB30" s="4097"/>
      <c r="BC30" s="3587"/>
      <c r="BD30" s="4097"/>
      <c r="BE30" s="3587"/>
      <c r="BF30" s="4090"/>
      <c r="BG30" s="4090"/>
      <c r="BH30" s="4140"/>
      <c r="BI30" s="4112"/>
      <c r="BJ30" s="4112"/>
      <c r="BK30" s="4115"/>
      <c r="BL30" s="4140"/>
      <c r="BM30" s="4140"/>
      <c r="BN30" s="4091"/>
      <c r="BO30" s="4091"/>
      <c r="BP30" s="4091"/>
      <c r="BQ30" s="4091"/>
      <c r="BR30" s="4046"/>
      <c r="BS30" s="684"/>
      <c r="BT30" s="684"/>
      <c r="BU30" s="684"/>
      <c r="BV30" s="684"/>
      <c r="BW30" s="684"/>
      <c r="BX30" s="684"/>
      <c r="BY30" s="684"/>
      <c r="BZ30" s="684"/>
      <c r="CA30" s="684"/>
      <c r="CB30" s="684"/>
      <c r="CC30" s="684"/>
      <c r="CD30" s="684"/>
      <c r="CE30" s="684"/>
      <c r="CF30" s="684"/>
    </row>
    <row r="31" spans="1:84" ht="15.75" x14ac:dyDescent="0.2">
      <c r="A31" s="4155"/>
      <c r="B31" s="4156"/>
      <c r="C31" s="3854"/>
      <c r="D31" s="4136"/>
      <c r="E31" s="4136"/>
      <c r="F31" s="3859"/>
      <c r="G31" s="663">
        <v>9</v>
      </c>
      <c r="H31" s="664" t="s">
        <v>371</v>
      </c>
      <c r="I31" s="664"/>
      <c r="J31" s="665"/>
      <c r="K31" s="666"/>
      <c r="L31" s="666"/>
      <c r="M31" s="665"/>
      <c r="N31" s="665"/>
      <c r="O31" s="673"/>
      <c r="P31" s="668"/>
      <c r="Q31" s="666"/>
      <c r="R31" s="690"/>
      <c r="S31" s="670"/>
      <c r="T31" s="666"/>
      <c r="U31" s="691"/>
      <c r="V31" s="691"/>
      <c r="W31" s="692"/>
      <c r="X31" s="693"/>
      <c r="Y31" s="693"/>
      <c r="Z31" s="694"/>
      <c r="AA31" s="695"/>
      <c r="AB31" s="674"/>
      <c r="AC31" s="674"/>
      <c r="AD31" s="674"/>
      <c r="AE31" s="674"/>
      <c r="AF31" s="665"/>
      <c r="AG31" s="665"/>
      <c r="AH31" s="665"/>
      <c r="AI31" s="665"/>
      <c r="AJ31" s="665"/>
      <c r="AK31" s="665"/>
      <c r="AL31" s="665"/>
      <c r="AM31" s="665"/>
      <c r="AN31" s="665"/>
      <c r="AO31" s="696"/>
      <c r="AP31" s="665"/>
      <c r="AQ31" s="696"/>
      <c r="AR31" s="665"/>
      <c r="AS31" s="665"/>
      <c r="AT31" s="665"/>
      <c r="AU31" s="665"/>
      <c r="AV31" s="665"/>
      <c r="AW31" s="665"/>
      <c r="AX31" s="665"/>
      <c r="AY31" s="665"/>
      <c r="AZ31" s="665"/>
      <c r="BA31" s="665"/>
      <c r="BB31" s="665"/>
      <c r="BC31" s="696"/>
      <c r="BD31" s="665"/>
      <c r="BE31" s="696"/>
      <c r="BF31" s="674"/>
      <c r="BG31" s="674"/>
      <c r="BH31" s="697"/>
      <c r="BI31" s="698"/>
      <c r="BJ31" s="698"/>
      <c r="BK31" s="699"/>
      <c r="BL31" s="697"/>
      <c r="BM31" s="697"/>
      <c r="BN31" s="700"/>
      <c r="BO31" s="700"/>
      <c r="BP31" s="700"/>
      <c r="BQ31" s="700"/>
      <c r="BR31" s="701"/>
    </row>
    <row r="32" spans="1:84" ht="36.75" customHeight="1" x14ac:dyDescent="0.2">
      <c r="A32" s="4155"/>
      <c r="B32" s="4156"/>
      <c r="C32" s="3854"/>
      <c r="D32" s="4136"/>
      <c r="E32" s="4136"/>
      <c r="F32" s="3859"/>
      <c r="G32" s="3856"/>
      <c r="H32" s="4135"/>
      <c r="I32" s="3857"/>
      <c r="J32" s="3576">
        <v>44</v>
      </c>
      <c r="K32" s="4124" t="s">
        <v>372</v>
      </c>
      <c r="L32" s="4124" t="s">
        <v>373</v>
      </c>
      <c r="M32" s="3576">
        <v>1</v>
      </c>
      <c r="N32" s="3576">
        <v>0.9</v>
      </c>
      <c r="O32" s="702"/>
      <c r="P32" s="3508" t="s">
        <v>374</v>
      </c>
      <c r="Q32" s="4047" t="s">
        <v>375</v>
      </c>
      <c r="R32" s="4123">
        <f>SUM(W32:W37)/S32</f>
        <v>0.11753978779840848</v>
      </c>
      <c r="S32" s="4132">
        <f>SUM(W32:W47)</f>
        <v>603200000</v>
      </c>
      <c r="T32" s="4067" t="s">
        <v>376</v>
      </c>
      <c r="U32" s="4085" t="s">
        <v>377</v>
      </c>
      <c r="V32" s="4071" t="s">
        <v>378</v>
      </c>
      <c r="W32" s="689">
        <v>16910000</v>
      </c>
      <c r="X32" s="703">
        <v>16910000</v>
      </c>
      <c r="Y32" s="703">
        <v>16910000</v>
      </c>
      <c r="Z32" s="704">
        <v>20</v>
      </c>
      <c r="AA32" s="687" t="s">
        <v>323</v>
      </c>
      <c r="AB32" s="4064">
        <v>294321</v>
      </c>
      <c r="AC32" s="4064">
        <v>5589</v>
      </c>
      <c r="AD32" s="4064">
        <v>283947</v>
      </c>
      <c r="AE32" s="4064">
        <v>3773</v>
      </c>
      <c r="AF32" s="4064">
        <v>135754</v>
      </c>
      <c r="AG32" s="4064"/>
      <c r="AH32" s="4064">
        <v>44640</v>
      </c>
      <c r="AI32" s="4064">
        <v>1643</v>
      </c>
      <c r="AJ32" s="4064">
        <v>308178</v>
      </c>
      <c r="AK32" s="4064">
        <v>7702</v>
      </c>
      <c r="AL32" s="4064">
        <v>89696</v>
      </c>
      <c r="AM32" s="4064">
        <v>17</v>
      </c>
      <c r="AN32" s="4064"/>
      <c r="AO32" s="4064">
        <v>20</v>
      </c>
      <c r="AP32" s="4064"/>
      <c r="AQ32" s="4064">
        <v>15</v>
      </c>
      <c r="AR32" s="4064"/>
      <c r="AS32" s="4064"/>
      <c r="AT32" s="4064"/>
      <c r="AU32" s="4064"/>
      <c r="AV32" s="4064"/>
      <c r="AW32" s="4064"/>
      <c r="AX32" s="4064"/>
      <c r="AY32" s="4064"/>
      <c r="AZ32" s="4064"/>
      <c r="BA32" s="4064"/>
      <c r="BB32" s="4064"/>
      <c r="BC32" s="4064">
        <v>12</v>
      </c>
      <c r="BD32" s="4064"/>
      <c r="BE32" s="4064">
        <v>91</v>
      </c>
      <c r="BF32" s="4064">
        <f>+AB32+AD32</f>
        <v>578268</v>
      </c>
      <c r="BG32" s="4054">
        <f>SUM(AC32,AE32)</f>
        <v>9362</v>
      </c>
      <c r="BH32" s="4060">
        <v>19</v>
      </c>
      <c r="BI32" s="4054">
        <f>SUM(X32:X47)</f>
        <v>342043800</v>
      </c>
      <c r="BJ32" s="4054">
        <f>SUM(Y32:Y47)</f>
        <v>277874000</v>
      </c>
      <c r="BK32" s="4113">
        <f>(BJ32/BI32)</f>
        <v>0.81239303270516816</v>
      </c>
      <c r="BL32" s="4054" t="s">
        <v>379</v>
      </c>
      <c r="BM32" s="4054" t="s">
        <v>346</v>
      </c>
      <c r="BN32" s="4043">
        <v>43467</v>
      </c>
      <c r="BO32" s="4042">
        <v>43488</v>
      </c>
      <c r="BP32" s="4043">
        <v>43830</v>
      </c>
      <c r="BQ32" s="4043">
        <v>43830</v>
      </c>
      <c r="BR32" s="4046" t="s">
        <v>347</v>
      </c>
      <c r="BS32" s="684"/>
      <c r="BT32" s="684"/>
      <c r="BU32" s="684"/>
      <c r="BV32" s="684"/>
      <c r="BW32" s="684"/>
      <c r="BX32" s="684"/>
      <c r="BY32" s="684"/>
      <c r="BZ32" s="684"/>
      <c r="CA32" s="684"/>
      <c r="CB32" s="684"/>
      <c r="CC32" s="684"/>
    </row>
    <row r="33" spans="1:81" ht="27" customHeight="1" x14ac:dyDescent="0.2">
      <c r="A33" s="4155"/>
      <c r="B33" s="4156"/>
      <c r="C33" s="3854"/>
      <c r="D33" s="4136"/>
      <c r="E33" s="4136"/>
      <c r="F33" s="3859"/>
      <c r="G33" s="3858"/>
      <c r="H33" s="4136"/>
      <c r="I33" s="3859"/>
      <c r="J33" s="3576"/>
      <c r="K33" s="4124"/>
      <c r="L33" s="4124"/>
      <c r="M33" s="3576"/>
      <c r="N33" s="3576"/>
      <c r="O33" s="702"/>
      <c r="P33" s="3508"/>
      <c r="Q33" s="4047"/>
      <c r="R33" s="4123"/>
      <c r="S33" s="4132"/>
      <c r="T33" s="4067"/>
      <c r="U33" s="4086"/>
      <c r="V33" s="4047"/>
      <c r="W33" s="4106">
        <f>0+39400000</f>
        <v>39400000</v>
      </c>
      <c r="X33" s="4107">
        <v>39400000</v>
      </c>
      <c r="Y33" s="4107"/>
      <c r="Z33" s="4127">
        <v>88</v>
      </c>
      <c r="AA33" s="4053" t="s">
        <v>348</v>
      </c>
      <c r="AB33" s="4064"/>
      <c r="AC33" s="4064"/>
      <c r="AD33" s="4064"/>
      <c r="AE33" s="4064"/>
      <c r="AF33" s="4064"/>
      <c r="AG33" s="4064"/>
      <c r="AH33" s="4064"/>
      <c r="AI33" s="4064"/>
      <c r="AJ33" s="4064"/>
      <c r="AK33" s="4064"/>
      <c r="AL33" s="4064"/>
      <c r="AM33" s="4064"/>
      <c r="AN33" s="4064"/>
      <c r="AO33" s="4064"/>
      <c r="AP33" s="4064"/>
      <c r="AQ33" s="4064"/>
      <c r="AR33" s="4064"/>
      <c r="AS33" s="4064"/>
      <c r="AT33" s="4064"/>
      <c r="AU33" s="4064"/>
      <c r="AV33" s="4064"/>
      <c r="AW33" s="4064"/>
      <c r="AX33" s="4064"/>
      <c r="AY33" s="4064"/>
      <c r="AZ33" s="4064"/>
      <c r="BA33" s="4064"/>
      <c r="BB33" s="4064"/>
      <c r="BC33" s="4064"/>
      <c r="BD33" s="4064"/>
      <c r="BE33" s="4064"/>
      <c r="BF33" s="4064"/>
      <c r="BG33" s="4055"/>
      <c r="BH33" s="4061"/>
      <c r="BI33" s="4055"/>
      <c r="BJ33" s="4055"/>
      <c r="BK33" s="4114"/>
      <c r="BL33" s="4055"/>
      <c r="BM33" s="4055"/>
      <c r="BN33" s="4043"/>
      <c r="BO33" s="4043"/>
      <c r="BP33" s="4043"/>
      <c r="BQ33" s="4043"/>
      <c r="BR33" s="4046"/>
      <c r="BS33" s="684"/>
      <c r="BT33" s="684"/>
      <c r="BU33" s="684"/>
      <c r="BV33" s="684"/>
      <c r="BW33" s="684"/>
      <c r="BX33" s="684"/>
      <c r="BY33" s="684"/>
      <c r="BZ33" s="684"/>
      <c r="CA33" s="684"/>
      <c r="CB33" s="684"/>
      <c r="CC33" s="684"/>
    </row>
    <row r="34" spans="1:81" ht="27" customHeight="1" x14ac:dyDescent="0.2">
      <c r="A34" s="4155"/>
      <c r="B34" s="4156"/>
      <c r="C34" s="3854"/>
      <c r="D34" s="4136"/>
      <c r="E34" s="4136"/>
      <c r="F34" s="3859"/>
      <c r="G34" s="3858"/>
      <c r="H34" s="4136"/>
      <c r="I34" s="3859"/>
      <c r="J34" s="3576"/>
      <c r="K34" s="4124"/>
      <c r="L34" s="4124"/>
      <c r="M34" s="3576"/>
      <c r="N34" s="3576"/>
      <c r="O34" s="702"/>
      <c r="P34" s="3508"/>
      <c r="Q34" s="4047"/>
      <c r="R34" s="4123"/>
      <c r="S34" s="4132"/>
      <c r="T34" s="4067"/>
      <c r="U34" s="4086"/>
      <c r="V34" s="4047"/>
      <c r="W34" s="4106"/>
      <c r="X34" s="4108"/>
      <c r="Y34" s="4108"/>
      <c r="Z34" s="4128"/>
      <c r="AA34" s="4129"/>
      <c r="AB34" s="4064"/>
      <c r="AC34" s="4064"/>
      <c r="AD34" s="4064"/>
      <c r="AE34" s="4064"/>
      <c r="AF34" s="4064"/>
      <c r="AG34" s="4064"/>
      <c r="AH34" s="4064"/>
      <c r="AI34" s="4064"/>
      <c r="AJ34" s="4064"/>
      <c r="AK34" s="4064"/>
      <c r="AL34" s="4064"/>
      <c r="AM34" s="4064"/>
      <c r="AN34" s="4064"/>
      <c r="AO34" s="4064"/>
      <c r="AP34" s="4064"/>
      <c r="AQ34" s="4064"/>
      <c r="AR34" s="4064"/>
      <c r="AS34" s="4064"/>
      <c r="AT34" s="4064"/>
      <c r="AU34" s="4064"/>
      <c r="AV34" s="4064"/>
      <c r="AW34" s="4064"/>
      <c r="AX34" s="4064"/>
      <c r="AY34" s="4064"/>
      <c r="AZ34" s="4064"/>
      <c r="BA34" s="4064"/>
      <c r="BB34" s="4064"/>
      <c r="BC34" s="4064"/>
      <c r="BD34" s="4064"/>
      <c r="BE34" s="4064"/>
      <c r="BF34" s="4064"/>
      <c r="BG34" s="4055"/>
      <c r="BH34" s="4061"/>
      <c r="BI34" s="4055"/>
      <c r="BJ34" s="4055"/>
      <c r="BK34" s="4114"/>
      <c r="BL34" s="4055"/>
      <c r="BM34" s="4055"/>
      <c r="BN34" s="4043"/>
      <c r="BO34" s="4043"/>
      <c r="BP34" s="4043"/>
      <c r="BQ34" s="4043"/>
      <c r="BR34" s="4046"/>
      <c r="BS34" s="684"/>
      <c r="BT34" s="684"/>
      <c r="BU34" s="684"/>
      <c r="BV34" s="684"/>
      <c r="BW34" s="684"/>
      <c r="BX34" s="684"/>
      <c r="BY34" s="684"/>
      <c r="BZ34" s="684"/>
      <c r="CA34" s="684"/>
      <c r="CB34" s="684"/>
      <c r="CC34" s="684"/>
    </row>
    <row r="35" spans="1:81" ht="27" customHeight="1" x14ac:dyDescent="0.2">
      <c r="A35" s="4155"/>
      <c r="B35" s="4156"/>
      <c r="C35" s="3854"/>
      <c r="D35" s="4136"/>
      <c r="E35" s="4136"/>
      <c r="F35" s="3859"/>
      <c r="G35" s="3858"/>
      <c r="H35" s="4136"/>
      <c r="I35" s="3859"/>
      <c r="J35" s="3576"/>
      <c r="K35" s="4124"/>
      <c r="L35" s="4124"/>
      <c r="M35" s="3576"/>
      <c r="N35" s="3576"/>
      <c r="O35" s="702"/>
      <c r="P35" s="3508"/>
      <c r="Q35" s="4047"/>
      <c r="R35" s="4123"/>
      <c r="S35" s="4132"/>
      <c r="T35" s="4067"/>
      <c r="U35" s="4089"/>
      <c r="V35" s="4133" t="s">
        <v>380</v>
      </c>
      <c r="W35" s="4106">
        <v>14590000</v>
      </c>
      <c r="X35" s="4107">
        <v>14590000</v>
      </c>
      <c r="Y35" s="4107">
        <v>11070000</v>
      </c>
      <c r="Z35" s="4127">
        <v>20</v>
      </c>
      <c r="AA35" s="4053" t="s">
        <v>323</v>
      </c>
      <c r="AB35" s="4064"/>
      <c r="AC35" s="4064"/>
      <c r="AD35" s="4064"/>
      <c r="AE35" s="4064"/>
      <c r="AF35" s="4064"/>
      <c r="AG35" s="4064"/>
      <c r="AH35" s="4064"/>
      <c r="AI35" s="4064"/>
      <c r="AJ35" s="4064"/>
      <c r="AK35" s="4064"/>
      <c r="AL35" s="4064"/>
      <c r="AM35" s="4064"/>
      <c r="AN35" s="4064"/>
      <c r="AO35" s="4064"/>
      <c r="AP35" s="4064"/>
      <c r="AQ35" s="4064"/>
      <c r="AR35" s="4064"/>
      <c r="AS35" s="4064"/>
      <c r="AT35" s="4064"/>
      <c r="AU35" s="4064"/>
      <c r="AV35" s="4064"/>
      <c r="AW35" s="4064"/>
      <c r="AX35" s="4064"/>
      <c r="AY35" s="4064"/>
      <c r="AZ35" s="4064"/>
      <c r="BA35" s="4064"/>
      <c r="BB35" s="4064"/>
      <c r="BC35" s="4064"/>
      <c r="BD35" s="4064"/>
      <c r="BE35" s="4064"/>
      <c r="BF35" s="4064"/>
      <c r="BG35" s="4055"/>
      <c r="BH35" s="4061"/>
      <c r="BI35" s="4055"/>
      <c r="BJ35" s="4055"/>
      <c r="BK35" s="4114"/>
      <c r="BL35" s="4055"/>
      <c r="BM35" s="4055"/>
      <c r="BN35" s="4043"/>
      <c r="BO35" s="4043"/>
      <c r="BP35" s="4043"/>
      <c r="BQ35" s="4043"/>
      <c r="BR35" s="4046"/>
      <c r="BS35" s="684"/>
      <c r="BT35" s="684"/>
      <c r="BU35" s="684"/>
      <c r="BV35" s="684"/>
      <c r="BW35" s="684"/>
      <c r="BX35" s="684"/>
      <c r="BY35" s="684"/>
      <c r="BZ35" s="684"/>
      <c r="CA35" s="684"/>
      <c r="CB35" s="684"/>
      <c r="CC35" s="684"/>
    </row>
    <row r="36" spans="1:81" ht="27" customHeight="1" x14ac:dyDescent="0.2">
      <c r="A36" s="4155"/>
      <c r="B36" s="4156"/>
      <c r="C36" s="3854"/>
      <c r="D36" s="4136"/>
      <c r="E36" s="4136"/>
      <c r="F36" s="3859"/>
      <c r="G36" s="3858"/>
      <c r="H36" s="4136"/>
      <c r="I36" s="3859"/>
      <c r="J36" s="3576"/>
      <c r="K36" s="4124"/>
      <c r="L36" s="4124"/>
      <c r="M36" s="3576"/>
      <c r="N36" s="3576"/>
      <c r="O36" s="702"/>
      <c r="P36" s="3508"/>
      <c r="Q36" s="4047"/>
      <c r="R36" s="4123"/>
      <c r="S36" s="4132"/>
      <c r="T36" s="4067"/>
      <c r="U36" s="4089"/>
      <c r="V36" s="4133"/>
      <c r="W36" s="4106"/>
      <c r="X36" s="4130"/>
      <c r="Y36" s="4130"/>
      <c r="Z36" s="4127"/>
      <c r="AA36" s="4053"/>
      <c r="AB36" s="4064"/>
      <c r="AC36" s="4064"/>
      <c r="AD36" s="4064"/>
      <c r="AE36" s="4064"/>
      <c r="AF36" s="4064"/>
      <c r="AG36" s="4064"/>
      <c r="AH36" s="4064"/>
      <c r="AI36" s="4064"/>
      <c r="AJ36" s="4064"/>
      <c r="AK36" s="4064"/>
      <c r="AL36" s="4064"/>
      <c r="AM36" s="4064"/>
      <c r="AN36" s="4064"/>
      <c r="AO36" s="4064"/>
      <c r="AP36" s="4064"/>
      <c r="AQ36" s="4064"/>
      <c r="AR36" s="4064"/>
      <c r="AS36" s="4064"/>
      <c r="AT36" s="4064"/>
      <c r="AU36" s="4064"/>
      <c r="AV36" s="4064"/>
      <c r="AW36" s="4064"/>
      <c r="AX36" s="4064"/>
      <c r="AY36" s="4064"/>
      <c r="AZ36" s="4064"/>
      <c r="BA36" s="4064"/>
      <c r="BB36" s="4064"/>
      <c r="BC36" s="4064"/>
      <c r="BD36" s="4064"/>
      <c r="BE36" s="4064"/>
      <c r="BF36" s="4064"/>
      <c r="BG36" s="4055"/>
      <c r="BH36" s="4061"/>
      <c r="BI36" s="4055"/>
      <c r="BJ36" s="4055"/>
      <c r="BK36" s="4114"/>
      <c r="BL36" s="4055"/>
      <c r="BM36" s="4055"/>
      <c r="BN36" s="4043"/>
      <c r="BO36" s="4043"/>
      <c r="BP36" s="4043"/>
      <c r="BQ36" s="4043"/>
      <c r="BR36" s="4046"/>
      <c r="BS36" s="684"/>
      <c r="BT36" s="684"/>
      <c r="BU36" s="684"/>
      <c r="BV36" s="684"/>
      <c r="BW36" s="684"/>
      <c r="BX36" s="684"/>
      <c r="BY36" s="684"/>
      <c r="BZ36" s="684"/>
      <c r="CA36" s="684"/>
      <c r="CB36" s="684"/>
      <c r="CC36" s="684"/>
    </row>
    <row r="37" spans="1:81" ht="27" customHeight="1" x14ac:dyDescent="0.2">
      <c r="A37" s="4155"/>
      <c r="B37" s="4156"/>
      <c r="C37" s="3854"/>
      <c r="D37" s="4136"/>
      <c r="E37" s="4136"/>
      <c r="F37" s="3859"/>
      <c r="G37" s="3858"/>
      <c r="H37" s="4136"/>
      <c r="I37" s="3859"/>
      <c r="J37" s="3576"/>
      <c r="K37" s="4124"/>
      <c r="L37" s="4124"/>
      <c r="M37" s="3576"/>
      <c r="N37" s="3576"/>
      <c r="O37" s="702"/>
      <c r="P37" s="3508"/>
      <c r="Q37" s="4047"/>
      <c r="R37" s="4123"/>
      <c r="S37" s="4132"/>
      <c r="T37" s="4067"/>
      <c r="U37" s="4089"/>
      <c r="V37" s="4133"/>
      <c r="W37" s="4106"/>
      <c r="X37" s="4108"/>
      <c r="Y37" s="4108"/>
      <c r="Z37" s="4127"/>
      <c r="AA37" s="4053"/>
      <c r="AB37" s="4064"/>
      <c r="AC37" s="4064"/>
      <c r="AD37" s="4064"/>
      <c r="AE37" s="4064"/>
      <c r="AF37" s="4064"/>
      <c r="AG37" s="4064"/>
      <c r="AH37" s="4064"/>
      <c r="AI37" s="4064"/>
      <c r="AJ37" s="4064"/>
      <c r="AK37" s="4064"/>
      <c r="AL37" s="4064"/>
      <c r="AM37" s="4064"/>
      <c r="AN37" s="4064"/>
      <c r="AO37" s="4064"/>
      <c r="AP37" s="4064"/>
      <c r="AQ37" s="4064"/>
      <c r="AR37" s="4064"/>
      <c r="AS37" s="4064"/>
      <c r="AT37" s="4064"/>
      <c r="AU37" s="4064"/>
      <c r="AV37" s="4064"/>
      <c r="AW37" s="4064"/>
      <c r="AX37" s="4064"/>
      <c r="AY37" s="4064"/>
      <c r="AZ37" s="4064"/>
      <c r="BA37" s="4064"/>
      <c r="BB37" s="4064"/>
      <c r="BC37" s="4064"/>
      <c r="BD37" s="4064"/>
      <c r="BE37" s="4064"/>
      <c r="BF37" s="4064"/>
      <c r="BG37" s="4055"/>
      <c r="BH37" s="4061"/>
      <c r="BI37" s="4055"/>
      <c r="BJ37" s="4055"/>
      <c r="BK37" s="4114"/>
      <c r="BL37" s="4055"/>
      <c r="BM37" s="4055"/>
      <c r="BN37" s="4043"/>
      <c r="BO37" s="4043"/>
      <c r="BP37" s="4043"/>
      <c r="BQ37" s="4043"/>
      <c r="BR37" s="4046"/>
      <c r="BS37" s="684"/>
      <c r="BT37" s="684"/>
      <c r="BU37" s="684"/>
      <c r="BV37" s="684"/>
      <c r="BW37" s="684"/>
      <c r="BX37" s="684"/>
      <c r="BY37" s="684"/>
      <c r="BZ37" s="684"/>
      <c r="CA37" s="684"/>
      <c r="CB37" s="684"/>
      <c r="CC37" s="684"/>
    </row>
    <row r="38" spans="1:81" ht="72" customHeight="1" x14ac:dyDescent="0.2">
      <c r="A38" s="4155"/>
      <c r="B38" s="4156"/>
      <c r="C38" s="3854"/>
      <c r="D38" s="4136"/>
      <c r="E38" s="4136"/>
      <c r="F38" s="3859"/>
      <c r="G38" s="3858"/>
      <c r="H38" s="4136"/>
      <c r="I38" s="3859"/>
      <c r="J38" s="3576">
        <v>43</v>
      </c>
      <c r="K38" s="4124" t="s">
        <v>381</v>
      </c>
      <c r="L38" s="4124" t="s">
        <v>382</v>
      </c>
      <c r="M38" s="3576">
        <v>3</v>
      </c>
      <c r="N38" s="3576">
        <v>2.5</v>
      </c>
      <c r="O38" s="702"/>
      <c r="P38" s="3508"/>
      <c r="Q38" s="4047"/>
      <c r="R38" s="4123">
        <f>SUM(W38:W39)/S32</f>
        <v>0.47049071618037136</v>
      </c>
      <c r="S38" s="4132"/>
      <c r="T38" s="4067"/>
      <c r="U38" s="4126" t="s">
        <v>383</v>
      </c>
      <c r="V38" s="705" t="s">
        <v>384</v>
      </c>
      <c r="W38" s="689">
        <v>28800000</v>
      </c>
      <c r="X38" s="703">
        <v>28800000</v>
      </c>
      <c r="Y38" s="703">
        <v>25081000</v>
      </c>
      <c r="Z38" s="704">
        <v>20</v>
      </c>
      <c r="AA38" s="687" t="s">
        <v>323</v>
      </c>
      <c r="AB38" s="4064"/>
      <c r="AC38" s="4064"/>
      <c r="AD38" s="4064"/>
      <c r="AE38" s="4064"/>
      <c r="AF38" s="4064"/>
      <c r="AG38" s="4064"/>
      <c r="AH38" s="4064"/>
      <c r="AI38" s="4064"/>
      <c r="AJ38" s="4064"/>
      <c r="AK38" s="4064"/>
      <c r="AL38" s="4064"/>
      <c r="AM38" s="4064"/>
      <c r="AN38" s="4064"/>
      <c r="AO38" s="4064"/>
      <c r="AP38" s="4064"/>
      <c r="AQ38" s="4064"/>
      <c r="AR38" s="4064"/>
      <c r="AS38" s="4064"/>
      <c r="AT38" s="4064"/>
      <c r="AU38" s="4064"/>
      <c r="AV38" s="4064"/>
      <c r="AW38" s="4064"/>
      <c r="AX38" s="4064"/>
      <c r="AY38" s="4064"/>
      <c r="AZ38" s="4064"/>
      <c r="BA38" s="4064"/>
      <c r="BB38" s="4064"/>
      <c r="BC38" s="4064"/>
      <c r="BD38" s="4064"/>
      <c r="BE38" s="4064"/>
      <c r="BF38" s="4064"/>
      <c r="BG38" s="4055"/>
      <c r="BH38" s="4061"/>
      <c r="BI38" s="4055"/>
      <c r="BJ38" s="4055"/>
      <c r="BK38" s="4114"/>
      <c r="BL38" s="4055"/>
      <c r="BM38" s="4055"/>
      <c r="BN38" s="4043"/>
      <c r="BO38" s="4043"/>
      <c r="BP38" s="4043"/>
      <c r="BQ38" s="4043"/>
      <c r="BR38" s="4046"/>
      <c r="BS38" s="684"/>
      <c r="BT38" s="684"/>
      <c r="BU38" s="684"/>
      <c r="BV38" s="684"/>
      <c r="BW38" s="684"/>
      <c r="BX38" s="684"/>
      <c r="BY38" s="684"/>
      <c r="BZ38" s="684"/>
      <c r="CA38" s="684"/>
      <c r="CB38" s="684"/>
      <c r="CC38" s="684"/>
    </row>
    <row r="39" spans="1:81" ht="78.75" customHeight="1" x14ac:dyDescent="0.2">
      <c r="A39" s="4155"/>
      <c r="B39" s="4156"/>
      <c r="C39" s="3854"/>
      <c r="D39" s="4136"/>
      <c r="E39" s="4136"/>
      <c r="F39" s="3859"/>
      <c r="G39" s="3858"/>
      <c r="H39" s="4136"/>
      <c r="I39" s="3859"/>
      <c r="J39" s="3576"/>
      <c r="K39" s="4124"/>
      <c r="L39" s="4124"/>
      <c r="M39" s="3576"/>
      <c r="N39" s="3576"/>
      <c r="O39" s="688" t="s">
        <v>385</v>
      </c>
      <c r="P39" s="3508"/>
      <c r="Q39" s="4047"/>
      <c r="R39" s="4123"/>
      <c r="S39" s="4132"/>
      <c r="T39" s="4067"/>
      <c r="U39" s="4126"/>
      <c r="V39" s="705" t="s">
        <v>386</v>
      </c>
      <c r="W39" s="689">
        <v>255000000</v>
      </c>
      <c r="X39" s="703"/>
      <c r="Y39" s="703"/>
      <c r="Z39" s="704">
        <v>88</v>
      </c>
      <c r="AA39" s="687" t="s">
        <v>348</v>
      </c>
      <c r="AB39" s="4064"/>
      <c r="AC39" s="4064"/>
      <c r="AD39" s="4064"/>
      <c r="AE39" s="4064"/>
      <c r="AF39" s="4064"/>
      <c r="AG39" s="4064"/>
      <c r="AH39" s="4064"/>
      <c r="AI39" s="4064"/>
      <c r="AJ39" s="4064"/>
      <c r="AK39" s="4064"/>
      <c r="AL39" s="4064"/>
      <c r="AM39" s="4064"/>
      <c r="AN39" s="4064"/>
      <c r="AO39" s="4064"/>
      <c r="AP39" s="4064"/>
      <c r="AQ39" s="4064"/>
      <c r="AR39" s="4064"/>
      <c r="AS39" s="4064"/>
      <c r="AT39" s="4064"/>
      <c r="AU39" s="4064"/>
      <c r="AV39" s="4064"/>
      <c r="AW39" s="4064"/>
      <c r="AX39" s="4064"/>
      <c r="AY39" s="4064"/>
      <c r="AZ39" s="4064"/>
      <c r="BA39" s="4064"/>
      <c r="BB39" s="4064"/>
      <c r="BC39" s="4064"/>
      <c r="BD39" s="4064"/>
      <c r="BE39" s="4064"/>
      <c r="BF39" s="4064"/>
      <c r="BG39" s="4055"/>
      <c r="BH39" s="4061"/>
      <c r="BI39" s="4055"/>
      <c r="BJ39" s="4055"/>
      <c r="BK39" s="4114"/>
      <c r="BL39" s="4055"/>
      <c r="BM39" s="4055"/>
      <c r="BN39" s="4043"/>
      <c r="BO39" s="4043"/>
      <c r="BP39" s="4043"/>
      <c r="BQ39" s="4043"/>
      <c r="BR39" s="4046"/>
      <c r="BS39" s="684"/>
      <c r="BT39" s="684"/>
      <c r="BU39" s="684"/>
      <c r="BV39" s="684"/>
      <c r="BW39" s="684"/>
      <c r="BX39" s="684"/>
      <c r="BY39" s="684"/>
      <c r="BZ39" s="684"/>
      <c r="CA39" s="684"/>
      <c r="CB39" s="684"/>
      <c r="CC39" s="684"/>
    </row>
    <row r="40" spans="1:81" ht="40.5" customHeight="1" x14ac:dyDescent="0.2">
      <c r="A40" s="4155"/>
      <c r="B40" s="4156"/>
      <c r="C40" s="3854"/>
      <c r="D40" s="4136"/>
      <c r="E40" s="4136"/>
      <c r="F40" s="3859"/>
      <c r="G40" s="3858"/>
      <c r="H40" s="4136"/>
      <c r="I40" s="3859"/>
      <c r="J40" s="3576">
        <v>45</v>
      </c>
      <c r="K40" s="4124" t="s">
        <v>387</v>
      </c>
      <c r="L40" s="4124" t="s">
        <v>382</v>
      </c>
      <c r="M40" s="3576">
        <v>4</v>
      </c>
      <c r="N40" s="3576">
        <v>3</v>
      </c>
      <c r="O40" s="688" t="s">
        <v>388</v>
      </c>
      <c r="P40" s="3508"/>
      <c r="Q40" s="4047"/>
      <c r="R40" s="4123">
        <f>SUM(W40:W43)/S32</f>
        <v>0.16329575596816975</v>
      </c>
      <c r="S40" s="4132"/>
      <c r="T40" s="4067"/>
      <c r="U40" s="4134"/>
      <c r="V40" s="4125" t="s">
        <v>389</v>
      </c>
      <c r="W40" s="4106">
        <v>98500000</v>
      </c>
      <c r="X40" s="4106">
        <v>92343800</v>
      </c>
      <c r="Y40" s="4106">
        <v>74813000</v>
      </c>
      <c r="Z40" s="4122">
        <v>20</v>
      </c>
      <c r="AA40" s="3508" t="s">
        <v>323</v>
      </c>
      <c r="AB40" s="4055"/>
      <c r="AC40" s="4055"/>
      <c r="AD40" s="4055"/>
      <c r="AE40" s="4055"/>
      <c r="AF40" s="4055"/>
      <c r="AG40" s="4055"/>
      <c r="AH40" s="4055"/>
      <c r="AI40" s="4055"/>
      <c r="AJ40" s="4055"/>
      <c r="AK40" s="4055"/>
      <c r="AL40" s="4055"/>
      <c r="AM40" s="4055"/>
      <c r="AN40" s="4055"/>
      <c r="AO40" s="4055"/>
      <c r="AP40" s="4055"/>
      <c r="AQ40" s="4055"/>
      <c r="AR40" s="4055"/>
      <c r="AS40" s="4055"/>
      <c r="AT40" s="4055"/>
      <c r="AU40" s="4055"/>
      <c r="AV40" s="4055"/>
      <c r="AW40" s="4055"/>
      <c r="AX40" s="4055"/>
      <c r="AY40" s="4055"/>
      <c r="AZ40" s="4055"/>
      <c r="BA40" s="4055"/>
      <c r="BB40" s="4055"/>
      <c r="BC40" s="4055"/>
      <c r="BD40" s="4055"/>
      <c r="BE40" s="4055"/>
      <c r="BF40" s="4055"/>
      <c r="BG40" s="4055"/>
      <c r="BH40" s="4061"/>
      <c r="BI40" s="4055"/>
      <c r="BJ40" s="4055"/>
      <c r="BK40" s="4114"/>
      <c r="BL40" s="4055"/>
      <c r="BM40" s="4055"/>
      <c r="BN40" s="4043"/>
      <c r="BO40" s="4043"/>
      <c r="BP40" s="4043"/>
      <c r="BQ40" s="4043"/>
      <c r="BR40" s="4046"/>
      <c r="BS40" s="684"/>
      <c r="BT40" s="684"/>
      <c r="BU40" s="684"/>
      <c r="BV40" s="684"/>
      <c r="BW40" s="684"/>
      <c r="BX40" s="684"/>
      <c r="BY40" s="684"/>
      <c r="BZ40" s="684"/>
      <c r="CA40" s="684"/>
      <c r="CB40" s="684"/>
      <c r="CC40" s="684"/>
    </row>
    <row r="41" spans="1:81" ht="27" customHeight="1" x14ac:dyDescent="0.2">
      <c r="A41" s="4155"/>
      <c r="B41" s="4156"/>
      <c r="C41" s="3854"/>
      <c r="D41" s="4136"/>
      <c r="E41" s="4136"/>
      <c r="F41" s="3859"/>
      <c r="G41" s="3858"/>
      <c r="H41" s="4136"/>
      <c r="I41" s="3859"/>
      <c r="J41" s="3576"/>
      <c r="K41" s="4124"/>
      <c r="L41" s="4124"/>
      <c r="M41" s="3576"/>
      <c r="N41" s="3576"/>
      <c r="O41" s="702"/>
      <c r="P41" s="3508"/>
      <c r="Q41" s="4047"/>
      <c r="R41" s="4123"/>
      <c r="S41" s="4132"/>
      <c r="T41" s="4067"/>
      <c r="U41" s="4134"/>
      <c r="V41" s="4126"/>
      <c r="W41" s="4106"/>
      <c r="X41" s="4106"/>
      <c r="Y41" s="4106"/>
      <c r="Z41" s="4122"/>
      <c r="AA41" s="3508"/>
      <c r="AB41" s="4055"/>
      <c r="AC41" s="4055"/>
      <c r="AD41" s="4055"/>
      <c r="AE41" s="4055"/>
      <c r="AF41" s="4055"/>
      <c r="AG41" s="4055"/>
      <c r="AH41" s="4055"/>
      <c r="AI41" s="4055"/>
      <c r="AJ41" s="4055"/>
      <c r="AK41" s="4055"/>
      <c r="AL41" s="4055"/>
      <c r="AM41" s="4055"/>
      <c r="AN41" s="4055"/>
      <c r="AO41" s="4055"/>
      <c r="AP41" s="4055"/>
      <c r="AQ41" s="4055"/>
      <c r="AR41" s="4055"/>
      <c r="AS41" s="4055"/>
      <c r="AT41" s="4055"/>
      <c r="AU41" s="4055"/>
      <c r="AV41" s="4055"/>
      <c r="AW41" s="4055"/>
      <c r="AX41" s="4055"/>
      <c r="AY41" s="4055"/>
      <c r="AZ41" s="4055"/>
      <c r="BA41" s="4055"/>
      <c r="BB41" s="4055"/>
      <c r="BC41" s="4055"/>
      <c r="BD41" s="4055"/>
      <c r="BE41" s="4055"/>
      <c r="BF41" s="4055"/>
      <c r="BG41" s="4055"/>
      <c r="BH41" s="4061"/>
      <c r="BI41" s="4055"/>
      <c r="BJ41" s="4055"/>
      <c r="BK41" s="4114"/>
      <c r="BL41" s="4055"/>
      <c r="BM41" s="4055"/>
      <c r="BN41" s="4043"/>
      <c r="BO41" s="4043"/>
      <c r="BP41" s="4043"/>
      <c r="BQ41" s="4043"/>
      <c r="BR41" s="4046"/>
      <c r="BS41" s="684"/>
      <c r="BT41" s="684"/>
      <c r="BU41" s="684"/>
      <c r="BV41" s="684"/>
      <c r="BW41" s="684"/>
      <c r="BX41" s="684"/>
      <c r="BY41" s="684"/>
      <c r="BZ41" s="684"/>
      <c r="CA41" s="684"/>
      <c r="CB41" s="684"/>
      <c r="CC41" s="684"/>
    </row>
    <row r="42" spans="1:81" ht="27" customHeight="1" x14ac:dyDescent="0.2">
      <c r="A42" s="4155"/>
      <c r="B42" s="4156"/>
      <c r="C42" s="3854"/>
      <c r="D42" s="4136"/>
      <c r="E42" s="4136"/>
      <c r="F42" s="3859"/>
      <c r="G42" s="3858"/>
      <c r="H42" s="4136"/>
      <c r="I42" s="3859"/>
      <c r="J42" s="3576"/>
      <c r="K42" s="4124"/>
      <c r="L42" s="4124"/>
      <c r="M42" s="3576"/>
      <c r="N42" s="3576"/>
      <c r="O42" s="702"/>
      <c r="P42" s="3508"/>
      <c r="Q42" s="4047"/>
      <c r="R42" s="4123"/>
      <c r="S42" s="4132"/>
      <c r="T42" s="4067"/>
      <c r="U42" s="4134"/>
      <c r="V42" s="4126"/>
      <c r="W42" s="4106"/>
      <c r="X42" s="4106"/>
      <c r="Y42" s="4106"/>
      <c r="Z42" s="4122"/>
      <c r="AA42" s="3508"/>
      <c r="AB42" s="4055"/>
      <c r="AC42" s="4055"/>
      <c r="AD42" s="4055"/>
      <c r="AE42" s="4055"/>
      <c r="AF42" s="4055"/>
      <c r="AG42" s="4055"/>
      <c r="AH42" s="4055"/>
      <c r="AI42" s="4055"/>
      <c r="AJ42" s="4055"/>
      <c r="AK42" s="4055"/>
      <c r="AL42" s="4055"/>
      <c r="AM42" s="4055"/>
      <c r="AN42" s="4055"/>
      <c r="AO42" s="4055"/>
      <c r="AP42" s="4055"/>
      <c r="AQ42" s="4055"/>
      <c r="AR42" s="4055"/>
      <c r="AS42" s="4055"/>
      <c r="AT42" s="4055"/>
      <c r="AU42" s="4055"/>
      <c r="AV42" s="4055"/>
      <c r="AW42" s="4055"/>
      <c r="AX42" s="4055"/>
      <c r="AY42" s="4055"/>
      <c r="AZ42" s="4055"/>
      <c r="BA42" s="4055"/>
      <c r="BB42" s="4055"/>
      <c r="BC42" s="4055"/>
      <c r="BD42" s="4055"/>
      <c r="BE42" s="4055"/>
      <c r="BF42" s="4055"/>
      <c r="BG42" s="4055"/>
      <c r="BH42" s="4061"/>
      <c r="BI42" s="4055"/>
      <c r="BJ42" s="4055"/>
      <c r="BK42" s="4114"/>
      <c r="BL42" s="4055"/>
      <c r="BM42" s="4055"/>
      <c r="BN42" s="4043"/>
      <c r="BO42" s="4043"/>
      <c r="BP42" s="4043"/>
      <c r="BQ42" s="4043"/>
      <c r="BR42" s="4046"/>
      <c r="BS42" s="684"/>
      <c r="BT42" s="684"/>
      <c r="BU42" s="684"/>
      <c r="BV42" s="684"/>
      <c r="BW42" s="684"/>
      <c r="BX42" s="684"/>
      <c r="BY42" s="684"/>
      <c r="BZ42" s="684"/>
      <c r="CA42" s="684"/>
      <c r="CB42" s="684"/>
      <c r="CC42" s="684"/>
    </row>
    <row r="43" spans="1:81" ht="27" customHeight="1" x14ac:dyDescent="0.2">
      <c r="A43" s="4155"/>
      <c r="B43" s="4156"/>
      <c r="C43" s="3854"/>
      <c r="D43" s="4136"/>
      <c r="E43" s="4136"/>
      <c r="F43" s="3859"/>
      <c r="G43" s="3858"/>
      <c r="H43" s="4136"/>
      <c r="I43" s="3859"/>
      <c r="J43" s="3576"/>
      <c r="K43" s="4124"/>
      <c r="L43" s="4124"/>
      <c r="M43" s="3576"/>
      <c r="N43" s="3576"/>
      <c r="O43" s="702"/>
      <c r="P43" s="3508"/>
      <c r="Q43" s="4047"/>
      <c r="R43" s="4123"/>
      <c r="S43" s="4132"/>
      <c r="T43" s="4067"/>
      <c r="U43" s="4134"/>
      <c r="V43" s="4126"/>
      <c r="W43" s="4106"/>
      <c r="X43" s="4106"/>
      <c r="Y43" s="4106"/>
      <c r="Z43" s="4122"/>
      <c r="AA43" s="3508"/>
      <c r="AB43" s="4055"/>
      <c r="AC43" s="4055"/>
      <c r="AD43" s="4055"/>
      <c r="AE43" s="4055"/>
      <c r="AF43" s="4055"/>
      <c r="AG43" s="4055"/>
      <c r="AH43" s="4055"/>
      <c r="AI43" s="4055"/>
      <c r="AJ43" s="4055"/>
      <c r="AK43" s="4055"/>
      <c r="AL43" s="4055"/>
      <c r="AM43" s="4055"/>
      <c r="AN43" s="4055"/>
      <c r="AO43" s="4055"/>
      <c r="AP43" s="4055"/>
      <c r="AQ43" s="4055"/>
      <c r="AR43" s="4055"/>
      <c r="AS43" s="4055"/>
      <c r="AT43" s="4055"/>
      <c r="AU43" s="4055"/>
      <c r="AV43" s="4055"/>
      <c r="AW43" s="4055"/>
      <c r="AX43" s="4055"/>
      <c r="AY43" s="4055"/>
      <c r="AZ43" s="4055"/>
      <c r="BA43" s="4055"/>
      <c r="BB43" s="4055"/>
      <c r="BC43" s="4055"/>
      <c r="BD43" s="4055"/>
      <c r="BE43" s="4055"/>
      <c r="BF43" s="4055"/>
      <c r="BG43" s="4055"/>
      <c r="BH43" s="4061"/>
      <c r="BI43" s="4055"/>
      <c r="BJ43" s="4055"/>
      <c r="BK43" s="4114"/>
      <c r="BL43" s="4055"/>
      <c r="BM43" s="4055"/>
      <c r="BN43" s="4043"/>
      <c r="BO43" s="4043"/>
      <c r="BP43" s="4043"/>
      <c r="BQ43" s="4043"/>
      <c r="BR43" s="4046"/>
      <c r="BS43" s="684"/>
      <c r="BT43" s="684"/>
      <c r="BU43" s="684"/>
      <c r="BV43" s="684"/>
      <c r="BW43" s="684"/>
      <c r="BX43" s="684"/>
      <c r="BY43" s="684"/>
      <c r="BZ43" s="684"/>
      <c r="CA43" s="684"/>
      <c r="CB43" s="684"/>
      <c r="CC43" s="684"/>
    </row>
    <row r="44" spans="1:81" ht="27" customHeight="1" x14ac:dyDescent="0.2">
      <c r="A44" s="4155"/>
      <c r="B44" s="4156"/>
      <c r="C44" s="3854"/>
      <c r="D44" s="4136"/>
      <c r="E44" s="4136"/>
      <c r="F44" s="3859"/>
      <c r="G44" s="3858"/>
      <c r="H44" s="4136"/>
      <c r="I44" s="3859"/>
      <c r="J44" s="3507">
        <v>46</v>
      </c>
      <c r="K44" s="4066" t="s">
        <v>390</v>
      </c>
      <c r="L44" s="4066" t="s">
        <v>391</v>
      </c>
      <c r="M44" s="3507">
        <v>1</v>
      </c>
      <c r="N44" s="3507">
        <v>1</v>
      </c>
      <c r="O44" s="702"/>
      <c r="P44" s="3508"/>
      <c r="Q44" s="4047"/>
      <c r="R44" s="4123">
        <f>SUM(W44:W47)/S32</f>
        <v>0.2486737400530504</v>
      </c>
      <c r="S44" s="4132"/>
      <c r="T44" s="4067"/>
      <c r="U44" s="4134"/>
      <c r="V44" s="4071" t="s">
        <v>392</v>
      </c>
      <c r="W44" s="689">
        <v>99400000</v>
      </c>
      <c r="X44" s="703">
        <v>99400000</v>
      </c>
      <c r="Y44" s="703">
        <v>99400000</v>
      </c>
      <c r="Z44" s="704">
        <v>20</v>
      </c>
      <c r="AA44" s="687" t="s">
        <v>323</v>
      </c>
      <c r="AB44" s="4064"/>
      <c r="AC44" s="4064"/>
      <c r="AD44" s="4064"/>
      <c r="AE44" s="4064"/>
      <c r="AF44" s="4064"/>
      <c r="AG44" s="4064"/>
      <c r="AH44" s="4064"/>
      <c r="AI44" s="4064"/>
      <c r="AJ44" s="4064"/>
      <c r="AK44" s="4064"/>
      <c r="AL44" s="4064"/>
      <c r="AM44" s="4064"/>
      <c r="AN44" s="4064"/>
      <c r="AO44" s="4064"/>
      <c r="AP44" s="4064"/>
      <c r="AQ44" s="4064"/>
      <c r="AR44" s="4064"/>
      <c r="AS44" s="4064"/>
      <c r="AT44" s="4064"/>
      <c r="AU44" s="4064"/>
      <c r="AV44" s="4064"/>
      <c r="AW44" s="4064"/>
      <c r="AX44" s="4064"/>
      <c r="AY44" s="4064"/>
      <c r="AZ44" s="4064"/>
      <c r="BA44" s="4064"/>
      <c r="BB44" s="4064"/>
      <c r="BC44" s="4064"/>
      <c r="BD44" s="4064"/>
      <c r="BE44" s="4064"/>
      <c r="BF44" s="4064"/>
      <c r="BG44" s="4055"/>
      <c r="BH44" s="4061"/>
      <c r="BI44" s="4055"/>
      <c r="BJ44" s="4055"/>
      <c r="BK44" s="4114"/>
      <c r="BL44" s="4055"/>
      <c r="BM44" s="4055"/>
      <c r="BN44" s="4043"/>
      <c r="BO44" s="4043"/>
      <c r="BP44" s="4043"/>
      <c r="BQ44" s="4043"/>
      <c r="BR44" s="4046"/>
      <c r="BS44" s="684"/>
      <c r="BT44" s="684"/>
      <c r="BU44" s="684"/>
      <c r="BV44" s="684"/>
      <c r="BW44" s="684"/>
      <c r="BX44" s="684"/>
      <c r="BY44" s="684"/>
      <c r="BZ44" s="684"/>
      <c r="CA44" s="684"/>
      <c r="CB44" s="684"/>
      <c r="CC44" s="684"/>
    </row>
    <row r="45" spans="1:81" ht="27" customHeight="1" x14ac:dyDescent="0.2">
      <c r="A45" s="4155"/>
      <c r="B45" s="4156"/>
      <c r="C45" s="3854"/>
      <c r="D45" s="4136"/>
      <c r="E45" s="4136"/>
      <c r="F45" s="3859"/>
      <c r="G45" s="3858"/>
      <c r="H45" s="4136"/>
      <c r="I45" s="3859"/>
      <c r="J45" s="3508"/>
      <c r="K45" s="4067"/>
      <c r="L45" s="4067"/>
      <c r="M45" s="3508"/>
      <c r="N45" s="3508"/>
      <c r="O45" s="702"/>
      <c r="P45" s="3508"/>
      <c r="Q45" s="4047"/>
      <c r="R45" s="4123"/>
      <c r="S45" s="4132"/>
      <c r="T45" s="4067"/>
      <c r="U45" s="4134"/>
      <c r="V45" s="4047"/>
      <c r="W45" s="4106">
        <f>0+50600000</f>
        <v>50600000</v>
      </c>
      <c r="X45" s="4106">
        <v>50600000</v>
      </c>
      <c r="Y45" s="4106">
        <v>50600000</v>
      </c>
      <c r="Z45" s="4127">
        <v>88</v>
      </c>
      <c r="AA45" s="4053" t="s">
        <v>348</v>
      </c>
      <c r="AB45" s="4064"/>
      <c r="AC45" s="4064"/>
      <c r="AD45" s="4064"/>
      <c r="AE45" s="4064"/>
      <c r="AF45" s="4064"/>
      <c r="AG45" s="4064"/>
      <c r="AH45" s="4064"/>
      <c r="AI45" s="4064"/>
      <c r="AJ45" s="4064"/>
      <c r="AK45" s="4064"/>
      <c r="AL45" s="4064"/>
      <c r="AM45" s="4064"/>
      <c r="AN45" s="4064"/>
      <c r="AO45" s="4064"/>
      <c r="AP45" s="4064"/>
      <c r="AQ45" s="4064"/>
      <c r="AR45" s="4064"/>
      <c r="AS45" s="4064"/>
      <c r="AT45" s="4064"/>
      <c r="AU45" s="4064"/>
      <c r="AV45" s="4064"/>
      <c r="AW45" s="4064"/>
      <c r="AX45" s="4064"/>
      <c r="AY45" s="4064"/>
      <c r="AZ45" s="4064"/>
      <c r="BA45" s="4064"/>
      <c r="BB45" s="4064"/>
      <c r="BC45" s="4064"/>
      <c r="BD45" s="4064"/>
      <c r="BE45" s="4064"/>
      <c r="BF45" s="4064"/>
      <c r="BG45" s="4055"/>
      <c r="BH45" s="4061"/>
      <c r="BI45" s="4055"/>
      <c r="BJ45" s="4055"/>
      <c r="BK45" s="4114"/>
      <c r="BL45" s="4055"/>
      <c r="BM45" s="4055"/>
      <c r="BN45" s="4043"/>
      <c r="BO45" s="4043"/>
      <c r="BP45" s="4043"/>
      <c r="BQ45" s="4043"/>
      <c r="BR45" s="4046"/>
      <c r="BS45" s="684"/>
      <c r="BT45" s="684"/>
      <c r="BU45" s="684"/>
      <c r="BV45" s="684"/>
      <c r="BW45" s="684"/>
      <c r="BX45" s="684"/>
      <c r="BY45" s="684"/>
      <c r="BZ45" s="684"/>
      <c r="CA45" s="684"/>
      <c r="CB45" s="684"/>
      <c r="CC45" s="684"/>
    </row>
    <row r="46" spans="1:81" ht="27" customHeight="1" x14ac:dyDescent="0.2">
      <c r="A46" s="4155"/>
      <c r="B46" s="4156"/>
      <c r="C46" s="3854"/>
      <c r="D46" s="4136"/>
      <c r="E46" s="4136"/>
      <c r="F46" s="3859"/>
      <c r="G46" s="3858"/>
      <c r="H46" s="4136"/>
      <c r="I46" s="3859"/>
      <c r="J46" s="3508"/>
      <c r="K46" s="4067"/>
      <c r="L46" s="4067"/>
      <c r="M46" s="3508"/>
      <c r="N46" s="3508"/>
      <c r="O46" s="702"/>
      <c r="P46" s="3508"/>
      <c r="Q46" s="4047"/>
      <c r="R46" s="4123"/>
      <c r="S46" s="4132"/>
      <c r="T46" s="4067"/>
      <c r="U46" s="4134"/>
      <c r="V46" s="4047"/>
      <c r="W46" s="4106"/>
      <c r="X46" s="4106"/>
      <c r="Y46" s="4106"/>
      <c r="Z46" s="4127"/>
      <c r="AA46" s="4053"/>
      <c r="AB46" s="4064"/>
      <c r="AC46" s="4064"/>
      <c r="AD46" s="4064"/>
      <c r="AE46" s="4064"/>
      <c r="AF46" s="4064"/>
      <c r="AG46" s="4064"/>
      <c r="AH46" s="4064"/>
      <c r="AI46" s="4064"/>
      <c r="AJ46" s="4064"/>
      <c r="AK46" s="4064"/>
      <c r="AL46" s="4064"/>
      <c r="AM46" s="4064"/>
      <c r="AN46" s="4064"/>
      <c r="AO46" s="4064"/>
      <c r="AP46" s="4064"/>
      <c r="AQ46" s="4064"/>
      <c r="AR46" s="4064"/>
      <c r="AS46" s="4064"/>
      <c r="AT46" s="4064"/>
      <c r="AU46" s="4064"/>
      <c r="AV46" s="4064"/>
      <c r="AW46" s="4064"/>
      <c r="AX46" s="4064"/>
      <c r="AY46" s="4064"/>
      <c r="AZ46" s="4064"/>
      <c r="BA46" s="4064"/>
      <c r="BB46" s="4064"/>
      <c r="BC46" s="4064"/>
      <c r="BD46" s="4064"/>
      <c r="BE46" s="4064"/>
      <c r="BF46" s="4064"/>
      <c r="BG46" s="4055"/>
      <c r="BH46" s="4061"/>
      <c r="BI46" s="4055"/>
      <c r="BJ46" s="4055"/>
      <c r="BK46" s="4114"/>
      <c r="BL46" s="4055"/>
      <c r="BM46" s="4055"/>
      <c r="BN46" s="4043"/>
      <c r="BO46" s="4043"/>
      <c r="BP46" s="4043"/>
      <c r="BQ46" s="4043"/>
      <c r="BR46" s="4046"/>
      <c r="BS46" s="684"/>
      <c r="BT46" s="684"/>
      <c r="BU46" s="684"/>
      <c r="BV46" s="684"/>
      <c r="BW46" s="684"/>
      <c r="BX46" s="684"/>
      <c r="BY46" s="684"/>
      <c r="BZ46" s="684"/>
      <c r="CA46" s="684"/>
      <c r="CB46" s="684"/>
      <c r="CC46" s="684"/>
    </row>
    <row r="47" spans="1:81" ht="27" customHeight="1" x14ac:dyDescent="0.2">
      <c r="A47" s="4155"/>
      <c r="B47" s="4156"/>
      <c r="C47" s="3854"/>
      <c r="D47" s="4136"/>
      <c r="E47" s="4136"/>
      <c r="F47" s="3859"/>
      <c r="G47" s="3860"/>
      <c r="H47" s="4137"/>
      <c r="I47" s="3861"/>
      <c r="J47" s="3508"/>
      <c r="K47" s="4067"/>
      <c r="L47" s="4067"/>
      <c r="M47" s="3508"/>
      <c r="N47" s="3508"/>
      <c r="O47" s="702"/>
      <c r="P47" s="3508"/>
      <c r="Q47" s="4047"/>
      <c r="R47" s="4123"/>
      <c r="S47" s="4132"/>
      <c r="T47" s="4067"/>
      <c r="U47" s="4134"/>
      <c r="V47" s="4072"/>
      <c r="W47" s="4106"/>
      <c r="X47" s="4106"/>
      <c r="Y47" s="4106"/>
      <c r="Z47" s="4127"/>
      <c r="AA47" s="4053"/>
      <c r="AB47" s="4131"/>
      <c r="AC47" s="4131"/>
      <c r="AD47" s="4131"/>
      <c r="AE47" s="4131"/>
      <c r="AF47" s="4131"/>
      <c r="AG47" s="4131"/>
      <c r="AH47" s="4131"/>
      <c r="AI47" s="4131"/>
      <c r="AJ47" s="4131"/>
      <c r="AK47" s="4131"/>
      <c r="AL47" s="4131"/>
      <c r="AM47" s="4131"/>
      <c r="AN47" s="4131"/>
      <c r="AO47" s="4131"/>
      <c r="AP47" s="4131"/>
      <c r="AQ47" s="4131"/>
      <c r="AR47" s="4131"/>
      <c r="AS47" s="4131"/>
      <c r="AT47" s="4131"/>
      <c r="AU47" s="4131"/>
      <c r="AV47" s="4131"/>
      <c r="AW47" s="4131"/>
      <c r="AX47" s="4131"/>
      <c r="AY47" s="4131"/>
      <c r="AZ47" s="4131"/>
      <c r="BA47" s="4131"/>
      <c r="BB47" s="4131"/>
      <c r="BC47" s="4131"/>
      <c r="BD47" s="4131"/>
      <c r="BE47" s="4131"/>
      <c r="BF47" s="4131"/>
      <c r="BG47" s="4090"/>
      <c r="BH47" s="4093"/>
      <c r="BI47" s="4090"/>
      <c r="BJ47" s="4090"/>
      <c r="BK47" s="4115"/>
      <c r="BL47" s="4090"/>
      <c r="BM47" s="4090"/>
      <c r="BN47" s="4091"/>
      <c r="BO47" s="4091"/>
      <c r="BP47" s="4091"/>
      <c r="BQ47" s="4091"/>
      <c r="BR47" s="4046"/>
      <c r="BS47" s="684"/>
      <c r="BT47" s="684"/>
      <c r="BU47" s="684"/>
      <c r="BV47" s="684"/>
      <c r="BW47" s="684"/>
      <c r="BX47" s="684"/>
      <c r="BY47" s="684"/>
      <c r="BZ47" s="684"/>
      <c r="CA47" s="684"/>
      <c r="CB47" s="684"/>
      <c r="CC47" s="684"/>
    </row>
    <row r="48" spans="1:81" ht="15.75" x14ac:dyDescent="0.2">
      <c r="A48" s="4155"/>
      <c r="B48" s="4156"/>
      <c r="C48" s="3854"/>
      <c r="D48" s="4136"/>
      <c r="E48" s="4136"/>
      <c r="F48" s="3859"/>
      <c r="G48" s="663">
        <v>10</v>
      </c>
      <c r="H48" s="664" t="s">
        <v>393</v>
      </c>
      <c r="I48" s="664"/>
      <c r="J48" s="665"/>
      <c r="K48" s="666"/>
      <c r="L48" s="666"/>
      <c r="M48" s="665"/>
      <c r="N48" s="665"/>
      <c r="O48" s="673"/>
      <c r="P48" s="668"/>
      <c r="Q48" s="666"/>
      <c r="R48" s="706"/>
      <c r="S48" s="670"/>
      <c r="T48" s="666"/>
      <c r="U48" s="666"/>
      <c r="V48" s="691"/>
      <c r="W48" s="707"/>
      <c r="X48" s="708"/>
      <c r="Y48" s="708"/>
      <c r="Z48" s="709"/>
      <c r="AA48" s="710"/>
      <c r="AB48" s="674"/>
      <c r="AC48" s="674"/>
      <c r="AD48" s="674"/>
      <c r="AE48" s="674"/>
      <c r="AF48" s="665"/>
      <c r="AG48" s="665"/>
      <c r="AH48" s="665"/>
      <c r="AI48" s="665"/>
      <c r="AJ48" s="665"/>
      <c r="AK48" s="665"/>
      <c r="AL48" s="665"/>
      <c r="AM48" s="665"/>
      <c r="AN48" s="665"/>
      <c r="AO48" s="696"/>
      <c r="AP48" s="665"/>
      <c r="AQ48" s="696"/>
      <c r="AR48" s="665"/>
      <c r="AS48" s="665"/>
      <c r="AT48" s="665"/>
      <c r="AU48" s="665"/>
      <c r="AV48" s="665"/>
      <c r="AW48" s="665"/>
      <c r="AX48" s="665"/>
      <c r="AY48" s="665"/>
      <c r="AZ48" s="665"/>
      <c r="BA48" s="665"/>
      <c r="BB48" s="665"/>
      <c r="BC48" s="696"/>
      <c r="BD48" s="665"/>
      <c r="BE48" s="696"/>
      <c r="BF48" s="674"/>
      <c r="BG48" s="674"/>
      <c r="BH48" s="697"/>
      <c r="BI48" s="698"/>
      <c r="BJ48" s="698"/>
      <c r="BK48" s="699"/>
      <c r="BL48" s="697"/>
      <c r="BM48" s="697"/>
      <c r="BN48" s="700"/>
      <c r="BO48" s="700"/>
      <c r="BP48" s="700"/>
      <c r="BQ48" s="700"/>
      <c r="BR48" s="701"/>
    </row>
    <row r="49" spans="1:83" ht="42.75" customHeight="1" x14ac:dyDescent="0.2">
      <c r="A49" s="4155"/>
      <c r="B49" s="4156"/>
      <c r="C49" s="3854"/>
      <c r="D49" s="4136"/>
      <c r="E49" s="4136"/>
      <c r="F49" s="3859"/>
      <c r="G49" s="4116"/>
      <c r="H49" s="4117"/>
      <c r="I49" s="4118"/>
      <c r="J49" s="3507">
        <v>47</v>
      </c>
      <c r="K49" s="4066" t="s">
        <v>394</v>
      </c>
      <c r="L49" s="4066" t="s">
        <v>395</v>
      </c>
      <c r="M49" s="3507">
        <v>48</v>
      </c>
      <c r="N49" s="3507">
        <v>45</v>
      </c>
      <c r="O49" s="683"/>
      <c r="P49" s="3507" t="s">
        <v>396</v>
      </c>
      <c r="Q49" s="4066" t="s">
        <v>397</v>
      </c>
      <c r="R49" s="4068">
        <f>(W49+W50)/S49</f>
        <v>0.43158041567861627</v>
      </c>
      <c r="S49" s="3527">
        <f>SUM(W49:W57)</f>
        <v>358450000</v>
      </c>
      <c r="T49" s="4066" t="s">
        <v>398</v>
      </c>
      <c r="U49" s="4088" t="s">
        <v>399</v>
      </c>
      <c r="V49" s="4065" t="s">
        <v>400</v>
      </c>
      <c r="W49" s="689">
        <v>54700000</v>
      </c>
      <c r="X49" s="689">
        <v>46200000</v>
      </c>
      <c r="Y49" s="689">
        <v>40600000</v>
      </c>
      <c r="Z49" s="686">
        <v>20</v>
      </c>
      <c r="AA49" s="687" t="s">
        <v>323</v>
      </c>
      <c r="AB49" s="4063">
        <v>294321</v>
      </c>
      <c r="AC49" s="4063">
        <v>99</v>
      </c>
      <c r="AD49" s="4054">
        <v>283947</v>
      </c>
      <c r="AE49" s="4054">
        <v>54</v>
      </c>
      <c r="AF49" s="4054">
        <v>135754</v>
      </c>
      <c r="AG49" s="4054"/>
      <c r="AH49" s="4054">
        <v>44640</v>
      </c>
      <c r="AI49" s="4054"/>
      <c r="AJ49" s="4054">
        <v>308178</v>
      </c>
      <c r="AK49" s="4054">
        <v>153</v>
      </c>
      <c r="AL49" s="4054"/>
      <c r="AM49" s="4054"/>
      <c r="AN49" s="4095"/>
      <c r="AO49" s="3610"/>
      <c r="AP49" s="4095"/>
      <c r="AQ49" s="3610"/>
      <c r="AR49" s="4095"/>
      <c r="AS49" s="4095"/>
      <c r="AT49" s="4095"/>
      <c r="AU49" s="4095"/>
      <c r="AV49" s="4095"/>
      <c r="AW49" s="4095"/>
      <c r="AX49" s="4095"/>
      <c r="AY49" s="4095"/>
      <c r="AZ49" s="4095"/>
      <c r="BA49" s="4095"/>
      <c r="BB49" s="4095"/>
      <c r="BC49" s="3610"/>
      <c r="BD49" s="4095"/>
      <c r="BE49" s="3610"/>
      <c r="BF49" s="4054">
        <f>+AB49+AD49</f>
        <v>578268</v>
      </c>
      <c r="BG49" s="4054">
        <f>SUM(AC49,AE49)</f>
        <v>153</v>
      </c>
      <c r="BH49" s="4060">
        <v>4</v>
      </c>
      <c r="BI49" s="4110">
        <f>SUM(X49:X57)</f>
        <v>349950000</v>
      </c>
      <c r="BJ49" s="4110">
        <f>SUM(Y49:Y57)</f>
        <v>305600000</v>
      </c>
      <c r="BK49" s="4113">
        <f>(BJ49/BI49)</f>
        <v>0.87326760965852268</v>
      </c>
      <c r="BL49" s="4060" t="s">
        <v>379</v>
      </c>
      <c r="BM49" s="4060" t="s">
        <v>346</v>
      </c>
      <c r="BN49" s="4042">
        <v>43467</v>
      </c>
      <c r="BO49" s="4042">
        <v>43496</v>
      </c>
      <c r="BP49" s="4042">
        <v>43830</v>
      </c>
      <c r="BQ49" s="4042">
        <v>43830</v>
      </c>
      <c r="BR49" s="4045" t="s">
        <v>347</v>
      </c>
    </row>
    <row r="50" spans="1:83" ht="42.75" customHeight="1" x14ac:dyDescent="0.2">
      <c r="A50" s="4155"/>
      <c r="B50" s="4156"/>
      <c r="C50" s="3854"/>
      <c r="D50" s="4136"/>
      <c r="E50" s="4136"/>
      <c r="F50" s="3859"/>
      <c r="G50" s="4119"/>
      <c r="H50" s="4120"/>
      <c r="I50" s="4121"/>
      <c r="J50" s="3508"/>
      <c r="K50" s="4067"/>
      <c r="L50" s="4067"/>
      <c r="M50" s="3508"/>
      <c r="N50" s="3508"/>
      <c r="O50" s="688"/>
      <c r="P50" s="3508"/>
      <c r="Q50" s="4067"/>
      <c r="R50" s="4069"/>
      <c r="S50" s="4070"/>
      <c r="T50" s="4067"/>
      <c r="U50" s="4089"/>
      <c r="V50" s="4065"/>
      <c r="W50" s="4106">
        <f>0+100000000</f>
        <v>100000000</v>
      </c>
      <c r="X50" s="4107">
        <v>100000000</v>
      </c>
      <c r="Y50" s="4107">
        <v>65000000</v>
      </c>
      <c r="Z50" s="4051">
        <v>88</v>
      </c>
      <c r="AA50" s="4053" t="s">
        <v>348</v>
      </c>
      <c r="AB50" s="4064"/>
      <c r="AC50" s="4064"/>
      <c r="AD50" s="4055"/>
      <c r="AE50" s="4055"/>
      <c r="AF50" s="4055"/>
      <c r="AG50" s="4055"/>
      <c r="AH50" s="4055"/>
      <c r="AI50" s="4055"/>
      <c r="AJ50" s="4055"/>
      <c r="AK50" s="4055"/>
      <c r="AL50" s="4055"/>
      <c r="AM50" s="4055"/>
      <c r="AN50" s="4096"/>
      <c r="AO50" s="3586"/>
      <c r="AP50" s="4096"/>
      <c r="AQ50" s="3586"/>
      <c r="AR50" s="4096"/>
      <c r="AS50" s="4096"/>
      <c r="AT50" s="4096"/>
      <c r="AU50" s="4096"/>
      <c r="AV50" s="4096"/>
      <c r="AW50" s="4096"/>
      <c r="AX50" s="4096"/>
      <c r="AY50" s="4096"/>
      <c r="AZ50" s="4096"/>
      <c r="BA50" s="4096"/>
      <c r="BB50" s="4096"/>
      <c r="BC50" s="3586"/>
      <c r="BD50" s="4096"/>
      <c r="BE50" s="3586"/>
      <c r="BF50" s="4055"/>
      <c r="BG50" s="4055"/>
      <c r="BH50" s="4061"/>
      <c r="BI50" s="4111"/>
      <c r="BJ50" s="4111"/>
      <c r="BK50" s="4114"/>
      <c r="BL50" s="4061"/>
      <c r="BM50" s="4061"/>
      <c r="BN50" s="4043"/>
      <c r="BO50" s="4043"/>
      <c r="BP50" s="4043"/>
      <c r="BQ50" s="4043"/>
      <c r="BR50" s="4046"/>
    </row>
    <row r="51" spans="1:83" ht="42.75" customHeight="1" x14ac:dyDescent="0.2">
      <c r="A51" s="4155"/>
      <c r="B51" s="4156"/>
      <c r="C51" s="3854"/>
      <c r="D51" s="4136"/>
      <c r="E51" s="4136"/>
      <c r="F51" s="3859"/>
      <c r="G51" s="4119"/>
      <c r="H51" s="4120"/>
      <c r="I51" s="4121"/>
      <c r="J51" s="3508"/>
      <c r="K51" s="4067"/>
      <c r="L51" s="4067"/>
      <c r="M51" s="3508"/>
      <c r="N51" s="3508"/>
      <c r="O51" s="688"/>
      <c r="P51" s="3508"/>
      <c r="Q51" s="4067"/>
      <c r="R51" s="4069"/>
      <c r="S51" s="4070"/>
      <c r="T51" s="4067"/>
      <c r="U51" s="4089"/>
      <c r="V51" s="4065"/>
      <c r="W51" s="4106"/>
      <c r="X51" s="4108"/>
      <c r="Y51" s="4108"/>
      <c r="Z51" s="4051"/>
      <c r="AA51" s="4053"/>
      <c r="AB51" s="4064"/>
      <c r="AC51" s="4064"/>
      <c r="AD51" s="4055"/>
      <c r="AE51" s="4055"/>
      <c r="AF51" s="4055"/>
      <c r="AG51" s="4055"/>
      <c r="AH51" s="4055"/>
      <c r="AI51" s="4055"/>
      <c r="AJ51" s="4055"/>
      <c r="AK51" s="4055"/>
      <c r="AL51" s="4055"/>
      <c r="AM51" s="4055"/>
      <c r="AN51" s="4096"/>
      <c r="AO51" s="3586"/>
      <c r="AP51" s="4096"/>
      <c r="AQ51" s="3586"/>
      <c r="AR51" s="4096"/>
      <c r="AS51" s="4096"/>
      <c r="AT51" s="4096"/>
      <c r="AU51" s="4096"/>
      <c r="AV51" s="4096"/>
      <c r="AW51" s="4096"/>
      <c r="AX51" s="4096"/>
      <c r="AY51" s="4096"/>
      <c r="AZ51" s="4096"/>
      <c r="BA51" s="4096"/>
      <c r="BB51" s="4096"/>
      <c r="BC51" s="3586"/>
      <c r="BD51" s="4096"/>
      <c r="BE51" s="3586"/>
      <c r="BF51" s="4055"/>
      <c r="BG51" s="4055"/>
      <c r="BH51" s="4061"/>
      <c r="BI51" s="4111"/>
      <c r="BJ51" s="4111"/>
      <c r="BK51" s="4114"/>
      <c r="BL51" s="4061"/>
      <c r="BM51" s="4061"/>
      <c r="BN51" s="4043"/>
      <c r="BO51" s="4043"/>
      <c r="BP51" s="4043"/>
      <c r="BQ51" s="4043"/>
      <c r="BR51" s="4046"/>
    </row>
    <row r="52" spans="1:83" ht="42.75" customHeight="1" x14ac:dyDescent="0.2">
      <c r="A52" s="4155"/>
      <c r="B52" s="4156"/>
      <c r="C52" s="3854"/>
      <c r="D52" s="4136"/>
      <c r="E52" s="4136"/>
      <c r="F52" s="3859"/>
      <c r="G52" s="4119"/>
      <c r="H52" s="4120"/>
      <c r="I52" s="4121"/>
      <c r="J52" s="3507">
        <v>48</v>
      </c>
      <c r="K52" s="4066" t="s">
        <v>401</v>
      </c>
      <c r="L52" s="4066" t="s">
        <v>402</v>
      </c>
      <c r="M52" s="3507">
        <v>1</v>
      </c>
      <c r="N52" s="3507">
        <v>1</v>
      </c>
      <c r="O52" s="688" t="s">
        <v>403</v>
      </c>
      <c r="P52" s="3508"/>
      <c r="Q52" s="4067"/>
      <c r="R52" s="4068">
        <f>(W52)/S49</f>
        <v>0.55795787418049936</v>
      </c>
      <c r="S52" s="4070"/>
      <c r="T52" s="4067"/>
      <c r="U52" s="4085" t="s">
        <v>404</v>
      </c>
      <c r="V52" s="4047" t="s">
        <v>405</v>
      </c>
      <c r="W52" s="3528">
        <f>198750000+1250000</f>
        <v>200000000</v>
      </c>
      <c r="X52" s="4109">
        <v>200000000</v>
      </c>
      <c r="Y52" s="4109">
        <v>200000000</v>
      </c>
      <c r="Z52" s="3586">
        <v>20</v>
      </c>
      <c r="AA52" s="3508" t="s">
        <v>323</v>
      </c>
      <c r="AB52" s="4055"/>
      <c r="AC52" s="4055"/>
      <c r="AD52" s="4055"/>
      <c r="AE52" s="4055"/>
      <c r="AF52" s="4055"/>
      <c r="AG52" s="4055"/>
      <c r="AH52" s="4055"/>
      <c r="AI52" s="4055"/>
      <c r="AJ52" s="4055"/>
      <c r="AK52" s="4055"/>
      <c r="AL52" s="4055"/>
      <c r="AM52" s="4055"/>
      <c r="AN52" s="4096"/>
      <c r="AO52" s="3586"/>
      <c r="AP52" s="4096"/>
      <c r="AQ52" s="3586"/>
      <c r="AR52" s="4096"/>
      <c r="AS52" s="4096"/>
      <c r="AT52" s="4096"/>
      <c r="AU52" s="4096"/>
      <c r="AV52" s="4096"/>
      <c r="AW52" s="4096"/>
      <c r="AX52" s="4096"/>
      <c r="AY52" s="4096"/>
      <c r="AZ52" s="4096"/>
      <c r="BA52" s="4096"/>
      <c r="BB52" s="4096"/>
      <c r="BC52" s="3586"/>
      <c r="BD52" s="4096"/>
      <c r="BE52" s="3586"/>
      <c r="BF52" s="4055"/>
      <c r="BG52" s="4055"/>
      <c r="BH52" s="4061"/>
      <c r="BI52" s="4111"/>
      <c r="BJ52" s="4111"/>
      <c r="BK52" s="4114"/>
      <c r="BL52" s="4061"/>
      <c r="BM52" s="4061"/>
      <c r="BN52" s="4043"/>
      <c r="BO52" s="4043"/>
      <c r="BP52" s="4043"/>
      <c r="BQ52" s="4043"/>
      <c r="BR52" s="4046"/>
    </row>
    <row r="53" spans="1:83" ht="42.75" customHeight="1" x14ac:dyDescent="0.2">
      <c r="A53" s="4155"/>
      <c r="B53" s="4156"/>
      <c r="C53" s="3854"/>
      <c r="D53" s="4136"/>
      <c r="E53" s="4136"/>
      <c r="F53" s="3859"/>
      <c r="G53" s="4119"/>
      <c r="H53" s="4120"/>
      <c r="I53" s="4121"/>
      <c r="J53" s="3508"/>
      <c r="K53" s="4067"/>
      <c r="L53" s="4067"/>
      <c r="M53" s="3508"/>
      <c r="N53" s="3508"/>
      <c r="O53" s="688"/>
      <c r="P53" s="3508"/>
      <c r="Q53" s="4067"/>
      <c r="R53" s="4069"/>
      <c r="S53" s="4070"/>
      <c r="T53" s="4067"/>
      <c r="U53" s="4086"/>
      <c r="V53" s="4047"/>
      <c r="W53" s="4073"/>
      <c r="X53" s="4070"/>
      <c r="Y53" s="4070"/>
      <c r="Z53" s="3586"/>
      <c r="AA53" s="3508"/>
      <c r="AB53" s="4055"/>
      <c r="AC53" s="4055"/>
      <c r="AD53" s="4055"/>
      <c r="AE53" s="4055"/>
      <c r="AF53" s="4055"/>
      <c r="AG53" s="4055"/>
      <c r="AH53" s="4055"/>
      <c r="AI53" s="4055"/>
      <c r="AJ53" s="4055"/>
      <c r="AK53" s="4055"/>
      <c r="AL53" s="4055"/>
      <c r="AM53" s="4055"/>
      <c r="AN53" s="4096"/>
      <c r="AO53" s="3586"/>
      <c r="AP53" s="4096"/>
      <c r="AQ53" s="3586"/>
      <c r="AR53" s="4096"/>
      <c r="AS53" s="4096"/>
      <c r="AT53" s="4096"/>
      <c r="AU53" s="4096"/>
      <c r="AV53" s="4096"/>
      <c r="AW53" s="4096"/>
      <c r="AX53" s="4096"/>
      <c r="AY53" s="4096"/>
      <c r="AZ53" s="4096"/>
      <c r="BA53" s="4096"/>
      <c r="BB53" s="4096"/>
      <c r="BC53" s="3586"/>
      <c r="BD53" s="4096"/>
      <c r="BE53" s="3586"/>
      <c r="BF53" s="4055"/>
      <c r="BG53" s="4055"/>
      <c r="BH53" s="4061"/>
      <c r="BI53" s="4111"/>
      <c r="BJ53" s="4111"/>
      <c r="BK53" s="4114"/>
      <c r="BL53" s="4061"/>
      <c r="BM53" s="4061"/>
      <c r="BN53" s="4043"/>
      <c r="BO53" s="4043"/>
      <c r="BP53" s="4043"/>
      <c r="BQ53" s="4043"/>
      <c r="BR53" s="4046"/>
    </row>
    <row r="54" spans="1:83" ht="42.75" customHeight="1" x14ac:dyDescent="0.2">
      <c r="A54" s="4155"/>
      <c r="B54" s="4156"/>
      <c r="C54" s="3854"/>
      <c r="D54" s="4136"/>
      <c r="E54" s="4136"/>
      <c r="F54" s="3859"/>
      <c r="G54" s="4119"/>
      <c r="H54" s="4120"/>
      <c r="I54" s="4121"/>
      <c r="J54" s="3508"/>
      <c r="K54" s="4067"/>
      <c r="L54" s="4067"/>
      <c r="M54" s="3508"/>
      <c r="N54" s="3508"/>
      <c r="O54" s="688" t="s">
        <v>406</v>
      </c>
      <c r="P54" s="3508"/>
      <c r="Q54" s="4067"/>
      <c r="R54" s="4069"/>
      <c r="S54" s="4070"/>
      <c r="T54" s="4067"/>
      <c r="U54" s="4086"/>
      <c r="V54" s="4072"/>
      <c r="W54" s="4073"/>
      <c r="X54" s="3528"/>
      <c r="Y54" s="3528"/>
      <c r="Z54" s="3587"/>
      <c r="AA54" s="3508"/>
      <c r="AB54" s="4055"/>
      <c r="AC54" s="4055"/>
      <c r="AD54" s="4055"/>
      <c r="AE54" s="4055"/>
      <c r="AF54" s="4055"/>
      <c r="AG54" s="4055"/>
      <c r="AH54" s="4055"/>
      <c r="AI54" s="4055"/>
      <c r="AJ54" s="4055"/>
      <c r="AK54" s="4055"/>
      <c r="AL54" s="4055"/>
      <c r="AM54" s="4055"/>
      <c r="AN54" s="4096"/>
      <c r="AO54" s="3586"/>
      <c r="AP54" s="4096"/>
      <c r="AQ54" s="3586"/>
      <c r="AR54" s="4096"/>
      <c r="AS54" s="4096"/>
      <c r="AT54" s="4096"/>
      <c r="AU54" s="4096"/>
      <c r="AV54" s="4096"/>
      <c r="AW54" s="4096"/>
      <c r="AX54" s="4096"/>
      <c r="AY54" s="4096"/>
      <c r="AZ54" s="4096"/>
      <c r="BA54" s="4096"/>
      <c r="BB54" s="4096"/>
      <c r="BC54" s="3586"/>
      <c r="BD54" s="4096"/>
      <c r="BE54" s="3586"/>
      <c r="BF54" s="4055"/>
      <c r="BG54" s="4055"/>
      <c r="BH54" s="4061"/>
      <c r="BI54" s="4111"/>
      <c r="BJ54" s="4111"/>
      <c r="BK54" s="4114"/>
      <c r="BL54" s="4061"/>
      <c r="BM54" s="4061"/>
      <c r="BN54" s="4043"/>
      <c r="BO54" s="4043"/>
      <c r="BP54" s="4043"/>
      <c r="BQ54" s="4043"/>
      <c r="BR54" s="4046"/>
    </row>
    <row r="55" spans="1:83" ht="42.75" customHeight="1" x14ac:dyDescent="0.2">
      <c r="A55" s="4155"/>
      <c r="B55" s="4156"/>
      <c r="C55" s="3854"/>
      <c r="D55" s="4136"/>
      <c r="E55" s="4136"/>
      <c r="F55" s="3859"/>
      <c r="G55" s="4119"/>
      <c r="H55" s="4120"/>
      <c r="I55" s="4121"/>
      <c r="J55" s="3507">
        <v>49</v>
      </c>
      <c r="K55" s="4066" t="s">
        <v>407</v>
      </c>
      <c r="L55" s="4066" t="s">
        <v>408</v>
      </c>
      <c r="M55" s="3507">
        <v>1</v>
      </c>
      <c r="N55" s="3507">
        <v>1</v>
      </c>
      <c r="O55" s="688"/>
      <c r="P55" s="3508"/>
      <c r="Q55" s="4067"/>
      <c r="R55" s="4068">
        <f>(W55)/S49</f>
        <v>1.0461710140884364E-2</v>
      </c>
      <c r="S55" s="4070"/>
      <c r="T55" s="4067"/>
      <c r="U55" s="4086"/>
      <c r="V55" s="4071" t="s">
        <v>409</v>
      </c>
      <c r="W55" s="4073">
        <f>5000000-1250000</f>
        <v>3750000</v>
      </c>
      <c r="X55" s="3527">
        <v>3750000</v>
      </c>
      <c r="Y55" s="3527">
        <f>+Y60+Y63-124326000</f>
        <v>0</v>
      </c>
      <c r="Z55" s="3610">
        <v>20</v>
      </c>
      <c r="AA55" s="3507" t="s">
        <v>323</v>
      </c>
      <c r="AB55" s="4055"/>
      <c r="AC55" s="4055"/>
      <c r="AD55" s="4055"/>
      <c r="AE55" s="4055"/>
      <c r="AF55" s="4055"/>
      <c r="AG55" s="4055"/>
      <c r="AH55" s="4055"/>
      <c r="AI55" s="4055"/>
      <c r="AJ55" s="4055"/>
      <c r="AK55" s="4055"/>
      <c r="AL55" s="4055"/>
      <c r="AM55" s="4055"/>
      <c r="AN55" s="4096"/>
      <c r="AO55" s="3586"/>
      <c r="AP55" s="4096"/>
      <c r="AQ55" s="3586"/>
      <c r="AR55" s="4096"/>
      <c r="AS55" s="4096"/>
      <c r="AT55" s="4096"/>
      <c r="AU55" s="4096"/>
      <c r="AV55" s="4096"/>
      <c r="AW55" s="4096"/>
      <c r="AX55" s="4096"/>
      <c r="AY55" s="4096"/>
      <c r="AZ55" s="4096"/>
      <c r="BA55" s="4096"/>
      <c r="BB55" s="4096"/>
      <c r="BC55" s="3586"/>
      <c r="BD55" s="4096"/>
      <c r="BE55" s="3586"/>
      <c r="BF55" s="4055"/>
      <c r="BG55" s="4055"/>
      <c r="BH55" s="4061"/>
      <c r="BI55" s="4111"/>
      <c r="BJ55" s="4111"/>
      <c r="BK55" s="4114"/>
      <c r="BL55" s="4061"/>
      <c r="BM55" s="4061"/>
      <c r="BN55" s="4043"/>
      <c r="BO55" s="4043"/>
      <c r="BP55" s="4043"/>
      <c r="BQ55" s="4043"/>
      <c r="BR55" s="4046"/>
    </row>
    <row r="56" spans="1:83" ht="42.75" customHeight="1" x14ac:dyDescent="0.2">
      <c r="A56" s="4155"/>
      <c r="B56" s="4156"/>
      <c r="C56" s="3854"/>
      <c r="D56" s="4136"/>
      <c r="E56" s="4136"/>
      <c r="F56" s="3859"/>
      <c r="G56" s="4119"/>
      <c r="H56" s="4120"/>
      <c r="I56" s="4121"/>
      <c r="J56" s="3508"/>
      <c r="K56" s="4067"/>
      <c r="L56" s="4067"/>
      <c r="M56" s="3508"/>
      <c r="N56" s="3508"/>
      <c r="O56" s="688"/>
      <c r="P56" s="3508"/>
      <c r="Q56" s="4067"/>
      <c r="R56" s="4069"/>
      <c r="S56" s="4070"/>
      <c r="T56" s="4067"/>
      <c r="U56" s="4086"/>
      <c r="V56" s="4047"/>
      <c r="W56" s="4073"/>
      <c r="X56" s="4070"/>
      <c r="Y56" s="4070"/>
      <c r="Z56" s="3586"/>
      <c r="AA56" s="3508"/>
      <c r="AB56" s="4055"/>
      <c r="AC56" s="4055"/>
      <c r="AD56" s="4055"/>
      <c r="AE56" s="4055"/>
      <c r="AF56" s="4055"/>
      <c r="AG56" s="4055"/>
      <c r="AH56" s="4055"/>
      <c r="AI56" s="4055"/>
      <c r="AJ56" s="4055"/>
      <c r="AK56" s="4055"/>
      <c r="AL56" s="4055"/>
      <c r="AM56" s="4055"/>
      <c r="AN56" s="4096"/>
      <c r="AO56" s="3586"/>
      <c r="AP56" s="4096"/>
      <c r="AQ56" s="3586"/>
      <c r="AR56" s="4096"/>
      <c r="AS56" s="4096"/>
      <c r="AT56" s="4096"/>
      <c r="AU56" s="4096"/>
      <c r="AV56" s="4096"/>
      <c r="AW56" s="4096"/>
      <c r="AX56" s="4096"/>
      <c r="AY56" s="4096"/>
      <c r="AZ56" s="4096"/>
      <c r="BA56" s="4096"/>
      <c r="BB56" s="4096"/>
      <c r="BC56" s="3586"/>
      <c r="BD56" s="4096"/>
      <c r="BE56" s="3586"/>
      <c r="BF56" s="4055"/>
      <c r="BG56" s="4055"/>
      <c r="BH56" s="4061"/>
      <c r="BI56" s="4111"/>
      <c r="BJ56" s="4111"/>
      <c r="BK56" s="4114"/>
      <c r="BL56" s="4061"/>
      <c r="BM56" s="4061"/>
      <c r="BN56" s="4043"/>
      <c r="BO56" s="4043"/>
      <c r="BP56" s="4043"/>
      <c r="BQ56" s="4043"/>
      <c r="BR56" s="4046"/>
    </row>
    <row r="57" spans="1:83" ht="42.75" customHeight="1" x14ac:dyDescent="0.2">
      <c r="A57" s="4155"/>
      <c r="B57" s="4156"/>
      <c r="C57" s="3854"/>
      <c r="D57" s="4136"/>
      <c r="E57" s="4136"/>
      <c r="F57" s="3859"/>
      <c r="G57" s="4119"/>
      <c r="H57" s="4120"/>
      <c r="I57" s="4121"/>
      <c r="J57" s="3509"/>
      <c r="K57" s="4083"/>
      <c r="L57" s="4083"/>
      <c r="M57" s="3509"/>
      <c r="N57" s="3509"/>
      <c r="O57" s="711"/>
      <c r="P57" s="3509"/>
      <c r="Q57" s="4083"/>
      <c r="R57" s="4084"/>
      <c r="S57" s="3528"/>
      <c r="T57" s="4083"/>
      <c r="U57" s="4087"/>
      <c r="V57" s="4072"/>
      <c r="W57" s="4073"/>
      <c r="X57" s="3528"/>
      <c r="Y57" s="3528"/>
      <c r="Z57" s="3587"/>
      <c r="AA57" s="3508"/>
      <c r="AB57" s="4090"/>
      <c r="AC57" s="4090"/>
      <c r="AD57" s="4090"/>
      <c r="AE57" s="4090"/>
      <c r="AF57" s="4090"/>
      <c r="AG57" s="4090"/>
      <c r="AH57" s="4090"/>
      <c r="AI57" s="4090"/>
      <c r="AJ57" s="4090"/>
      <c r="AK57" s="4090"/>
      <c r="AL57" s="4090"/>
      <c r="AM57" s="4090"/>
      <c r="AN57" s="4097"/>
      <c r="AO57" s="3587"/>
      <c r="AP57" s="4097"/>
      <c r="AQ57" s="3587"/>
      <c r="AR57" s="4097"/>
      <c r="AS57" s="4097"/>
      <c r="AT57" s="4097"/>
      <c r="AU57" s="4097"/>
      <c r="AV57" s="4097"/>
      <c r="AW57" s="4097"/>
      <c r="AX57" s="4097"/>
      <c r="AY57" s="4097"/>
      <c r="AZ57" s="4097"/>
      <c r="BA57" s="4097"/>
      <c r="BB57" s="4097"/>
      <c r="BC57" s="3587"/>
      <c r="BD57" s="4097"/>
      <c r="BE57" s="3587"/>
      <c r="BF57" s="4090"/>
      <c r="BG57" s="4090"/>
      <c r="BH57" s="4093"/>
      <c r="BI57" s="4112"/>
      <c r="BJ57" s="4112"/>
      <c r="BK57" s="4115"/>
      <c r="BL57" s="4093"/>
      <c r="BM57" s="4093"/>
      <c r="BN57" s="4091"/>
      <c r="BO57" s="4091"/>
      <c r="BP57" s="4091"/>
      <c r="BQ57" s="4091"/>
      <c r="BR57" s="4092"/>
    </row>
    <row r="58" spans="1:83" ht="15.75" x14ac:dyDescent="0.2">
      <c r="A58" s="4155"/>
      <c r="B58" s="4156"/>
      <c r="C58" s="3854"/>
      <c r="D58" s="646">
        <v>3</v>
      </c>
      <c r="E58" s="647" t="s">
        <v>410</v>
      </c>
      <c r="F58" s="647"/>
      <c r="G58" s="647"/>
      <c r="H58" s="647"/>
      <c r="I58" s="647"/>
      <c r="J58" s="648"/>
      <c r="K58" s="649"/>
      <c r="L58" s="649"/>
      <c r="M58" s="648"/>
      <c r="N58" s="648"/>
      <c r="O58" s="655"/>
      <c r="P58" s="650"/>
      <c r="Q58" s="649"/>
      <c r="R58" s="651"/>
      <c r="S58" s="652"/>
      <c r="T58" s="649"/>
      <c r="U58" s="649"/>
      <c r="V58" s="649"/>
      <c r="W58" s="712"/>
      <c r="X58" s="649"/>
      <c r="Y58" s="649"/>
      <c r="Z58" s="654"/>
      <c r="AA58" s="655"/>
      <c r="AB58" s="656"/>
      <c r="AC58" s="656"/>
      <c r="AD58" s="656"/>
      <c r="AE58" s="656"/>
      <c r="AF58" s="648"/>
      <c r="AG58" s="648"/>
      <c r="AH58" s="648"/>
      <c r="AI58" s="648"/>
      <c r="AJ58" s="648"/>
      <c r="AK58" s="648"/>
      <c r="AL58" s="648"/>
      <c r="AM58" s="648"/>
      <c r="AN58" s="648"/>
      <c r="AO58" s="713"/>
      <c r="AP58" s="648"/>
      <c r="AQ58" s="713"/>
      <c r="AR58" s="648"/>
      <c r="AS58" s="648"/>
      <c r="AT58" s="648"/>
      <c r="AU58" s="648"/>
      <c r="AV58" s="648"/>
      <c r="AW58" s="648"/>
      <c r="AX58" s="648"/>
      <c r="AY58" s="648"/>
      <c r="AZ58" s="648"/>
      <c r="BA58" s="648"/>
      <c r="BB58" s="648"/>
      <c r="BC58" s="713"/>
      <c r="BD58" s="648"/>
      <c r="BE58" s="713"/>
      <c r="BF58" s="656"/>
      <c r="BG58" s="656"/>
      <c r="BH58" s="714"/>
      <c r="BI58" s="715"/>
      <c r="BJ58" s="715"/>
      <c r="BK58" s="716"/>
      <c r="BL58" s="714"/>
      <c r="BM58" s="714"/>
      <c r="BN58" s="717"/>
      <c r="BO58" s="717"/>
      <c r="BP58" s="717"/>
      <c r="BQ58" s="717"/>
      <c r="BR58" s="718"/>
    </row>
    <row r="59" spans="1:83" ht="15.75" x14ac:dyDescent="0.2">
      <c r="A59" s="4155"/>
      <c r="B59" s="4156"/>
      <c r="C59" s="3854"/>
      <c r="D59" s="4077"/>
      <c r="E59" s="4078"/>
      <c r="F59" s="4079"/>
      <c r="G59" s="663">
        <v>11</v>
      </c>
      <c r="H59" s="664" t="s">
        <v>411</v>
      </c>
      <c r="I59" s="664"/>
      <c r="J59" s="665"/>
      <c r="K59" s="666"/>
      <c r="L59" s="666"/>
      <c r="M59" s="665"/>
      <c r="N59" s="665"/>
      <c r="O59" s="673"/>
      <c r="P59" s="668"/>
      <c r="Q59" s="666"/>
      <c r="R59" s="669"/>
      <c r="S59" s="670"/>
      <c r="T59" s="666"/>
      <c r="U59" s="666"/>
      <c r="V59" s="666"/>
      <c r="W59" s="719"/>
      <c r="X59" s="720"/>
      <c r="Y59" s="720"/>
      <c r="Z59" s="672"/>
      <c r="AA59" s="673"/>
      <c r="AB59" s="674"/>
      <c r="AC59" s="674"/>
      <c r="AD59" s="674"/>
      <c r="AE59" s="674"/>
      <c r="AF59" s="665"/>
      <c r="AG59" s="665"/>
      <c r="AH59" s="665"/>
      <c r="AI59" s="665"/>
      <c r="AJ59" s="665"/>
      <c r="AK59" s="665"/>
      <c r="AL59" s="665"/>
      <c r="AM59" s="665"/>
      <c r="AN59" s="665"/>
      <c r="AO59" s="696"/>
      <c r="AP59" s="665"/>
      <c r="AQ59" s="696"/>
      <c r="AR59" s="665"/>
      <c r="AS59" s="665"/>
      <c r="AT59" s="665"/>
      <c r="AU59" s="665"/>
      <c r="AV59" s="665"/>
      <c r="AW59" s="665"/>
      <c r="AX59" s="665"/>
      <c r="AY59" s="665"/>
      <c r="AZ59" s="665"/>
      <c r="BA59" s="665"/>
      <c r="BB59" s="665"/>
      <c r="BC59" s="696"/>
      <c r="BD59" s="665"/>
      <c r="BE59" s="696"/>
      <c r="BF59" s="674"/>
      <c r="BG59" s="674"/>
      <c r="BH59" s="697"/>
      <c r="BI59" s="698"/>
      <c r="BJ59" s="698"/>
      <c r="BK59" s="699"/>
      <c r="BL59" s="697"/>
      <c r="BM59" s="697"/>
      <c r="BN59" s="700"/>
      <c r="BO59" s="700"/>
      <c r="BP59" s="700"/>
      <c r="BQ59" s="700"/>
      <c r="BR59" s="701"/>
    </row>
    <row r="60" spans="1:83" ht="22.5" customHeight="1" x14ac:dyDescent="0.2">
      <c r="A60" s="4155"/>
      <c r="B60" s="4156"/>
      <c r="C60" s="3854"/>
      <c r="D60" s="4080"/>
      <c r="E60" s="4081"/>
      <c r="F60" s="4082"/>
      <c r="G60" s="612"/>
      <c r="H60" s="612"/>
      <c r="I60" s="612"/>
      <c r="J60" s="3508">
        <v>50</v>
      </c>
      <c r="K60" s="4067" t="s">
        <v>412</v>
      </c>
      <c r="L60" s="4067" t="s">
        <v>413</v>
      </c>
      <c r="M60" s="3508">
        <v>3</v>
      </c>
      <c r="N60" s="3508">
        <v>2</v>
      </c>
      <c r="O60" s="3507" t="s">
        <v>414</v>
      </c>
      <c r="P60" s="3507" t="s">
        <v>415</v>
      </c>
      <c r="Q60" s="4066" t="s">
        <v>416</v>
      </c>
      <c r="R60" s="4069">
        <f>(W60)/S60</f>
        <v>0.80006709158000666</v>
      </c>
      <c r="S60" s="3527">
        <f>SUM(W60:W64)</f>
        <v>149050000</v>
      </c>
      <c r="T60" s="4066" t="s">
        <v>417</v>
      </c>
      <c r="U60" s="4085" t="s">
        <v>418</v>
      </c>
      <c r="V60" s="4071" t="s">
        <v>419</v>
      </c>
      <c r="W60" s="4073">
        <v>119250000</v>
      </c>
      <c r="X60" s="3527">
        <v>119250000</v>
      </c>
      <c r="Y60" s="3527">
        <f>110250000-6233000</f>
        <v>104017000</v>
      </c>
      <c r="Z60" s="3610">
        <v>20</v>
      </c>
      <c r="AA60" s="3576" t="s">
        <v>323</v>
      </c>
      <c r="AB60" s="4054">
        <v>294321</v>
      </c>
      <c r="AC60" s="4054">
        <f>1642*50.1/100</f>
        <v>822.64199999999994</v>
      </c>
      <c r="AD60" s="4054">
        <v>283947</v>
      </c>
      <c r="AE60" s="4054">
        <f>1642*49.9/100</f>
        <v>819.35800000000006</v>
      </c>
      <c r="AF60" s="4054">
        <v>135754</v>
      </c>
      <c r="AG60" s="4054"/>
      <c r="AH60" s="4054">
        <v>44640</v>
      </c>
      <c r="AI60" s="4054"/>
      <c r="AJ60" s="4054">
        <v>308178</v>
      </c>
      <c r="AK60" s="4054">
        <f>+AC60+AE60</f>
        <v>1642</v>
      </c>
      <c r="AL60" s="3610">
        <v>89696</v>
      </c>
      <c r="AM60" s="3610"/>
      <c r="AN60" s="4095"/>
      <c r="AO60" s="3610"/>
      <c r="AP60" s="4095"/>
      <c r="AQ60" s="3610"/>
      <c r="AR60" s="4095"/>
      <c r="AS60" s="4095"/>
      <c r="AT60" s="4095"/>
      <c r="AU60" s="4095"/>
      <c r="AV60" s="4095"/>
      <c r="AW60" s="4095"/>
      <c r="AX60" s="4095"/>
      <c r="AY60" s="4095"/>
      <c r="AZ60" s="4095"/>
      <c r="BA60" s="4095"/>
      <c r="BB60" s="4095"/>
      <c r="BC60" s="3610"/>
      <c r="BD60" s="4095"/>
      <c r="BE60" s="3610"/>
      <c r="BF60" s="4054">
        <f>+AB60+AD60</f>
        <v>578268</v>
      </c>
      <c r="BG60" s="4054">
        <f>+AC60+AE60</f>
        <v>1642</v>
      </c>
      <c r="BH60" s="4060">
        <v>10</v>
      </c>
      <c r="BI60" s="4054">
        <f>+X60+X63</f>
        <v>148997433</v>
      </c>
      <c r="BJ60" s="4054">
        <f>+Y60+Y63</f>
        <v>124326000</v>
      </c>
      <c r="BK60" s="4057">
        <f>+BJ60/BI60</f>
        <v>0.83441706005767224</v>
      </c>
      <c r="BL60" s="4054" t="s">
        <v>345</v>
      </c>
      <c r="BM60" s="4054" t="s">
        <v>420</v>
      </c>
      <c r="BN60" s="4042">
        <v>43467</v>
      </c>
      <c r="BO60" s="4042">
        <v>43488</v>
      </c>
      <c r="BP60" s="4042">
        <v>43830</v>
      </c>
      <c r="BQ60" s="4042">
        <v>43830</v>
      </c>
      <c r="BR60" s="4045" t="s">
        <v>347</v>
      </c>
      <c r="BS60" s="684"/>
      <c r="BT60" s="684"/>
      <c r="BU60" s="684"/>
      <c r="BV60" s="684"/>
      <c r="BW60" s="684"/>
      <c r="BX60" s="684"/>
      <c r="BY60" s="684"/>
      <c r="BZ60" s="684"/>
      <c r="CA60" s="684"/>
      <c r="CB60" s="684"/>
      <c r="CC60" s="684"/>
      <c r="CD60" s="684"/>
      <c r="CE60" s="684"/>
    </row>
    <row r="61" spans="1:83" ht="33.75" customHeight="1" x14ac:dyDescent="0.2">
      <c r="A61" s="4155"/>
      <c r="B61" s="4156"/>
      <c r="C61" s="3854"/>
      <c r="D61" s="4080"/>
      <c r="E61" s="4081"/>
      <c r="F61" s="4082"/>
      <c r="G61" s="612"/>
      <c r="H61" s="612"/>
      <c r="I61" s="612"/>
      <c r="J61" s="3508"/>
      <c r="K61" s="4067"/>
      <c r="L61" s="4067"/>
      <c r="M61" s="3508"/>
      <c r="N61" s="3508"/>
      <c r="O61" s="3508"/>
      <c r="P61" s="3508"/>
      <c r="Q61" s="4067"/>
      <c r="R61" s="4069"/>
      <c r="S61" s="4070"/>
      <c r="T61" s="4067"/>
      <c r="U61" s="4086"/>
      <c r="V61" s="4047"/>
      <c r="W61" s="4073"/>
      <c r="X61" s="4070"/>
      <c r="Y61" s="4070"/>
      <c r="Z61" s="3586"/>
      <c r="AA61" s="3576"/>
      <c r="AB61" s="4055"/>
      <c r="AC61" s="4055"/>
      <c r="AD61" s="4055"/>
      <c r="AE61" s="4055"/>
      <c r="AF61" s="4055"/>
      <c r="AG61" s="4055"/>
      <c r="AH61" s="4055"/>
      <c r="AI61" s="4055"/>
      <c r="AJ61" s="4055"/>
      <c r="AK61" s="4055"/>
      <c r="AL61" s="3586"/>
      <c r="AM61" s="3586"/>
      <c r="AN61" s="4096"/>
      <c r="AO61" s="3586"/>
      <c r="AP61" s="4096"/>
      <c r="AQ61" s="3586"/>
      <c r="AR61" s="4096"/>
      <c r="AS61" s="4096"/>
      <c r="AT61" s="4096"/>
      <c r="AU61" s="4096"/>
      <c r="AV61" s="4096"/>
      <c r="AW61" s="4096"/>
      <c r="AX61" s="4096"/>
      <c r="AY61" s="4096"/>
      <c r="AZ61" s="4096"/>
      <c r="BA61" s="4096"/>
      <c r="BB61" s="4096"/>
      <c r="BC61" s="3586"/>
      <c r="BD61" s="4096"/>
      <c r="BE61" s="3586"/>
      <c r="BF61" s="4055"/>
      <c r="BG61" s="4055"/>
      <c r="BH61" s="4061"/>
      <c r="BI61" s="4055"/>
      <c r="BJ61" s="4055"/>
      <c r="BK61" s="4058"/>
      <c r="BL61" s="4055"/>
      <c r="BM61" s="4055"/>
      <c r="BN61" s="4043"/>
      <c r="BO61" s="4043"/>
      <c r="BP61" s="4043"/>
      <c r="BQ61" s="4043"/>
      <c r="BR61" s="4046"/>
      <c r="BS61" s="684"/>
      <c r="BT61" s="684"/>
      <c r="BU61" s="684"/>
      <c r="BV61" s="684"/>
      <c r="BW61" s="684"/>
      <c r="BX61" s="684"/>
      <c r="BY61" s="684"/>
      <c r="BZ61" s="684"/>
      <c r="CA61" s="684"/>
      <c r="CB61" s="684"/>
      <c r="CC61" s="684"/>
      <c r="CD61" s="684"/>
      <c r="CE61" s="684"/>
    </row>
    <row r="62" spans="1:83" ht="39" customHeight="1" x14ac:dyDescent="0.2">
      <c r="A62" s="4155"/>
      <c r="B62" s="4156"/>
      <c r="C62" s="3854"/>
      <c r="D62" s="4080"/>
      <c r="E62" s="4081"/>
      <c r="F62" s="4082"/>
      <c r="G62" s="612"/>
      <c r="H62" s="612"/>
      <c r="I62" s="612"/>
      <c r="J62" s="3508"/>
      <c r="K62" s="4067"/>
      <c r="L62" s="4067"/>
      <c r="M62" s="3508"/>
      <c r="N62" s="3508"/>
      <c r="O62" s="3508"/>
      <c r="P62" s="3508"/>
      <c r="Q62" s="4067"/>
      <c r="R62" s="4069"/>
      <c r="S62" s="4070"/>
      <c r="T62" s="4067"/>
      <c r="U62" s="4086"/>
      <c r="V62" s="4047"/>
      <c r="W62" s="4073"/>
      <c r="X62" s="3528"/>
      <c r="Y62" s="3528"/>
      <c r="Z62" s="3587"/>
      <c r="AA62" s="3576"/>
      <c r="AB62" s="4055"/>
      <c r="AC62" s="4055"/>
      <c r="AD62" s="4055"/>
      <c r="AE62" s="4055"/>
      <c r="AF62" s="4055"/>
      <c r="AG62" s="4055"/>
      <c r="AH62" s="4055"/>
      <c r="AI62" s="4055"/>
      <c r="AJ62" s="4055"/>
      <c r="AK62" s="4055"/>
      <c r="AL62" s="3586"/>
      <c r="AM62" s="3586"/>
      <c r="AN62" s="4096"/>
      <c r="AO62" s="3586"/>
      <c r="AP62" s="4096"/>
      <c r="AQ62" s="3586"/>
      <c r="AR62" s="4096"/>
      <c r="AS62" s="4096"/>
      <c r="AT62" s="4096"/>
      <c r="AU62" s="4096"/>
      <c r="AV62" s="4096"/>
      <c r="AW62" s="4096"/>
      <c r="AX62" s="4096"/>
      <c r="AY62" s="4096"/>
      <c r="AZ62" s="4096"/>
      <c r="BA62" s="4096"/>
      <c r="BB62" s="4096"/>
      <c r="BC62" s="3586"/>
      <c r="BD62" s="4096"/>
      <c r="BE62" s="3586"/>
      <c r="BF62" s="4055"/>
      <c r="BG62" s="4055"/>
      <c r="BH62" s="4061"/>
      <c r="BI62" s="4055"/>
      <c r="BJ62" s="4055"/>
      <c r="BK62" s="4058"/>
      <c r="BL62" s="4055"/>
      <c r="BM62" s="4055"/>
      <c r="BN62" s="4043"/>
      <c r="BO62" s="4043"/>
      <c r="BP62" s="4043"/>
      <c r="BQ62" s="4043"/>
      <c r="BR62" s="4046"/>
      <c r="BS62" s="684"/>
      <c r="BT62" s="684"/>
      <c r="BU62" s="684"/>
      <c r="BV62" s="684"/>
      <c r="BW62" s="684"/>
      <c r="BX62" s="684"/>
      <c r="BY62" s="684"/>
      <c r="BZ62" s="684"/>
      <c r="CA62" s="684"/>
      <c r="CB62" s="684"/>
      <c r="CC62" s="684"/>
      <c r="CD62" s="684"/>
      <c r="CE62" s="684"/>
    </row>
    <row r="63" spans="1:83" ht="39" customHeight="1" x14ac:dyDescent="0.2">
      <c r="A63" s="4155"/>
      <c r="B63" s="4156"/>
      <c r="C63" s="3854"/>
      <c r="D63" s="4080"/>
      <c r="E63" s="4081"/>
      <c r="F63" s="4082"/>
      <c r="G63" s="612"/>
      <c r="H63" s="612"/>
      <c r="I63" s="612"/>
      <c r="J63" s="3507">
        <v>51</v>
      </c>
      <c r="K63" s="4066" t="s">
        <v>421</v>
      </c>
      <c r="L63" s="4066" t="s">
        <v>422</v>
      </c>
      <c r="M63" s="3507">
        <v>1</v>
      </c>
      <c r="N63" s="3507">
        <v>0.7</v>
      </c>
      <c r="O63" s="3508"/>
      <c r="P63" s="3508"/>
      <c r="Q63" s="4067"/>
      <c r="R63" s="4068">
        <f>(W63)/S60</f>
        <v>0.19993290841999328</v>
      </c>
      <c r="S63" s="4070"/>
      <c r="T63" s="4067"/>
      <c r="U63" s="4086"/>
      <c r="V63" s="4071" t="s">
        <v>423</v>
      </c>
      <c r="W63" s="4073">
        <v>29800000</v>
      </c>
      <c r="X63" s="3527">
        <v>29747433</v>
      </c>
      <c r="Y63" s="3527">
        <v>20309000</v>
      </c>
      <c r="Z63" s="3610">
        <v>20</v>
      </c>
      <c r="AA63" s="3576" t="s">
        <v>323</v>
      </c>
      <c r="AB63" s="4055"/>
      <c r="AC63" s="4055"/>
      <c r="AD63" s="4055"/>
      <c r="AE63" s="4055"/>
      <c r="AF63" s="4055"/>
      <c r="AG63" s="4055"/>
      <c r="AH63" s="4055"/>
      <c r="AI63" s="4055"/>
      <c r="AJ63" s="4055"/>
      <c r="AK63" s="4055"/>
      <c r="AL63" s="3586"/>
      <c r="AM63" s="3586"/>
      <c r="AN63" s="4096"/>
      <c r="AO63" s="3586"/>
      <c r="AP63" s="4096"/>
      <c r="AQ63" s="3586"/>
      <c r="AR63" s="4096"/>
      <c r="AS63" s="4096"/>
      <c r="AT63" s="4096"/>
      <c r="AU63" s="4096"/>
      <c r="AV63" s="4096"/>
      <c r="AW63" s="4096"/>
      <c r="AX63" s="4096"/>
      <c r="AY63" s="4096"/>
      <c r="AZ63" s="4096"/>
      <c r="BA63" s="4096"/>
      <c r="BB63" s="4096"/>
      <c r="BC63" s="3586"/>
      <c r="BD63" s="4096"/>
      <c r="BE63" s="3586"/>
      <c r="BF63" s="4055"/>
      <c r="BG63" s="4055"/>
      <c r="BH63" s="4061"/>
      <c r="BI63" s="4055"/>
      <c r="BJ63" s="4055"/>
      <c r="BK63" s="4058"/>
      <c r="BL63" s="4055"/>
      <c r="BM63" s="4055"/>
      <c r="BN63" s="4043"/>
      <c r="BO63" s="4043"/>
      <c r="BP63" s="4043"/>
      <c r="BQ63" s="4043"/>
      <c r="BR63" s="4046"/>
      <c r="BS63" s="684"/>
      <c r="BT63" s="684"/>
      <c r="BU63" s="684"/>
      <c r="BV63" s="684"/>
      <c r="BW63" s="684"/>
      <c r="BX63" s="684"/>
      <c r="BY63" s="684"/>
      <c r="BZ63" s="684"/>
      <c r="CA63" s="684"/>
      <c r="CB63" s="684"/>
      <c r="CC63" s="684"/>
      <c r="CD63" s="684"/>
      <c r="CE63" s="684"/>
    </row>
    <row r="64" spans="1:83" ht="39" customHeight="1" x14ac:dyDescent="0.2">
      <c r="A64" s="4155"/>
      <c r="B64" s="4156"/>
      <c r="C64" s="3854"/>
      <c r="D64" s="4080"/>
      <c r="E64" s="4081"/>
      <c r="F64" s="4082"/>
      <c r="G64" s="612"/>
      <c r="H64" s="612"/>
      <c r="I64" s="612"/>
      <c r="J64" s="3508"/>
      <c r="K64" s="4067"/>
      <c r="L64" s="4067"/>
      <c r="M64" s="3508"/>
      <c r="N64" s="3508"/>
      <c r="O64" s="3509"/>
      <c r="P64" s="3509"/>
      <c r="Q64" s="4083"/>
      <c r="R64" s="4069"/>
      <c r="S64" s="4070"/>
      <c r="T64" s="4067"/>
      <c r="U64" s="4086"/>
      <c r="V64" s="4072"/>
      <c r="W64" s="4073"/>
      <c r="X64" s="3528"/>
      <c r="Y64" s="3528"/>
      <c r="Z64" s="3587"/>
      <c r="AA64" s="3576"/>
      <c r="AB64" s="4090"/>
      <c r="AC64" s="4090"/>
      <c r="AD64" s="4090"/>
      <c r="AE64" s="4090"/>
      <c r="AF64" s="4090"/>
      <c r="AG64" s="4090"/>
      <c r="AH64" s="4090"/>
      <c r="AI64" s="4090"/>
      <c r="AJ64" s="4090"/>
      <c r="AK64" s="4090"/>
      <c r="AL64" s="3587"/>
      <c r="AM64" s="3587"/>
      <c r="AN64" s="4097"/>
      <c r="AO64" s="3587"/>
      <c r="AP64" s="4097"/>
      <c r="AQ64" s="3587"/>
      <c r="AR64" s="4097"/>
      <c r="AS64" s="4097"/>
      <c r="AT64" s="4097"/>
      <c r="AU64" s="4097"/>
      <c r="AV64" s="4097"/>
      <c r="AW64" s="4097"/>
      <c r="AX64" s="4097"/>
      <c r="AY64" s="4097"/>
      <c r="AZ64" s="4097"/>
      <c r="BA64" s="4097"/>
      <c r="BB64" s="4097"/>
      <c r="BC64" s="3587"/>
      <c r="BD64" s="4097"/>
      <c r="BE64" s="3587"/>
      <c r="BF64" s="4090"/>
      <c r="BG64" s="4090"/>
      <c r="BH64" s="4061"/>
      <c r="BI64" s="4090"/>
      <c r="BJ64" s="4090"/>
      <c r="BK64" s="4094"/>
      <c r="BL64" s="4090"/>
      <c r="BM64" s="4090"/>
      <c r="BN64" s="4091"/>
      <c r="BO64" s="4091"/>
      <c r="BP64" s="4091"/>
      <c r="BQ64" s="4091"/>
      <c r="BR64" s="4092"/>
      <c r="BS64" s="684"/>
      <c r="BT64" s="684"/>
      <c r="BU64" s="684"/>
      <c r="BV64" s="684"/>
      <c r="BW64" s="684"/>
      <c r="BX64" s="684"/>
      <c r="BY64" s="684"/>
      <c r="BZ64" s="684"/>
      <c r="CA64" s="684"/>
      <c r="CB64" s="684"/>
      <c r="CC64" s="684"/>
      <c r="CD64" s="684"/>
      <c r="CE64" s="684"/>
    </row>
    <row r="65" spans="1:81" ht="15.75" x14ac:dyDescent="0.2">
      <c r="A65" s="4155"/>
      <c r="B65" s="4156"/>
      <c r="C65" s="3854"/>
      <c r="D65" s="4080"/>
      <c r="E65" s="4081"/>
      <c r="F65" s="4082"/>
      <c r="G65" s="663">
        <v>12</v>
      </c>
      <c r="H65" s="664" t="s">
        <v>424</v>
      </c>
      <c r="I65" s="664"/>
      <c r="J65" s="665"/>
      <c r="K65" s="666"/>
      <c r="L65" s="666"/>
      <c r="M65" s="665"/>
      <c r="N65" s="667"/>
      <c r="O65" s="695"/>
      <c r="P65" s="668"/>
      <c r="Q65" s="666"/>
      <c r="R65" s="669"/>
      <c r="S65" s="670"/>
      <c r="T65" s="666"/>
      <c r="U65" s="666"/>
      <c r="V65" s="666"/>
      <c r="W65" s="719"/>
      <c r="X65" s="720"/>
      <c r="Y65" s="720"/>
      <c r="Z65" s="672"/>
      <c r="AA65" s="673"/>
      <c r="AB65" s="674"/>
      <c r="AC65" s="674"/>
      <c r="AD65" s="674"/>
      <c r="AE65" s="674"/>
      <c r="AF65" s="665"/>
      <c r="AG65" s="665"/>
      <c r="AH65" s="665"/>
      <c r="AI65" s="665"/>
      <c r="AJ65" s="665"/>
      <c r="AK65" s="665"/>
      <c r="AL65" s="665"/>
      <c r="AM65" s="665"/>
      <c r="AN65" s="665"/>
      <c r="AO65" s="696"/>
      <c r="AP65" s="665"/>
      <c r="AQ65" s="696"/>
      <c r="AR65" s="665"/>
      <c r="AS65" s="665"/>
      <c r="AT65" s="665"/>
      <c r="AU65" s="665"/>
      <c r="AV65" s="665"/>
      <c r="AW65" s="665"/>
      <c r="AX65" s="665"/>
      <c r="AY65" s="665"/>
      <c r="AZ65" s="665"/>
      <c r="BA65" s="665"/>
      <c r="BB65" s="665"/>
      <c r="BC65" s="696"/>
      <c r="BD65" s="665"/>
      <c r="BE65" s="696"/>
      <c r="BF65" s="674"/>
      <c r="BG65" s="674"/>
      <c r="BH65" s="721"/>
      <c r="BI65" s="698"/>
      <c r="BJ65" s="698"/>
      <c r="BK65" s="699"/>
      <c r="BL65" s="697"/>
      <c r="BM65" s="697"/>
      <c r="BN65" s="700"/>
      <c r="BO65" s="700"/>
      <c r="BP65" s="700"/>
      <c r="BQ65" s="700"/>
      <c r="BR65" s="701"/>
    </row>
    <row r="66" spans="1:81" ht="26.25" customHeight="1" x14ac:dyDescent="0.2">
      <c r="A66" s="4155"/>
      <c r="B66" s="4156"/>
      <c r="C66" s="3854"/>
      <c r="D66" s="4080"/>
      <c r="E66" s="4081"/>
      <c r="F66" s="4082"/>
      <c r="G66" s="4078"/>
      <c r="H66" s="4078"/>
      <c r="I66" s="4079"/>
      <c r="J66" s="3507">
        <v>52</v>
      </c>
      <c r="K66" s="4066" t="s">
        <v>425</v>
      </c>
      <c r="L66" s="4066" t="s">
        <v>426</v>
      </c>
      <c r="M66" s="4100">
        <v>3</v>
      </c>
      <c r="N66" s="4100">
        <v>2</v>
      </c>
      <c r="O66" s="722"/>
      <c r="P66" s="4103" t="s">
        <v>427</v>
      </c>
      <c r="Q66" s="4066" t="s">
        <v>428</v>
      </c>
      <c r="R66" s="4068">
        <f>(W66+W68+W70+W72+W74+W76)/S66</f>
        <v>1</v>
      </c>
      <c r="S66" s="3527">
        <f>SUM(W66:W77)</f>
        <v>119240000</v>
      </c>
      <c r="T66" s="4066" t="s">
        <v>429</v>
      </c>
      <c r="U66" s="4085" t="s">
        <v>430</v>
      </c>
      <c r="V66" s="4071" t="s">
        <v>431</v>
      </c>
      <c r="W66" s="4073">
        <v>25000000</v>
      </c>
      <c r="X66" s="4074">
        <v>25000000</v>
      </c>
      <c r="Y66" s="3513">
        <v>20400000</v>
      </c>
      <c r="Z66" s="4076">
        <v>20</v>
      </c>
      <c r="AA66" s="3507" t="s">
        <v>323</v>
      </c>
      <c r="AB66" s="4054">
        <v>294321</v>
      </c>
      <c r="AC66" s="4054">
        <v>823</v>
      </c>
      <c r="AD66" s="4054">
        <v>283947</v>
      </c>
      <c r="AE66" s="4054">
        <v>819</v>
      </c>
      <c r="AF66" s="4054">
        <v>135754</v>
      </c>
      <c r="AG66" s="4054"/>
      <c r="AH66" s="4054">
        <v>44640</v>
      </c>
      <c r="AI66" s="4054"/>
      <c r="AJ66" s="4054">
        <v>308178</v>
      </c>
      <c r="AK66" s="4054">
        <f>+AC66+AE66</f>
        <v>1642</v>
      </c>
      <c r="AL66" s="3610">
        <v>89696</v>
      </c>
      <c r="AM66" s="3610"/>
      <c r="AN66" s="3610"/>
      <c r="AO66" s="3610"/>
      <c r="AP66" s="3610"/>
      <c r="AQ66" s="3610"/>
      <c r="AR66" s="3610"/>
      <c r="AS66" s="3610"/>
      <c r="AT66" s="3610"/>
      <c r="AU66" s="3610"/>
      <c r="AV66" s="3610"/>
      <c r="AW66" s="3610"/>
      <c r="AX66" s="3610"/>
      <c r="AY66" s="3610"/>
      <c r="AZ66" s="3610"/>
      <c r="BA66" s="3610"/>
      <c r="BB66" s="3610"/>
      <c r="BC66" s="3610"/>
      <c r="BD66" s="3610"/>
      <c r="BE66" s="3610"/>
      <c r="BF66" s="4054">
        <f>+AB66+AD66</f>
        <v>578268</v>
      </c>
      <c r="BG66" s="4054">
        <f>+AC66+AE66</f>
        <v>1642</v>
      </c>
      <c r="BH66" s="4060">
        <v>10</v>
      </c>
      <c r="BI66" s="4054">
        <f>+X66+X68+X70+X72+X74+X76</f>
        <v>95010000</v>
      </c>
      <c r="BJ66" s="4054">
        <f>+Y66+Y68+Y70+Y72+Y74+Y76</f>
        <v>44580000</v>
      </c>
      <c r="BK66" s="4057">
        <f>+BJ66/BI66</f>
        <v>0.46921376697189771</v>
      </c>
      <c r="BL66" s="4054" t="s">
        <v>345</v>
      </c>
      <c r="BM66" s="4054" t="s">
        <v>432</v>
      </c>
      <c r="BN66" s="4042">
        <v>43467</v>
      </c>
      <c r="BO66" s="4042">
        <v>43488</v>
      </c>
      <c r="BP66" s="4042">
        <v>43830</v>
      </c>
      <c r="BQ66" s="4042">
        <v>43830</v>
      </c>
      <c r="BR66" s="4045" t="s">
        <v>347</v>
      </c>
      <c r="BS66" s="684"/>
      <c r="BT66" s="684"/>
      <c r="BU66" s="684"/>
      <c r="BV66" s="684"/>
      <c r="BW66" s="684"/>
      <c r="BX66" s="684"/>
      <c r="BY66" s="684"/>
      <c r="BZ66" s="684"/>
      <c r="CA66" s="684"/>
      <c r="CB66" s="684"/>
      <c r="CC66" s="684"/>
    </row>
    <row r="67" spans="1:81" ht="26.25" customHeight="1" x14ac:dyDescent="0.2">
      <c r="A67" s="4155"/>
      <c r="B67" s="4156"/>
      <c r="C67" s="3854"/>
      <c r="D67" s="4080"/>
      <c r="E67" s="4081"/>
      <c r="F67" s="4082"/>
      <c r="G67" s="4081"/>
      <c r="H67" s="4081"/>
      <c r="I67" s="4082"/>
      <c r="J67" s="3508"/>
      <c r="K67" s="4067"/>
      <c r="L67" s="4067"/>
      <c r="M67" s="4101"/>
      <c r="N67" s="4101"/>
      <c r="O67" s="688"/>
      <c r="P67" s="4104"/>
      <c r="Q67" s="4067"/>
      <c r="R67" s="4069"/>
      <c r="S67" s="4070"/>
      <c r="T67" s="4067"/>
      <c r="U67" s="4086"/>
      <c r="V67" s="4072"/>
      <c r="W67" s="4073"/>
      <c r="X67" s="4075"/>
      <c r="Y67" s="3515"/>
      <c r="Z67" s="4076"/>
      <c r="AA67" s="3508"/>
      <c r="AB67" s="4055"/>
      <c r="AC67" s="4055"/>
      <c r="AD67" s="4055"/>
      <c r="AE67" s="4055"/>
      <c r="AF67" s="4055"/>
      <c r="AG67" s="4055"/>
      <c r="AH67" s="4055"/>
      <c r="AI67" s="4055"/>
      <c r="AJ67" s="4055"/>
      <c r="AK67" s="4055"/>
      <c r="AL67" s="3586"/>
      <c r="AM67" s="3586"/>
      <c r="AN67" s="3586"/>
      <c r="AO67" s="3586"/>
      <c r="AP67" s="3586"/>
      <c r="AQ67" s="3586"/>
      <c r="AR67" s="3586"/>
      <c r="AS67" s="3586"/>
      <c r="AT67" s="3586"/>
      <c r="AU67" s="3586"/>
      <c r="AV67" s="3586"/>
      <c r="AW67" s="3586"/>
      <c r="AX67" s="3586"/>
      <c r="AY67" s="3586"/>
      <c r="AZ67" s="3586"/>
      <c r="BA67" s="3586"/>
      <c r="BB67" s="3586"/>
      <c r="BC67" s="3586"/>
      <c r="BD67" s="3586"/>
      <c r="BE67" s="3586"/>
      <c r="BF67" s="4055"/>
      <c r="BG67" s="4055"/>
      <c r="BH67" s="4061"/>
      <c r="BI67" s="4055"/>
      <c r="BJ67" s="4055"/>
      <c r="BK67" s="4058"/>
      <c r="BL67" s="4055"/>
      <c r="BM67" s="4055"/>
      <c r="BN67" s="4043"/>
      <c r="BO67" s="4043"/>
      <c r="BP67" s="4043"/>
      <c r="BQ67" s="4043"/>
      <c r="BR67" s="4046"/>
      <c r="BS67" s="684"/>
      <c r="BT67" s="684"/>
      <c r="BU67" s="684"/>
      <c r="BV67" s="684"/>
      <c r="BW67" s="684"/>
      <c r="BX67" s="684"/>
      <c r="BY67" s="684"/>
      <c r="BZ67" s="684"/>
      <c r="CA67" s="684"/>
      <c r="CB67" s="684"/>
      <c r="CC67" s="684"/>
    </row>
    <row r="68" spans="1:81" ht="26.25" customHeight="1" x14ac:dyDescent="0.2">
      <c r="A68" s="4155"/>
      <c r="B68" s="4156"/>
      <c r="C68" s="3854"/>
      <c r="D68" s="4080"/>
      <c r="E68" s="4081"/>
      <c r="F68" s="4082"/>
      <c r="G68" s="4081"/>
      <c r="H68" s="4081"/>
      <c r="I68" s="4082"/>
      <c r="J68" s="3508"/>
      <c r="K68" s="4067"/>
      <c r="L68" s="4067"/>
      <c r="M68" s="4101"/>
      <c r="N68" s="4101"/>
      <c r="O68" s="688"/>
      <c r="P68" s="4104"/>
      <c r="Q68" s="4067"/>
      <c r="R68" s="4069"/>
      <c r="S68" s="4070"/>
      <c r="T68" s="4067"/>
      <c r="U68" s="4086"/>
      <c r="V68" s="4071" t="s">
        <v>433</v>
      </c>
      <c r="W68" s="4073">
        <v>25000000</v>
      </c>
      <c r="X68" s="4074">
        <f>11250000+605000</f>
        <v>11855000</v>
      </c>
      <c r="Y68" s="3513">
        <f>2798000+5464000</f>
        <v>8262000</v>
      </c>
      <c r="Z68" s="4076">
        <v>20</v>
      </c>
      <c r="AA68" s="3508"/>
      <c r="AB68" s="4055"/>
      <c r="AC68" s="4055"/>
      <c r="AD68" s="4055"/>
      <c r="AE68" s="4055"/>
      <c r="AF68" s="4055"/>
      <c r="AG68" s="4055"/>
      <c r="AH68" s="4055"/>
      <c r="AI68" s="4055"/>
      <c r="AJ68" s="4055"/>
      <c r="AK68" s="4055"/>
      <c r="AL68" s="3586"/>
      <c r="AM68" s="3586"/>
      <c r="AN68" s="3586"/>
      <c r="AO68" s="3586"/>
      <c r="AP68" s="3586"/>
      <c r="AQ68" s="3586"/>
      <c r="AR68" s="3586"/>
      <c r="AS68" s="3586"/>
      <c r="AT68" s="3586"/>
      <c r="AU68" s="3586"/>
      <c r="AV68" s="3586"/>
      <c r="AW68" s="3586"/>
      <c r="AX68" s="3586"/>
      <c r="AY68" s="3586"/>
      <c r="AZ68" s="3586"/>
      <c r="BA68" s="3586"/>
      <c r="BB68" s="3586"/>
      <c r="BC68" s="3586"/>
      <c r="BD68" s="3586"/>
      <c r="BE68" s="3586"/>
      <c r="BF68" s="4055"/>
      <c r="BG68" s="4055"/>
      <c r="BH68" s="4061"/>
      <c r="BI68" s="4055"/>
      <c r="BJ68" s="4055"/>
      <c r="BK68" s="4058"/>
      <c r="BL68" s="4055"/>
      <c r="BM68" s="4055"/>
      <c r="BN68" s="4043"/>
      <c r="BO68" s="4043"/>
      <c r="BP68" s="4043"/>
      <c r="BQ68" s="4043"/>
      <c r="BR68" s="4046"/>
      <c r="BS68" s="684"/>
      <c r="BT68" s="684"/>
      <c r="BU68" s="684"/>
      <c r="BV68" s="684"/>
      <c r="BW68" s="684"/>
      <c r="BX68" s="684"/>
      <c r="BY68" s="684"/>
      <c r="BZ68" s="684"/>
      <c r="CA68" s="684"/>
      <c r="CB68" s="684"/>
      <c r="CC68" s="684"/>
    </row>
    <row r="69" spans="1:81" ht="26.25" customHeight="1" x14ac:dyDescent="0.2">
      <c r="A69" s="4155"/>
      <c r="B69" s="4156"/>
      <c r="C69" s="3854"/>
      <c r="D69" s="4080"/>
      <c r="E69" s="4081"/>
      <c r="F69" s="4082"/>
      <c r="G69" s="4081"/>
      <c r="H69" s="4081"/>
      <c r="I69" s="4082"/>
      <c r="J69" s="3508"/>
      <c r="K69" s="4067"/>
      <c r="L69" s="4067"/>
      <c r="M69" s="4101"/>
      <c r="N69" s="4101"/>
      <c r="O69" s="688"/>
      <c r="P69" s="4104"/>
      <c r="Q69" s="4067"/>
      <c r="R69" s="4069"/>
      <c r="S69" s="4070"/>
      <c r="T69" s="4067"/>
      <c r="U69" s="4086"/>
      <c r="V69" s="4072"/>
      <c r="W69" s="4073"/>
      <c r="X69" s="4075"/>
      <c r="Y69" s="3515"/>
      <c r="Z69" s="4076"/>
      <c r="AA69" s="3508"/>
      <c r="AB69" s="4055"/>
      <c r="AC69" s="4055"/>
      <c r="AD69" s="4055"/>
      <c r="AE69" s="4055"/>
      <c r="AF69" s="4055"/>
      <c r="AG69" s="4055"/>
      <c r="AH69" s="4055"/>
      <c r="AI69" s="4055"/>
      <c r="AJ69" s="4055"/>
      <c r="AK69" s="4055"/>
      <c r="AL69" s="3586"/>
      <c r="AM69" s="3586"/>
      <c r="AN69" s="3586"/>
      <c r="AO69" s="3586"/>
      <c r="AP69" s="3586"/>
      <c r="AQ69" s="3586"/>
      <c r="AR69" s="3586"/>
      <c r="AS69" s="3586"/>
      <c r="AT69" s="3586"/>
      <c r="AU69" s="3586"/>
      <c r="AV69" s="3586"/>
      <c r="AW69" s="3586"/>
      <c r="AX69" s="3586"/>
      <c r="AY69" s="3586"/>
      <c r="AZ69" s="3586"/>
      <c r="BA69" s="3586"/>
      <c r="BB69" s="3586"/>
      <c r="BC69" s="3586"/>
      <c r="BD69" s="3586"/>
      <c r="BE69" s="3586"/>
      <c r="BF69" s="4055"/>
      <c r="BG69" s="4055"/>
      <c r="BH69" s="4061"/>
      <c r="BI69" s="4055"/>
      <c r="BJ69" s="4055"/>
      <c r="BK69" s="4058"/>
      <c r="BL69" s="4055"/>
      <c r="BM69" s="4055"/>
      <c r="BN69" s="4043"/>
      <c r="BO69" s="4043"/>
      <c r="BP69" s="4043"/>
      <c r="BQ69" s="4043"/>
      <c r="BR69" s="4046"/>
      <c r="BS69" s="684"/>
      <c r="BT69" s="684"/>
      <c r="BU69" s="684"/>
      <c r="BV69" s="684"/>
      <c r="BW69" s="684"/>
      <c r="BX69" s="684"/>
      <c r="BY69" s="684"/>
      <c r="BZ69" s="684"/>
      <c r="CA69" s="684"/>
      <c r="CB69" s="684"/>
      <c r="CC69" s="684"/>
    </row>
    <row r="70" spans="1:81" ht="26.25" customHeight="1" x14ac:dyDescent="0.2">
      <c r="A70" s="4155"/>
      <c r="B70" s="4156"/>
      <c r="C70" s="3854"/>
      <c r="D70" s="4080"/>
      <c r="E70" s="4081"/>
      <c r="F70" s="4082"/>
      <c r="G70" s="4081"/>
      <c r="H70" s="4081"/>
      <c r="I70" s="4082"/>
      <c r="J70" s="3508"/>
      <c r="K70" s="4067"/>
      <c r="L70" s="4067"/>
      <c r="M70" s="4101"/>
      <c r="N70" s="4101"/>
      <c r="O70" s="688" t="s">
        <v>434</v>
      </c>
      <c r="P70" s="4104"/>
      <c r="Q70" s="4067"/>
      <c r="R70" s="4069"/>
      <c r="S70" s="4070"/>
      <c r="T70" s="4067"/>
      <c r="U70" s="4086"/>
      <c r="V70" s="4071" t="s">
        <v>435</v>
      </c>
      <c r="W70" s="4073">
        <v>30000000</v>
      </c>
      <c r="X70" s="4074">
        <v>30000000</v>
      </c>
      <c r="Y70" s="3513">
        <v>7595000</v>
      </c>
      <c r="Z70" s="4076">
        <v>20</v>
      </c>
      <c r="AA70" s="3508"/>
      <c r="AB70" s="4055"/>
      <c r="AC70" s="4055"/>
      <c r="AD70" s="4055"/>
      <c r="AE70" s="4055"/>
      <c r="AF70" s="4055"/>
      <c r="AG70" s="4055"/>
      <c r="AH70" s="4055"/>
      <c r="AI70" s="4055"/>
      <c r="AJ70" s="4055"/>
      <c r="AK70" s="4055"/>
      <c r="AL70" s="3586"/>
      <c r="AM70" s="3586"/>
      <c r="AN70" s="3586"/>
      <c r="AO70" s="3586"/>
      <c r="AP70" s="3586"/>
      <c r="AQ70" s="3586"/>
      <c r="AR70" s="3586"/>
      <c r="AS70" s="3586"/>
      <c r="AT70" s="3586"/>
      <c r="AU70" s="3586"/>
      <c r="AV70" s="3586"/>
      <c r="AW70" s="3586"/>
      <c r="AX70" s="3586"/>
      <c r="AY70" s="3586"/>
      <c r="AZ70" s="3586"/>
      <c r="BA70" s="3586"/>
      <c r="BB70" s="3586"/>
      <c r="BC70" s="3586"/>
      <c r="BD70" s="3586"/>
      <c r="BE70" s="3586"/>
      <c r="BF70" s="4055"/>
      <c r="BG70" s="4055"/>
      <c r="BH70" s="4061"/>
      <c r="BI70" s="4055"/>
      <c r="BJ70" s="4055"/>
      <c r="BK70" s="4058"/>
      <c r="BL70" s="4055"/>
      <c r="BM70" s="4055"/>
      <c r="BN70" s="4043"/>
      <c r="BO70" s="4043"/>
      <c r="BP70" s="4043"/>
      <c r="BQ70" s="4043"/>
      <c r="BR70" s="4046"/>
      <c r="BS70" s="684"/>
      <c r="BT70" s="684"/>
      <c r="BU70" s="684"/>
      <c r="BV70" s="684"/>
      <c r="BW70" s="684"/>
      <c r="BX70" s="684"/>
      <c r="BY70" s="684"/>
      <c r="BZ70" s="684"/>
      <c r="CA70" s="684"/>
      <c r="CB70" s="684"/>
      <c r="CC70" s="684"/>
    </row>
    <row r="71" spans="1:81" ht="26.25" customHeight="1" x14ac:dyDescent="0.2">
      <c r="A71" s="4155"/>
      <c r="B71" s="4156"/>
      <c r="C71" s="3854"/>
      <c r="D71" s="4080"/>
      <c r="E71" s="4081"/>
      <c r="F71" s="4082"/>
      <c r="G71" s="4081"/>
      <c r="H71" s="4081"/>
      <c r="I71" s="4082"/>
      <c r="J71" s="3508"/>
      <c r="K71" s="4067"/>
      <c r="L71" s="4067"/>
      <c r="M71" s="4101"/>
      <c r="N71" s="4101"/>
      <c r="O71" s="688"/>
      <c r="P71" s="4104"/>
      <c r="Q71" s="4067"/>
      <c r="R71" s="4069"/>
      <c r="S71" s="4070"/>
      <c r="T71" s="4067"/>
      <c r="U71" s="4086"/>
      <c r="V71" s="4072"/>
      <c r="W71" s="4073"/>
      <c r="X71" s="4075"/>
      <c r="Y71" s="3515"/>
      <c r="Z71" s="4076"/>
      <c r="AA71" s="3508"/>
      <c r="AB71" s="4055"/>
      <c r="AC71" s="4055"/>
      <c r="AD71" s="4055"/>
      <c r="AE71" s="4055"/>
      <c r="AF71" s="4055"/>
      <c r="AG71" s="4055"/>
      <c r="AH71" s="4055"/>
      <c r="AI71" s="4055"/>
      <c r="AJ71" s="4055"/>
      <c r="AK71" s="4055"/>
      <c r="AL71" s="3586"/>
      <c r="AM71" s="3586"/>
      <c r="AN71" s="3586"/>
      <c r="AO71" s="3586"/>
      <c r="AP71" s="3586"/>
      <c r="AQ71" s="3586"/>
      <c r="AR71" s="3586"/>
      <c r="AS71" s="3586"/>
      <c r="AT71" s="3586"/>
      <c r="AU71" s="3586"/>
      <c r="AV71" s="3586"/>
      <c r="AW71" s="3586"/>
      <c r="AX71" s="3586"/>
      <c r="AY71" s="3586"/>
      <c r="AZ71" s="3586"/>
      <c r="BA71" s="3586"/>
      <c r="BB71" s="3586"/>
      <c r="BC71" s="3586"/>
      <c r="BD71" s="3586"/>
      <c r="BE71" s="3586"/>
      <c r="BF71" s="4055"/>
      <c r="BG71" s="4055"/>
      <c r="BH71" s="4061"/>
      <c r="BI71" s="4055"/>
      <c r="BJ71" s="4055"/>
      <c r="BK71" s="4058"/>
      <c r="BL71" s="4055"/>
      <c r="BM71" s="4055"/>
      <c r="BN71" s="4043"/>
      <c r="BO71" s="4043"/>
      <c r="BP71" s="4043"/>
      <c r="BQ71" s="4043"/>
      <c r="BR71" s="4046"/>
      <c r="BS71" s="684"/>
      <c r="BT71" s="684"/>
      <c r="BU71" s="684"/>
      <c r="BV71" s="684"/>
      <c r="BW71" s="684"/>
      <c r="BX71" s="684"/>
      <c r="BY71" s="684"/>
      <c r="BZ71" s="684"/>
      <c r="CA71" s="684"/>
      <c r="CB71" s="684"/>
      <c r="CC71" s="684"/>
    </row>
    <row r="72" spans="1:81" ht="26.25" customHeight="1" x14ac:dyDescent="0.2">
      <c r="A72" s="4155"/>
      <c r="B72" s="4156"/>
      <c r="C72" s="3854"/>
      <c r="D72" s="4080"/>
      <c r="E72" s="4081"/>
      <c r="F72" s="4082"/>
      <c r="G72" s="4081"/>
      <c r="H72" s="4081"/>
      <c r="I72" s="4082"/>
      <c r="J72" s="3508"/>
      <c r="K72" s="4067"/>
      <c r="L72" s="4067"/>
      <c r="M72" s="4101"/>
      <c r="N72" s="4101"/>
      <c r="O72" s="688"/>
      <c r="P72" s="4104"/>
      <c r="Q72" s="4067"/>
      <c r="R72" s="4069"/>
      <c r="S72" s="4070"/>
      <c r="T72" s="4067"/>
      <c r="U72" s="4086"/>
      <c r="V72" s="4071" t="s">
        <v>436</v>
      </c>
      <c r="W72" s="4073">
        <v>12000000</v>
      </c>
      <c r="X72" s="4074">
        <f>95010000-89510000</f>
        <v>5500000</v>
      </c>
      <c r="Y72" s="3513"/>
      <c r="Z72" s="4076">
        <v>20</v>
      </c>
      <c r="AA72" s="3508"/>
      <c r="AB72" s="4055"/>
      <c r="AC72" s="4055"/>
      <c r="AD72" s="4055"/>
      <c r="AE72" s="4055"/>
      <c r="AF72" s="4055"/>
      <c r="AG72" s="4055"/>
      <c r="AH72" s="4055"/>
      <c r="AI72" s="4055"/>
      <c r="AJ72" s="4055"/>
      <c r="AK72" s="4055"/>
      <c r="AL72" s="3586"/>
      <c r="AM72" s="3586"/>
      <c r="AN72" s="3586"/>
      <c r="AO72" s="3586"/>
      <c r="AP72" s="3586"/>
      <c r="AQ72" s="3586"/>
      <c r="AR72" s="3586"/>
      <c r="AS72" s="3586"/>
      <c r="AT72" s="3586"/>
      <c r="AU72" s="3586"/>
      <c r="AV72" s="3586"/>
      <c r="AW72" s="3586"/>
      <c r="AX72" s="3586"/>
      <c r="AY72" s="3586"/>
      <c r="AZ72" s="3586"/>
      <c r="BA72" s="3586"/>
      <c r="BB72" s="3586"/>
      <c r="BC72" s="3586"/>
      <c r="BD72" s="3586"/>
      <c r="BE72" s="3586"/>
      <c r="BF72" s="4055"/>
      <c r="BG72" s="4055"/>
      <c r="BH72" s="4061"/>
      <c r="BI72" s="4055"/>
      <c r="BJ72" s="4055"/>
      <c r="BK72" s="4058"/>
      <c r="BL72" s="4055"/>
      <c r="BM72" s="4055"/>
      <c r="BN72" s="4043"/>
      <c r="BO72" s="4043"/>
      <c r="BP72" s="4043"/>
      <c r="BQ72" s="4043"/>
      <c r="BR72" s="4046"/>
      <c r="BS72" s="684"/>
      <c r="BT72" s="684"/>
      <c r="BU72" s="684"/>
      <c r="BV72" s="684"/>
      <c r="BW72" s="684"/>
      <c r="BX72" s="684"/>
      <c r="BY72" s="684"/>
      <c r="BZ72" s="684"/>
      <c r="CA72" s="684"/>
      <c r="CB72" s="684"/>
      <c r="CC72" s="684"/>
    </row>
    <row r="73" spans="1:81" ht="26.25" customHeight="1" x14ac:dyDescent="0.2">
      <c r="A73" s="4155"/>
      <c r="B73" s="4156"/>
      <c r="C73" s="3854"/>
      <c r="D73" s="4080"/>
      <c r="E73" s="4081"/>
      <c r="F73" s="4082"/>
      <c r="G73" s="4081"/>
      <c r="H73" s="4081"/>
      <c r="I73" s="4082"/>
      <c r="J73" s="3508"/>
      <c r="K73" s="4067"/>
      <c r="L73" s="4067"/>
      <c r="M73" s="4101"/>
      <c r="N73" s="4101"/>
      <c r="O73" s="688"/>
      <c r="P73" s="4104"/>
      <c r="Q73" s="4067"/>
      <c r="R73" s="4069"/>
      <c r="S73" s="4070"/>
      <c r="T73" s="4067"/>
      <c r="U73" s="4086"/>
      <c r="V73" s="4072"/>
      <c r="W73" s="4073"/>
      <c r="X73" s="4075"/>
      <c r="Y73" s="3515"/>
      <c r="Z73" s="4076"/>
      <c r="AA73" s="3508"/>
      <c r="AB73" s="4055"/>
      <c r="AC73" s="4055"/>
      <c r="AD73" s="4055"/>
      <c r="AE73" s="4055"/>
      <c r="AF73" s="4055"/>
      <c r="AG73" s="4055"/>
      <c r="AH73" s="4055"/>
      <c r="AI73" s="4055"/>
      <c r="AJ73" s="4055"/>
      <c r="AK73" s="4055"/>
      <c r="AL73" s="3586"/>
      <c r="AM73" s="3586"/>
      <c r="AN73" s="3586"/>
      <c r="AO73" s="3586"/>
      <c r="AP73" s="3586"/>
      <c r="AQ73" s="3586"/>
      <c r="AR73" s="3586"/>
      <c r="AS73" s="3586"/>
      <c r="AT73" s="3586"/>
      <c r="AU73" s="3586"/>
      <c r="AV73" s="3586"/>
      <c r="AW73" s="3586"/>
      <c r="AX73" s="3586"/>
      <c r="AY73" s="3586"/>
      <c r="AZ73" s="3586"/>
      <c r="BA73" s="3586"/>
      <c r="BB73" s="3586"/>
      <c r="BC73" s="3586"/>
      <c r="BD73" s="3586"/>
      <c r="BE73" s="3586"/>
      <c r="BF73" s="4055"/>
      <c r="BG73" s="4055"/>
      <c r="BH73" s="4061"/>
      <c r="BI73" s="4055"/>
      <c r="BJ73" s="4055"/>
      <c r="BK73" s="4058"/>
      <c r="BL73" s="4055"/>
      <c r="BM73" s="4055"/>
      <c r="BN73" s="4043"/>
      <c r="BO73" s="4043"/>
      <c r="BP73" s="4043"/>
      <c r="BQ73" s="4043"/>
      <c r="BR73" s="4046"/>
      <c r="BS73" s="684"/>
      <c r="BT73" s="684"/>
      <c r="BU73" s="684"/>
      <c r="BV73" s="684"/>
      <c r="BW73" s="684"/>
      <c r="BX73" s="684"/>
      <c r="BY73" s="684"/>
      <c r="BZ73" s="684"/>
      <c r="CA73" s="684"/>
      <c r="CB73" s="684"/>
      <c r="CC73" s="684"/>
    </row>
    <row r="74" spans="1:81" ht="26.25" customHeight="1" x14ac:dyDescent="0.2">
      <c r="A74" s="4155"/>
      <c r="B74" s="4156"/>
      <c r="C74" s="3854"/>
      <c r="D74" s="4080"/>
      <c r="E74" s="4081"/>
      <c r="F74" s="4082"/>
      <c r="G74" s="4081"/>
      <c r="H74" s="4081"/>
      <c r="I74" s="4082"/>
      <c r="J74" s="3508"/>
      <c r="K74" s="4067"/>
      <c r="L74" s="4067"/>
      <c r="M74" s="4101"/>
      <c r="N74" s="4101"/>
      <c r="O74" s="688"/>
      <c r="P74" s="4104"/>
      <c r="Q74" s="4067"/>
      <c r="R74" s="4069"/>
      <c r="S74" s="4070"/>
      <c r="T74" s="4067"/>
      <c r="U74" s="4086"/>
      <c r="V74" s="4071" t="s">
        <v>437</v>
      </c>
      <c r="W74" s="4073">
        <v>4740000</v>
      </c>
      <c r="X74" s="4074">
        <v>4740000</v>
      </c>
      <c r="Y74" s="3513">
        <v>4740000</v>
      </c>
      <c r="Z74" s="4076">
        <v>20</v>
      </c>
      <c r="AA74" s="3508"/>
      <c r="AB74" s="4055"/>
      <c r="AC74" s="4055"/>
      <c r="AD74" s="4055"/>
      <c r="AE74" s="4055"/>
      <c r="AF74" s="4055"/>
      <c r="AG74" s="4055"/>
      <c r="AH74" s="4055"/>
      <c r="AI74" s="4055"/>
      <c r="AJ74" s="4055"/>
      <c r="AK74" s="4055"/>
      <c r="AL74" s="3586"/>
      <c r="AM74" s="3586"/>
      <c r="AN74" s="3586"/>
      <c r="AO74" s="3586"/>
      <c r="AP74" s="3586"/>
      <c r="AQ74" s="3586"/>
      <c r="AR74" s="3586"/>
      <c r="AS74" s="3586"/>
      <c r="AT74" s="3586"/>
      <c r="AU74" s="3586"/>
      <c r="AV74" s="3586"/>
      <c r="AW74" s="3586"/>
      <c r="AX74" s="3586"/>
      <c r="AY74" s="3586"/>
      <c r="AZ74" s="3586"/>
      <c r="BA74" s="3586"/>
      <c r="BB74" s="3586"/>
      <c r="BC74" s="3586"/>
      <c r="BD74" s="3586"/>
      <c r="BE74" s="3586"/>
      <c r="BF74" s="4055"/>
      <c r="BG74" s="4055"/>
      <c r="BH74" s="4061"/>
      <c r="BI74" s="4055"/>
      <c r="BJ74" s="4055"/>
      <c r="BK74" s="4058"/>
      <c r="BL74" s="4055"/>
      <c r="BM74" s="4055"/>
      <c r="BN74" s="4043"/>
      <c r="BO74" s="4043"/>
      <c r="BP74" s="4043"/>
      <c r="BQ74" s="4043"/>
      <c r="BR74" s="4046"/>
      <c r="BS74" s="684"/>
      <c r="BT74" s="684"/>
      <c r="BU74" s="684"/>
      <c r="BV74" s="684"/>
      <c r="BW74" s="684"/>
      <c r="BX74" s="684"/>
      <c r="BY74" s="684"/>
      <c r="BZ74" s="684"/>
      <c r="CA74" s="684"/>
      <c r="CB74" s="684"/>
      <c r="CC74" s="684"/>
    </row>
    <row r="75" spans="1:81" ht="26.25" customHeight="1" x14ac:dyDescent="0.2">
      <c r="A75" s="4155"/>
      <c r="B75" s="4156"/>
      <c r="C75" s="3854"/>
      <c r="D75" s="4080"/>
      <c r="E75" s="4081"/>
      <c r="F75" s="4082"/>
      <c r="G75" s="4081"/>
      <c r="H75" s="4081"/>
      <c r="I75" s="4082"/>
      <c r="J75" s="3508"/>
      <c r="K75" s="4067"/>
      <c r="L75" s="4067"/>
      <c r="M75" s="4101"/>
      <c r="N75" s="4101"/>
      <c r="O75" s="688"/>
      <c r="P75" s="4104"/>
      <c r="Q75" s="4067"/>
      <c r="R75" s="4069"/>
      <c r="S75" s="4070"/>
      <c r="T75" s="4067"/>
      <c r="U75" s="4086"/>
      <c r="V75" s="4072"/>
      <c r="W75" s="4073"/>
      <c r="X75" s="4075"/>
      <c r="Y75" s="3515"/>
      <c r="Z75" s="4076"/>
      <c r="AA75" s="3508"/>
      <c r="AB75" s="4055"/>
      <c r="AC75" s="4055"/>
      <c r="AD75" s="4055"/>
      <c r="AE75" s="4055"/>
      <c r="AF75" s="4055"/>
      <c r="AG75" s="4055"/>
      <c r="AH75" s="4055"/>
      <c r="AI75" s="4055"/>
      <c r="AJ75" s="4055"/>
      <c r="AK75" s="4055"/>
      <c r="AL75" s="3586"/>
      <c r="AM75" s="3586"/>
      <c r="AN75" s="3586"/>
      <c r="AO75" s="3586"/>
      <c r="AP75" s="3586"/>
      <c r="AQ75" s="3586"/>
      <c r="AR75" s="3586"/>
      <c r="AS75" s="3586"/>
      <c r="AT75" s="3586"/>
      <c r="AU75" s="3586"/>
      <c r="AV75" s="3586"/>
      <c r="AW75" s="3586"/>
      <c r="AX75" s="3586"/>
      <c r="AY75" s="3586"/>
      <c r="AZ75" s="3586"/>
      <c r="BA75" s="3586"/>
      <c r="BB75" s="3586"/>
      <c r="BC75" s="3586"/>
      <c r="BD75" s="3586"/>
      <c r="BE75" s="3586"/>
      <c r="BF75" s="4055"/>
      <c r="BG75" s="4055"/>
      <c r="BH75" s="4061"/>
      <c r="BI75" s="4055"/>
      <c r="BJ75" s="4055"/>
      <c r="BK75" s="4058"/>
      <c r="BL75" s="4055"/>
      <c r="BM75" s="4055"/>
      <c r="BN75" s="4043"/>
      <c r="BO75" s="4043"/>
      <c r="BP75" s="4043"/>
      <c r="BQ75" s="4043"/>
      <c r="BR75" s="4046"/>
      <c r="BS75" s="684"/>
      <c r="BT75" s="684"/>
      <c r="BU75" s="684"/>
      <c r="BV75" s="684"/>
      <c r="BW75" s="684"/>
      <c r="BX75" s="684"/>
      <c r="BY75" s="684"/>
      <c r="BZ75" s="684"/>
      <c r="CA75" s="684"/>
      <c r="CB75" s="684"/>
      <c r="CC75" s="684"/>
    </row>
    <row r="76" spans="1:81" ht="26.25" customHeight="1" x14ac:dyDescent="0.2">
      <c r="A76" s="4155"/>
      <c r="B76" s="4156"/>
      <c r="C76" s="3854"/>
      <c r="D76" s="4080"/>
      <c r="E76" s="4081"/>
      <c r="F76" s="4082"/>
      <c r="G76" s="4081"/>
      <c r="H76" s="4081"/>
      <c r="I76" s="4082"/>
      <c r="J76" s="3508"/>
      <c r="K76" s="4067"/>
      <c r="L76" s="4067"/>
      <c r="M76" s="4101"/>
      <c r="N76" s="4101"/>
      <c r="O76" s="688"/>
      <c r="P76" s="4104"/>
      <c r="Q76" s="4067"/>
      <c r="R76" s="4069"/>
      <c r="S76" s="4070"/>
      <c r="T76" s="4067"/>
      <c r="U76" s="4086"/>
      <c r="V76" s="4071" t="s">
        <v>438</v>
      </c>
      <c r="W76" s="4073">
        <v>22500000</v>
      </c>
      <c r="X76" s="4074">
        <v>17915000</v>
      </c>
      <c r="Y76" s="3513">
        <v>3583000</v>
      </c>
      <c r="Z76" s="4076">
        <v>20</v>
      </c>
      <c r="AA76" s="3508"/>
      <c r="AB76" s="4055"/>
      <c r="AC76" s="4055"/>
      <c r="AD76" s="4055"/>
      <c r="AE76" s="4055"/>
      <c r="AF76" s="4055"/>
      <c r="AG76" s="4055"/>
      <c r="AH76" s="4055"/>
      <c r="AI76" s="4055"/>
      <c r="AJ76" s="4055"/>
      <c r="AK76" s="4055"/>
      <c r="AL76" s="3586"/>
      <c r="AM76" s="3586"/>
      <c r="AN76" s="3586"/>
      <c r="AO76" s="3586"/>
      <c r="AP76" s="3586"/>
      <c r="AQ76" s="3586"/>
      <c r="AR76" s="3586"/>
      <c r="AS76" s="3586"/>
      <c r="AT76" s="3586"/>
      <c r="AU76" s="3586"/>
      <c r="AV76" s="3586"/>
      <c r="AW76" s="3586"/>
      <c r="AX76" s="3586"/>
      <c r="AY76" s="3586"/>
      <c r="AZ76" s="3586"/>
      <c r="BA76" s="3586"/>
      <c r="BB76" s="3586"/>
      <c r="BC76" s="3586"/>
      <c r="BD76" s="3586"/>
      <c r="BE76" s="3586"/>
      <c r="BF76" s="4055"/>
      <c r="BG76" s="4055"/>
      <c r="BH76" s="4061"/>
      <c r="BI76" s="4055"/>
      <c r="BJ76" s="4055"/>
      <c r="BK76" s="4058"/>
      <c r="BL76" s="4055"/>
      <c r="BM76" s="4055"/>
      <c r="BN76" s="4043"/>
      <c r="BO76" s="4043"/>
      <c r="BP76" s="4043"/>
      <c r="BQ76" s="4043"/>
      <c r="BR76" s="4046"/>
      <c r="BS76" s="684"/>
      <c r="BT76" s="684"/>
      <c r="BU76" s="684"/>
      <c r="BV76" s="684"/>
      <c r="BW76" s="684"/>
      <c r="BX76" s="684"/>
      <c r="BY76" s="684"/>
      <c r="BZ76" s="684"/>
      <c r="CA76" s="684"/>
      <c r="CB76" s="684"/>
      <c r="CC76" s="684"/>
    </row>
    <row r="77" spans="1:81" ht="26.25" customHeight="1" x14ac:dyDescent="0.2">
      <c r="A77" s="4155"/>
      <c r="B77" s="4156"/>
      <c r="C77" s="3854"/>
      <c r="D77" s="4080"/>
      <c r="E77" s="4081"/>
      <c r="F77" s="4082"/>
      <c r="G77" s="4098"/>
      <c r="H77" s="4098"/>
      <c r="I77" s="4099"/>
      <c r="J77" s="3509"/>
      <c r="K77" s="4083"/>
      <c r="L77" s="4083"/>
      <c r="M77" s="4102"/>
      <c r="N77" s="4102"/>
      <c r="O77" s="711"/>
      <c r="P77" s="4105"/>
      <c r="Q77" s="4083"/>
      <c r="R77" s="4084"/>
      <c r="S77" s="3528"/>
      <c r="T77" s="4083"/>
      <c r="U77" s="4087"/>
      <c r="V77" s="4072"/>
      <c r="W77" s="4073"/>
      <c r="X77" s="4075"/>
      <c r="Y77" s="3515"/>
      <c r="Z77" s="4076"/>
      <c r="AA77" s="3509"/>
      <c r="AB77" s="4090"/>
      <c r="AC77" s="4090"/>
      <c r="AD77" s="4090"/>
      <c r="AE77" s="4090"/>
      <c r="AF77" s="4090"/>
      <c r="AG77" s="4090"/>
      <c r="AH77" s="4090"/>
      <c r="AI77" s="4090"/>
      <c r="AJ77" s="4090"/>
      <c r="AK77" s="4090"/>
      <c r="AL77" s="3587"/>
      <c r="AM77" s="3587"/>
      <c r="AN77" s="3587"/>
      <c r="AO77" s="3587"/>
      <c r="AP77" s="3587"/>
      <c r="AQ77" s="3587"/>
      <c r="AR77" s="3587"/>
      <c r="AS77" s="3587"/>
      <c r="AT77" s="3587"/>
      <c r="AU77" s="3587"/>
      <c r="AV77" s="3587"/>
      <c r="AW77" s="3587"/>
      <c r="AX77" s="3587"/>
      <c r="AY77" s="3587"/>
      <c r="AZ77" s="3587"/>
      <c r="BA77" s="3587"/>
      <c r="BB77" s="3587"/>
      <c r="BC77" s="3587"/>
      <c r="BD77" s="3587"/>
      <c r="BE77" s="3587"/>
      <c r="BF77" s="4090"/>
      <c r="BG77" s="4090"/>
      <c r="BH77" s="4093"/>
      <c r="BI77" s="4090"/>
      <c r="BJ77" s="4090"/>
      <c r="BK77" s="4094"/>
      <c r="BL77" s="4090"/>
      <c r="BM77" s="4090"/>
      <c r="BN77" s="4091"/>
      <c r="BO77" s="4091"/>
      <c r="BP77" s="4091"/>
      <c r="BQ77" s="4091"/>
      <c r="BR77" s="4092"/>
      <c r="BS77" s="684"/>
      <c r="BT77" s="684"/>
      <c r="BU77" s="684"/>
      <c r="BV77" s="684"/>
      <c r="BW77" s="684"/>
      <c r="BX77" s="684"/>
      <c r="BY77" s="684"/>
      <c r="BZ77" s="684"/>
      <c r="CA77" s="684"/>
      <c r="CB77" s="684"/>
      <c r="CC77" s="684"/>
    </row>
    <row r="78" spans="1:81" ht="15.75" x14ac:dyDescent="0.2">
      <c r="A78" s="4155"/>
      <c r="B78" s="4156"/>
      <c r="C78" s="3854"/>
      <c r="D78" s="4080"/>
      <c r="E78" s="4081"/>
      <c r="F78" s="4082"/>
      <c r="G78" s="663">
        <v>13</v>
      </c>
      <c r="H78" s="664" t="s">
        <v>439</v>
      </c>
      <c r="I78" s="664"/>
      <c r="J78" s="723"/>
      <c r="K78" s="724"/>
      <c r="L78" s="724"/>
      <c r="M78" s="723"/>
      <c r="N78" s="723"/>
      <c r="O78" s="725"/>
      <c r="P78" s="726"/>
      <c r="Q78" s="724"/>
      <c r="R78" s="706"/>
      <c r="S78" s="727"/>
      <c r="T78" s="724"/>
      <c r="U78" s="724"/>
      <c r="V78" s="728"/>
      <c r="W78" s="692"/>
      <c r="X78" s="708"/>
      <c r="Y78" s="708"/>
      <c r="Z78" s="709"/>
      <c r="AA78" s="710"/>
      <c r="AB78" s="729"/>
      <c r="AC78" s="729"/>
      <c r="AD78" s="729"/>
      <c r="AE78" s="729"/>
      <c r="AF78" s="723"/>
      <c r="AG78" s="723"/>
      <c r="AH78" s="723"/>
      <c r="AI78" s="723"/>
      <c r="AJ78" s="723"/>
      <c r="AK78" s="723"/>
      <c r="AL78" s="723"/>
      <c r="AM78" s="723"/>
      <c r="AN78" s="723"/>
      <c r="AO78" s="730"/>
      <c r="AP78" s="723"/>
      <c r="AQ78" s="730"/>
      <c r="AR78" s="723"/>
      <c r="AS78" s="723"/>
      <c r="AT78" s="723"/>
      <c r="AU78" s="723"/>
      <c r="AV78" s="723"/>
      <c r="AW78" s="723"/>
      <c r="AX78" s="723"/>
      <c r="AY78" s="723"/>
      <c r="AZ78" s="723"/>
      <c r="BA78" s="723"/>
      <c r="BB78" s="723"/>
      <c r="BC78" s="730"/>
      <c r="BD78" s="723"/>
      <c r="BE78" s="730"/>
      <c r="BF78" s="729"/>
      <c r="BG78" s="729"/>
      <c r="BH78" s="731"/>
      <c r="BI78" s="732"/>
      <c r="BJ78" s="732"/>
      <c r="BK78" s="733"/>
      <c r="BL78" s="734"/>
      <c r="BM78" s="734"/>
      <c r="BN78" s="735"/>
      <c r="BO78" s="735"/>
      <c r="BP78" s="735"/>
      <c r="BQ78" s="735"/>
      <c r="BR78" s="736"/>
    </row>
    <row r="79" spans="1:81" ht="38.25" customHeight="1" x14ac:dyDescent="0.2">
      <c r="A79" s="4155"/>
      <c r="B79" s="4156"/>
      <c r="C79" s="3854"/>
      <c r="D79" s="4080"/>
      <c r="E79" s="4081"/>
      <c r="F79" s="4082"/>
      <c r="G79" s="4077"/>
      <c r="H79" s="4078"/>
      <c r="I79" s="4079"/>
      <c r="J79" s="3508">
        <v>53</v>
      </c>
      <c r="K79" s="4066" t="s">
        <v>440</v>
      </c>
      <c r="L79" s="4066" t="s">
        <v>441</v>
      </c>
      <c r="M79" s="3507">
        <v>1</v>
      </c>
      <c r="N79" s="3507">
        <v>0.8</v>
      </c>
      <c r="O79" s="3507" t="s">
        <v>442</v>
      </c>
      <c r="P79" s="3507" t="s">
        <v>443</v>
      </c>
      <c r="Q79" s="4066" t="s">
        <v>444</v>
      </c>
      <c r="R79" s="4068">
        <f>SUM(W79:W84)/S79</f>
        <v>1</v>
      </c>
      <c r="S79" s="3527">
        <f>SUM(W79:W84)</f>
        <v>1431890390</v>
      </c>
      <c r="T79" s="4066" t="s">
        <v>445</v>
      </c>
      <c r="U79" s="4088" t="s">
        <v>446</v>
      </c>
      <c r="V79" s="4065" t="s">
        <v>447</v>
      </c>
      <c r="W79" s="689">
        <v>248604326</v>
      </c>
      <c r="X79" s="689">
        <v>234111754</v>
      </c>
      <c r="Y79" s="689">
        <v>185594011</v>
      </c>
      <c r="Z79" s="686">
        <v>20</v>
      </c>
      <c r="AA79" s="687" t="s">
        <v>124</v>
      </c>
      <c r="AB79" s="4063">
        <v>294321</v>
      </c>
      <c r="AC79" s="4063">
        <v>823</v>
      </c>
      <c r="AD79" s="4063">
        <v>283947</v>
      </c>
      <c r="AE79" s="4063">
        <v>819</v>
      </c>
      <c r="AF79" s="4063">
        <v>135754</v>
      </c>
      <c r="AG79" s="4054"/>
      <c r="AH79" s="4063">
        <v>44640</v>
      </c>
      <c r="AI79" s="4054"/>
      <c r="AJ79" s="4063">
        <v>308178</v>
      </c>
      <c r="AK79" s="4054">
        <f>+AC79+AE79</f>
        <v>1642</v>
      </c>
      <c r="AL79" s="3610">
        <v>89696</v>
      </c>
      <c r="AM79" s="3610"/>
      <c r="AN79" s="3610"/>
      <c r="AO79" s="3610"/>
      <c r="AP79" s="3610"/>
      <c r="AQ79" s="3610"/>
      <c r="AR79" s="3610"/>
      <c r="AS79" s="3610"/>
      <c r="AT79" s="3610"/>
      <c r="AU79" s="3610"/>
      <c r="AV79" s="3610"/>
      <c r="AW79" s="3610"/>
      <c r="AX79" s="3610"/>
      <c r="AY79" s="3610"/>
      <c r="AZ79" s="3610"/>
      <c r="BA79" s="3610"/>
      <c r="BB79" s="3610"/>
      <c r="BC79" s="3610"/>
      <c r="BD79" s="3610"/>
      <c r="BE79" s="3610"/>
      <c r="BF79" s="4054">
        <f>+AB79+AD79</f>
        <v>578268</v>
      </c>
      <c r="BG79" s="4054">
        <f>+AC79+AE79</f>
        <v>1642</v>
      </c>
      <c r="BH79" s="4060">
        <v>16</v>
      </c>
      <c r="BI79" s="4054">
        <f>+X79+X80+X81+X82+X83</f>
        <v>1154170943</v>
      </c>
      <c r="BJ79" s="4054">
        <f>+Y79+Y80+Y81+Y82+Y83</f>
        <v>855109850</v>
      </c>
      <c r="BK79" s="4057">
        <f>+BJ79/BI79</f>
        <v>0.74088665564334866</v>
      </c>
      <c r="BL79" s="4054" t="s">
        <v>448</v>
      </c>
      <c r="BM79" s="4054" t="s">
        <v>449</v>
      </c>
      <c r="BN79" s="4042">
        <v>43467</v>
      </c>
      <c r="BO79" s="4042">
        <v>43467</v>
      </c>
      <c r="BP79" s="4042">
        <v>43830</v>
      </c>
      <c r="BQ79" s="4042">
        <v>43830</v>
      </c>
      <c r="BR79" s="4045" t="s">
        <v>347</v>
      </c>
      <c r="BS79" s="684"/>
      <c r="BT79" s="684"/>
      <c r="BU79" s="684"/>
      <c r="BV79" s="684"/>
      <c r="BW79" s="684"/>
      <c r="BX79" s="684"/>
      <c r="BY79" s="684"/>
      <c r="BZ79" s="684"/>
      <c r="CA79" s="684"/>
      <c r="CB79" s="684"/>
    </row>
    <row r="80" spans="1:81" ht="38.25" customHeight="1" x14ac:dyDescent="0.2">
      <c r="A80" s="4155"/>
      <c r="B80" s="4156"/>
      <c r="C80" s="3854"/>
      <c r="D80" s="4080"/>
      <c r="E80" s="4081"/>
      <c r="F80" s="4082"/>
      <c r="G80" s="4080"/>
      <c r="H80" s="4081"/>
      <c r="I80" s="4082"/>
      <c r="J80" s="3508"/>
      <c r="K80" s="4067"/>
      <c r="L80" s="4067"/>
      <c r="M80" s="3508"/>
      <c r="N80" s="3508"/>
      <c r="O80" s="3508"/>
      <c r="P80" s="3508"/>
      <c r="Q80" s="4067"/>
      <c r="R80" s="4069"/>
      <c r="S80" s="4070"/>
      <c r="T80" s="4067"/>
      <c r="U80" s="4089"/>
      <c r="V80" s="4065"/>
      <c r="W80" s="689">
        <f>581320553-W83</f>
        <v>413395674</v>
      </c>
      <c r="X80" s="689">
        <v>330001389</v>
      </c>
      <c r="Y80" s="689">
        <f>134514450+64992200</f>
        <v>199506650</v>
      </c>
      <c r="Z80" s="686">
        <v>52</v>
      </c>
      <c r="AA80" s="687" t="s">
        <v>450</v>
      </c>
      <c r="AB80" s="4064"/>
      <c r="AC80" s="4064"/>
      <c r="AD80" s="4064"/>
      <c r="AE80" s="4064"/>
      <c r="AF80" s="4064"/>
      <c r="AG80" s="4055"/>
      <c r="AH80" s="4064"/>
      <c r="AI80" s="4055"/>
      <c r="AJ80" s="4064"/>
      <c r="AK80" s="4055"/>
      <c r="AL80" s="3586"/>
      <c r="AM80" s="3586"/>
      <c r="AN80" s="3586"/>
      <c r="AO80" s="3586"/>
      <c r="AP80" s="3586"/>
      <c r="AQ80" s="3586"/>
      <c r="AR80" s="3586"/>
      <c r="AS80" s="3586"/>
      <c r="AT80" s="3586"/>
      <c r="AU80" s="3586"/>
      <c r="AV80" s="3586"/>
      <c r="AW80" s="3586"/>
      <c r="AX80" s="3586"/>
      <c r="AY80" s="3586"/>
      <c r="AZ80" s="3586"/>
      <c r="BA80" s="3586"/>
      <c r="BB80" s="3586"/>
      <c r="BC80" s="3586"/>
      <c r="BD80" s="3586"/>
      <c r="BE80" s="3586"/>
      <c r="BF80" s="4055"/>
      <c r="BG80" s="4055"/>
      <c r="BH80" s="4061"/>
      <c r="BI80" s="4055"/>
      <c r="BJ80" s="4055"/>
      <c r="BK80" s="4058"/>
      <c r="BL80" s="4055"/>
      <c r="BM80" s="4055"/>
      <c r="BN80" s="4043"/>
      <c r="BO80" s="4043"/>
      <c r="BP80" s="4043"/>
      <c r="BQ80" s="4043"/>
      <c r="BR80" s="4046"/>
      <c r="BS80" s="684"/>
      <c r="BT80" s="684"/>
      <c r="BU80" s="684"/>
      <c r="BV80" s="684"/>
      <c r="BW80" s="684"/>
      <c r="BX80" s="684"/>
      <c r="BY80" s="684"/>
      <c r="BZ80" s="684"/>
      <c r="CA80" s="684"/>
      <c r="CB80" s="684"/>
    </row>
    <row r="81" spans="1:80" ht="38.25" customHeight="1" x14ac:dyDescent="0.2">
      <c r="A81" s="4155"/>
      <c r="B81" s="4156"/>
      <c r="C81" s="3854"/>
      <c r="D81" s="4080"/>
      <c r="E81" s="4081"/>
      <c r="F81" s="4082"/>
      <c r="G81" s="4080"/>
      <c r="H81" s="4081"/>
      <c r="I81" s="4082"/>
      <c r="J81" s="3508"/>
      <c r="K81" s="4067"/>
      <c r="L81" s="4067"/>
      <c r="M81" s="3508"/>
      <c r="N81" s="3508"/>
      <c r="O81" s="3508"/>
      <c r="P81" s="3508"/>
      <c r="Q81" s="4067"/>
      <c r="R81" s="4069"/>
      <c r="S81" s="4070"/>
      <c r="T81" s="4067"/>
      <c r="U81" s="4089"/>
      <c r="V81" s="4065"/>
      <c r="W81" s="689">
        <f>0+400000000+128998611</f>
        <v>528998611</v>
      </c>
      <c r="X81" s="689">
        <v>483033100</v>
      </c>
      <c r="Y81" s="689">
        <v>363034489</v>
      </c>
      <c r="Z81" s="737">
        <v>88</v>
      </c>
      <c r="AA81" s="687" t="s">
        <v>451</v>
      </c>
      <c r="AB81" s="4064"/>
      <c r="AC81" s="4064"/>
      <c r="AD81" s="4064"/>
      <c r="AE81" s="4064"/>
      <c r="AF81" s="4064"/>
      <c r="AG81" s="4055"/>
      <c r="AH81" s="4064"/>
      <c r="AI81" s="4055"/>
      <c r="AJ81" s="4064"/>
      <c r="AK81" s="4055"/>
      <c r="AL81" s="3586"/>
      <c r="AM81" s="3586"/>
      <c r="AN81" s="3586"/>
      <c r="AO81" s="3586"/>
      <c r="AP81" s="3586"/>
      <c r="AQ81" s="3586"/>
      <c r="AR81" s="3586"/>
      <c r="AS81" s="3586"/>
      <c r="AT81" s="3586"/>
      <c r="AU81" s="3586"/>
      <c r="AV81" s="3586"/>
      <c r="AW81" s="3586"/>
      <c r="AX81" s="3586"/>
      <c r="AY81" s="3586"/>
      <c r="AZ81" s="3586"/>
      <c r="BA81" s="3586"/>
      <c r="BB81" s="3586"/>
      <c r="BC81" s="3586"/>
      <c r="BD81" s="3586"/>
      <c r="BE81" s="3586"/>
      <c r="BF81" s="4055"/>
      <c r="BG81" s="4055"/>
      <c r="BH81" s="4061"/>
      <c r="BI81" s="4055"/>
      <c r="BJ81" s="4055"/>
      <c r="BK81" s="4058"/>
      <c r="BL81" s="4055"/>
      <c r="BM81" s="4055"/>
      <c r="BN81" s="4043"/>
      <c r="BO81" s="4043"/>
      <c r="BP81" s="4043"/>
      <c r="BQ81" s="4043"/>
      <c r="BR81" s="4046"/>
      <c r="BS81" s="684"/>
      <c r="BT81" s="684"/>
      <c r="BU81" s="684"/>
      <c r="BV81" s="684"/>
      <c r="BW81" s="684"/>
      <c r="BX81" s="684"/>
      <c r="BY81" s="684"/>
      <c r="BZ81" s="684"/>
      <c r="CA81" s="684"/>
      <c r="CB81" s="684"/>
    </row>
    <row r="82" spans="1:80" ht="38.25" customHeight="1" x14ac:dyDescent="0.2">
      <c r="A82" s="4155"/>
      <c r="B82" s="4156"/>
      <c r="C82" s="3854"/>
      <c r="D82" s="4080"/>
      <c r="E82" s="4081"/>
      <c r="F82" s="4082"/>
      <c r="G82" s="4080"/>
      <c r="H82" s="4081"/>
      <c r="I82" s="4082"/>
      <c r="J82" s="3508"/>
      <c r="K82" s="4067"/>
      <c r="L82" s="4067"/>
      <c r="M82" s="3508"/>
      <c r="N82" s="3508"/>
      <c r="O82" s="3508"/>
      <c r="P82" s="3508"/>
      <c r="Q82" s="4067"/>
      <c r="R82" s="4069"/>
      <c r="S82" s="4070"/>
      <c r="T82" s="4067"/>
      <c r="U82" s="4089"/>
      <c r="V82" s="4065"/>
      <c r="W82" s="2865">
        <f>0+72966900</f>
        <v>72966900</v>
      </c>
      <c r="X82" s="2865">
        <v>72966900</v>
      </c>
      <c r="Y82" s="2865">
        <v>72966900</v>
      </c>
      <c r="Z82" s="737">
        <v>94</v>
      </c>
      <c r="AA82" s="737" t="s">
        <v>452</v>
      </c>
      <c r="AB82" s="4064"/>
      <c r="AC82" s="4064"/>
      <c r="AD82" s="4064"/>
      <c r="AE82" s="4064"/>
      <c r="AF82" s="4064"/>
      <c r="AG82" s="4055"/>
      <c r="AH82" s="4064"/>
      <c r="AI82" s="4055"/>
      <c r="AJ82" s="4064"/>
      <c r="AK82" s="4055"/>
      <c r="AL82" s="3586"/>
      <c r="AM82" s="3586"/>
      <c r="AN82" s="3586"/>
      <c r="AO82" s="3586"/>
      <c r="AP82" s="3586"/>
      <c r="AQ82" s="3586"/>
      <c r="AR82" s="3586"/>
      <c r="AS82" s="3586"/>
      <c r="AT82" s="3586"/>
      <c r="AU82" s="3586"/>
      <c r="AV82" s="3586"/>
      <c r="AW82" s="3586"/>
      <c r="AX82" s="3586"/>
      <c r="AY82" s="3586"/>
      <c r="AZ82" s="3586"/>
      <c r="BA82" s="3586"/>
      <c r="BB82" s="3586"/>
      <c r="BC82" s="3586"/>
      <c r="BD82" s="3586"/>
      <c r="BE82" s="3586"/>
      <c r="BF82" s="4055"/>
      <c r="BG82" s="4055"/>
      <c r="BH82" s="4061"/>
      <c r="BI82" s="4055"/>
      <c r="BJ82" s="4055"/>
      <c r="BK82" s="4058"/>
      <c r="BL82" s="4055"/>
      <c r="BM82" s="4055"/>
      <c r="BN82" s="4043"/>
      <c r="BO82" s="4043"/>
      <c r="BP82" s="4043"/>
      <c r="BQ82" s="4043"/>
      <c r="BR82" s="4046"/>
      <c r="BS82" s="684"/>
      <c r="BT82" s="684"/>
      <c r="BU82" s="684"/>
      <c r="BV82" s="684"/>
      <c r="BW82" s="684"/>
      <c r="BX82" s="684"/>
      <c r="BY82" s="684"/>
      <c r="BZ82" s="684"/>
      <c r="CA82" s="684"/>
      <c r="CB82" s="684"/>
    </row>
    <row r="83" spans="1:80" ht="38.25" customHeight="1" x14ac:dyDescent="0.2">
      <c r="A83" s="4155"/>
      <c r="B83" s="4156"/>
      <c r="C83" s="3854"/>
      <c r="D83" s="4080"/>
      <c r="E83" s="4081"/>
      <c r="F83" s="4082"/>
      <c r="G83" s="4080"/>
      <c r="H83" s="4081"/>
      <c r="I83" s="4082"/>
      <c r="J83" s="3508"/>
      <c r="K83" s="4067"/>
      <c r="L83" s="4067"/>
      <c r="M83" s="3508"/>
      <c r="N83" s="3508"/>
      <c r="O83" s="3508"/>
      <c r="P83" s="3508"/>
      <c r="Q83" s="4067"/>
      <c r="R83" s="4069"/>
      <c r="S83" s="4070"/>
      <c r="T83" s="4067"/>
      <c r="U83" s="4086"/>
      <c r="V83" s="4047" t="s">
        <v>453</v>
      </c>
      <c r="W83" s="4048">
        <v>167924879</v>
      </c>
      <c r="X83" s="4048">
        <f>364059189-X80</f>
        <v>34057800</v>
      </c>
      <c r="Y83" s="4048">
        <f>99000000-64992200</f>
        <v>34007800</v>
      </c>
      <c r="Z83" s="4050">
        <v>52</v>
      </c>
      <c r="AA83" s="4052" t="s">
        <v>450</v>
      </c>
      <c r="AB83" s="4064"/>
      <c r="AC83" s="4064"/>
      <c r="AD83" s="4064"/>
      <c r="AE83" s="4064"/>
      <c r="AF83" s="4064"/>
      <c r="AG83" s="4055"/>
      <c r="AH83" s="4064"/>
      <c r="AI83" s="4055"/>
      <c r="AJ83" s="4064"/>
      <c r="AK83" s="4055"/>
      <c r="AL83" s="3586"/>
      <c r="AM83" s="3586"/>
      <c r="AN83" s="3586"/>
      <c r="AO83" s="3586"/>
      <c r="AP83" s="3586"/>
      <c r="AQ83" s="3586"/>
      <c r="AR83" s="3586"/>
      <c r="AS83" s="3586"/>
      <c r="AT83" s="3586"/>
      <c r="AU83" s="3586"/>
      <c r="AV83" s="3586"/>
      <c r="AW83" s="3586"/>
      <c r="AX83" s="3586"/>
      <c r="AY83" s="3586"/>
      <c r="AZ83" s="3586"/>
      <c r="BA83" s="3586"/>
      <c r="BB83" s="3586"/>
      <c r="BC83" s="3586"/>
      <c r="BD83" s="3586"/>
      <c r="BE83" s="3586"/>
      <c r="BF83" s="4055"/>
      <c r="BG83" s="4055"/>
      <c r="BH83" s="4061"/>
      <c r="BI83" s="4055"/>
      <c r="BJ83" s="4055"/>
      <c r="BK83" s="4058"/>
      <c r="BL83" s="4055"/>
      <c r="BM83" s="4055"/>
      <c r="BN83" s="4043"/>
      <c r="BO83" s="4043"/>
      <c r="BP83" s="4043"/>
      <c r="BQ83" s="4043"/>
      <c r="BR83" s="4046"/>
      <c r="BS83" s="684"/>
      <c r="BT83" s="684"/>
      <c r="BU83" s="684"/>
      <c r="BV83" s="684"/>
      <c r="BW83" s="684"/>
      <c r="BX83" s="684"/>
      <c r="BY83" s="684"/>
      <c r="BZ83" s="684"/>
      <c r="CA83" s="684"/>
      <c r="CB83" s="684"/>
    </row>
    <row r="84" spans="1:80" ht="39.75" customHeight="1" thickBot="1" x14ac:dyDescent="0.25">
      <c r="A84" s="4155"/>
      <c r="B84" s="4156"/>
      <c r="C84" s="3854"/>
      <c r="D84" s="4080"/>
      <c r="E84" s="4081"/>
      <c r="F84" s="4082"/>
      <c r="G84" s="4080"/>
      <c r="H84" s="4081"/>
      <c r="I84" s="4082"/>
      <c r="J84" s="3508"/>
      <c r="K84" s="4067"/>
      <c r="L84" s="4067"/>
      <c r="M84" s="3508"/>
      <c r="N84" s="3508"/>
      <c r="O84" s="3508"/>
      <c r="P84" s="3508"/>
      <c r="Q84" s="4067"/>
      <c r="R84" s="4069"/>
      <c r="S84" s="4070"/>
      <c r="T84" s="4067"/>
      <c r="U84" s="4086"/>
      <c r="V84" s="4047"/>
      <c r="W84" s="4049"/>
      <c r="X84" s="4049"/>
      <c r="Y84" s="4049"/>
      <c r="Z84" s="4051"/>
      <c r="AA84" s="4053"/>
      <c r="AB84" s="4064"/>
      <c r="AC84" s="4064"/>
      <c r="AD84" s="4064"/>
      <c r="AE84" s="4064"/>
      <c r="AF84" s="4064"/>
      <c r="AG84" s="4056"/>
      <c r="AH84" s="4064"/>
      <c r="AI84" s="4056"/>
      <c r="AJ84" s="4064"/>
      <c r="AK84" s="4056"/>
      <c r="AL84" s="3586"/>
      <c r="AM84" s="4062"/>
      <c r="AN84" s="3586"/>
      <c r="AO84" s="3586"/>
      <c r="AP84" s="3586"/>
      <c r="AQ84" s="3586"/>
      <c r="AR84" s="3586"/>
      <c r="AS84" s="3586"/>
      <c r="AT84" s="3586"/>
      <c r="AU84" s="3586"/>
      <c r="AV84" s="3586"/>
      <c r="AW84" s="3586"/>
      <c r="AX84" s="3586"/>
      <c r="AY84" s="3586"/>
      <c r="AZ84" s="3586"/>
      <c r="BA84" s="3586"/>
      <c r="BB84" s="3586"/>
      <c r="BC84" s="3586"/>
      <c r="BD84" s="3586"/>
      <c r="BE84" s="3586"/>
      <c r="BF84" s="4055"/>
      <c r="BG84" s="4056"/>
      <c r="BH84" s="4061"/>
      <c r="BI84" s="4056"/>
      <c r="BJ84" s="4056"/>
      <c r="BK84" s="4059"/>
      <c r="BL84" s="4056"/>
      <c r="BM84" s="4056"/>
      <c r="BN84" s="4043"/>
      <c r="BO84" s="4043"/>
      <c r="BP84" s="4043"/>
      <c r="BQ84" s="4044"/>
      <c r="BR84" s="4046"/>
      <c r="BS84" s="684"/>
      <c r="BT84" s="684"/>
      <c r="BU84" s="684"/>
      <c r="BV84" s="684"/>
      <c r="BW84" s="684"/>
      <c r="BX84" s="684"/>
      <c r="BY84" s="684"/>
      <c r="BZ84" s="684"/>
      <c r="CA84" s="684"/>
      <c r="CB84" s="684"/>
    </row>
    <row r="85" spans="1:80" ht="33" customHeight="1" thickBot="1" x14ac:dyDescent="0.25">
      <c r="A85" s="738"/>
      <c r="B85" s="739"/>
      <c r="C85" s="739"/>
      <c r="D85" s="739"/>
      <c r="E85" s="739"/>
      <c r="F85" s="739"/>
      <c r="G85" s="739"/>
      <c r="H85" s="739"/>
      <c r="I85" s="739"/>
      <c r="J85" s="739"/>
      <c r="K85" s="740"/>
      <c r="L85" s="741"/>
      <c r="M85" s="742"/>
      <c r="N85" s="742"/>
      <c r="O85" s="742"/>
      <c r="P85" s="743"/>
      <c r="Q85" s="588" t="s">
        <v>104</v>
      </c>
      <c r="R85" s="744"/>
      <c r="S85" s="745">
        <f>S79+S66+S60+S49+S32+S22+S13</f>
        <v>2910880390</v>
      </c>
      <c r="T85" s="746"/>
      <c r="U85" s="740"/>
      <c r="V85" s="747"/>
      <c r="W85" s="745">
        <f>SUM(W13:W84)</f>
        <v>2910880390</v>
      </c>
      <c r="X85" s="748">
        <f>SUM(X13:X84)</f>
        <v>2254315109</v>
      </c>
      <c r="Y85" s="748">
        <f>SUM(Y13:Y84)</f>
        <v>1708571850</v>
      </c>
      <c r="Z85" s="749"/>
      <c r="AA85" s="750"/>
      <c r="AB85" s="751"/>
      <c r="AC85" s="751"/>
      <c r="AD85" s="751"/>
      <c r="AE85" s="751"/>
      <c r="AF85" s="739"/>
      <c r="AG85" s="739"/>
      <c r="AH85" s="739"/>
      <c r="AI85" s="739"/>
      <c r="AJ85" s="739"/>
      <c r="AK85" s="739"/>
      <c r="AL85" s="739"/>
      <c r="AM85" s="739"/>
      <c r="AN85" s="739"/>
      <c r="AO85" s="739"/>
      <c r="AP85" s="739"/>
      <c r="AQ85" s="739"/>
      <c r="AR85" s="739"/>
      <c r="AS85" s="739"/>
      <c r="AT85" s="739"/>
      <c r="AU85" s="739"/>
      <c r="AV85" s="739"/>
      <c r="AW85" s="739"/>
      <c r="AX85" s="739"/>
      <c r="AY85" s="739"/>
      <c r="AZ85" s="739"/>
      <c r="BA85" s="739"/>
      <c r="BB85" s="739"/>
      <c r="BC85" s="739"/>
      <c r="BD85" s="739"/>
      <c r="BE85" s="739"/>
      <c r="BF85" s="751"/>
      <c r="BG85" s="751"/>
      <c r="BH85" s="752"/>
      <c r="BI85" s="745">
        <f>SUM(BI13:BI84)</f>
        <v>2254315109</v>
      </c>
      <c r="BJ85" s="745">
        <f>SUM(BJ13:BJ84)</f>
        <v>1708571850</v>
      </c>
      <c r="BK85" s="753"/>
      <c r="BL85" s="752"/>
      <c r="BM85" s="752"/>
      <c r="BN85" s="754"/>
      <c r="BO85" s="754"/>
      <c r="BP85" s="754"/>
      <c r="BQ85" s="754"/>
      <c r="BR85" s="755"/>
    </row>
    <row r="86" spans="1:80" ht="30" customHeight="1" x14ac:dyDescent="0.2">
      <c r="W86" s="761"/>
      <c r="X86" s="761"/>
      <c r="Y86" s="761"/>
    </row>
    <row r="88" spans="1:80" ht="60" customHeight="1" x14ac:dyDescent="0.2">
      <c r="J88" s="4040"/>
      <c r="K88" s="4040"/>
      <c r="L88" s="4040"/>
      <c r="M88" s="4040"/>
      <c r="N88" s="4040"/>
      <c r="O88" s="4040"/>
      <c r="P88" s="4040"/>
    </row>
    <row r="89" spans="1:80" ht="25.5" customHeight="1" x14ac:dyDescent="0.2"/>
    <row r="91" spans="1:80" x14ac:dyDescent="0.2">
      <c r="D91" s="771"/>
      <c r="E91" s="771"/>
      <c r="F91" s="771"/>
      <c r="G91" s="771"/>
      <c r="H91" s="771"/>
      <c r="I91" s="771"/>
      <c r="J91" s="771"/>
    </row>
    <row r="92" spans="1:80" ht="29.25" customHeight="1" x14ac:dyDescent="0.25">
      <c r="D92" s="4041" t="s">
        <v>454</v>
      </c>
      <c r="E92" s="4041"/>
      <c r="F92" s="4041"/>
      <c r="G92" s="4041"/>
      <c r="H92" s="4041"/>
      <c r="I92" s="4041"/>
      <c r="J92" s="4041"/>
      <c r="K92" s="4041"/>
      <c r="L92" s="4041"/>
      <c r="M92" s="4041"/>
    </row>
    <row r="93" spans="1:80" ht="15.75" x14ac:dyDescent="0.25">
      <c r="D93" s="598" t="s">
        <v>455</v>
      </c>
      <c r="E93" s="598"/>
      <c r="F93" s="598"/>
    </row>
    <row r="97" spans="16:65" s="610" customFormat="1" x14ac:dyDescent="0.2">
      <c r="P97" s="624"/>
      <c r="Q97" s="757"/>
      <c r="R97" s="759"/>
      <c r="S97" s="760"/>
      <c r="T97" s="757"/>
      <c r="U97" s="757"/>
      <c r="V97" s="757"/>
      <c r="W97" s="770"/>
      <c r="X97" s="770"/>
      <c r="Y97" s="770"/>
      <c r="Z97" s="762"/>
      <c r="AA97" s="763"/>
      <c r="BH97" s="772"/>
      <c r="BI97" s="761"/>
      <c r="BJ97" s="761"/>
      <c r="BK97" s="773"/>
      <c r="BL97" s="772"/>
      <c r="BM97" s="772"/>
    </row>
    <row r="98" spans="16:65" s="610" customFormat="1" x14ac:dyDescent="0.2">
      <c r="P98" s="624"/>
      <c r="Q98" s="757"/>
      <c r="R98" s="759"/>
      <c r="S98" s="760"/>
      <c r="T98" s="757"/>
      <c r="U98" s="757"/>
      <c r="V98" s="757"/>
      <c r="W98" s="770"/>
      <c r="X98" s="770"/>
      <c r="Y98" s="770"/>
      <c r="Z98" s="762"/>
      <c r="AA98" s="763"/>
      <c r="BH98" s="772"/>
      <c r="BI98" s="761"/>
      <c r="BJ98" s="761"/>
      <c r="BK98" s="773"/>
      <c r="BL98" s="772"/>
      <c r="BM98" s="772"/>
    </row>
  </sheetData>
  <sheetProtection password="A60F" sheet="1" objects="1" scenarios="1"/>
  <mergeCells count="620">
    <mergeCell ref="L7:L9"/>
    <mergeCell ref="M7:N8"/>
    <mergeCell ref="O7:O9"/>
    <mergeCell ref="P7:P9"/>
    <mergeCell ref="A1:BP4"/>
    <mergeCell ref="A5:M6"/>
    <mergeCell ref="O5:BR5"/>
    <mergeCell ref="AB6:BD6"/>
    <mergeCell ref="A7:A9"/>
    <mergeCell ref="B7:C9"/>
    <mergeCell ref="D7:D9"/>
    <mergeCell ref="E7:F9"/>
    <mergeCell ref="G7:G9"/>
    <mergeCell ref="H7:I9"/>
    <mergeCell ref="AZ7:BE7"/>
    <mergeCell ref="BF7:BG8"/>
    <mergeCell ref="BH7:BM8"/>
    <mergeCell ref="BN7:BO8"/>
    <mergeCell ref="BP7:BQ8"/>
    <mergeCell ref="BR7:BR9"/>
    <mergeCell ref="W7:Y8"/>
    <mergeCell ref="Z7:Z9"/>
    <mergeCell ref="AA7:AA9"/>
    <mergeCell ref="AB7:AE7"/>
    <mergeCell ref="AF7:AM7"/>
    <mergeCell ref="AN7:AX7"/>
    <mergeCell ref="AB8:AC8"/>
    <mergeCell ref="AD8:AE8"/>
    <mergeCell ref="AF8:AG8"/>
    <mergeCell ref="AH8:AI8"/>
    <mergeCell ref="AV8:AW8"/>
    <mergeCell ref="AX8:AY8"/>
    <mergeCell ref="AZ8:BA8"/>
    <mergeCell ref="BB8:BC8"/>
    <mergeCell ref="BD8:BE8"/>
    <mergeCell ref="A11:C84"/>
    <mergeCell ref="D12:F57"/>
    <mergeCell ref="G13:I30"/>
    <mergeCell ref="J13:J16"/>
    <mergeCell ref="K13:K16"/>
    <mergeCell ref="AJ8:AK8"/>
    <mergeCell ref="AL8:AM8"/>
    <mergeCell ref="AN8:AO8"/>
    <mergeCell ref="AP8:AQ8"/>
    <mergeCell ref="AR8:AS8"/>
    <mergeCell ref="AT8:AU8"/>
    <mergeCell ref="Q7:Q9"/>
    <mergeCell ref="R7:R9"/>
    <mergeCell ref="S7:S9"/>
    <mergeCell ref="T7:T9"/>
    <mergeCell ref="U7:U9"/>
    <mergeCell ref="V7:V9"/>
    <mergeCell ref="J7:J9"/>
    <mergeCell ref="K7:K9"/>
    <mergeCell ref="AC13:AC21"/>
    <mergeCell ref="AD13:AD21"/>
    <mergeCell ref="AE13:AE21"/>
    <mergeCell ref="AF13:AF21"/>
    <mergeCell ref="AG13:AG21"/>
    <mergeCell ref="AH13:AH21"/>
    <mergeCell ref="R13:R16"/>
    <mergeCell ref="S13:S21"/>
    <mergeCell ref="T13:T21"/>
    <mergeCell ref="U13:U21"/>
    <mergeCell ref="V13:V14"/>
    <mergeCell ref="AB13:AB21"/>
    <mergeCell ref="V15:V16"/>
    <mergeCell ref="W15:W16"/>
    <mergeCell ref="X15:X16"/>
    <mergeCell ref="Y15:Y16"/>
    <mergeCell ref="Z15:Z16"/>
    <mergeCell ref="AA15:AA16"/>
    <mergeCell ref="X17:X21"/>
    <mergeCell ref="Y17:Y21"/>
    <mergeCell ref="Z17:Z21"/>
    <mergeCell ref="AA17:AA21"/>
    <mergeCell ref="AO13:AO21"/>
    <mergeCell ref="AP13:AP21"/>
    <mergeCell ref="AQ13:AQ21"/>
    <mergeCell ref="AR13:AR21"/>
    <mergeCell ref="AS13:AS21"/>
    <mergeCell ref="AT13:AT21"/>
    <mergeCell ref="AI13:AI21"/>
    <mergeCell ref="AJ13:AJ21"/>
    <mergeCell ref="AK13:AK21"/>
    <mergeCell ref="AL13:AL21"/>
    <mergeCell ref="AM13:AM21"/>
    <mergeCell ref="AN13:AN21"/>
    <mergeCell ref="BA13:BA21"/>
    <mergeCell ref="BB13:BB21"/>
    <mergeCell ref="BC13:BC21"/>
    <mergeCell ref="BD13:BD21"/>
    <mergeCell ref="BE13:BE21"/>
    <mergeCell ref="BF13:BF21"/>
    <mergeCell ref="AU13:AU21"/>
    <mergeCell ref="AV13:AV21"/>
    <mergeCell ref="AW13:AW21"/>
    <mergeCell ref="AX13:AX21"/>
    <mergeCell ref="AY13:AY21"/>
    <mergeCell ref="AZ13:AZ21"/>
    <mergeCell ref="BM13:BM21"/>
    <mergeCell ref="BN13:BN21"/>
    <mergeCell ref="BO13:BO21"/>
    <mergeCell ref="BP13:BP21"/>
    <mergeCell ref="BQ13:BQ21"/>
    <mergeCell ref="BR13:BR21"/>
    <mergeCell ref="BG13:BG21"/>
    <mergeCell ref="BH13:BH21"/>
    <mergeCell ref="BI13:BI21"/>
    <mergeCell ref="BJ13:BJ21"/>
    <mergeCell ref="BK13:BK21"/>
    <mergeCell ref="BL13:BL21"/>
    <mergeCell ref="J17:J21"/>
    <mergeCell ref="K17:K21"/>
    <mergeCell ref="L17:L21"/>
    <mergeCell ref="M17:M21"/>
    <mergeCell ref="N17:N21"/>
    <mergeCell ref="R17:R21"/>
    <mergeCell ref="V17:V21"/>
    <mergeCell ref="W17:W21"/>
    <mergeCell ref="L13:L16"/>
    <mergeCell ref="M13:M16"/>
    <mergeCell ref="N13:N16"/>
    <mergeCell ref="O13:O21"/>
    <mergeCell ref="P13:P21"/>
    <mergeCell ref="Q13:Q21"/>
    <mergeCell ref="J22:J24"/>
    <mergeCell ref="K22:K24"/>
    <mergeCell ref="L22:L24"/>
    <mergeCell ref="M22:M24"/>
    <mergeCell ref="N22:N24"/>
    <mergeCell ref="P22:P30"/>
    <mergeCell ref="AB22:AB30"/>
    <mergeCell ref="AC22:AC30"/>
    <mergeCell ref="AD22:AD30"/>
    <mergeCell ref="J28:J30"/>
    <mergeCell ref="K28:K30"/>
    <mergeCell ref="L28:L30"/>
    <mergeCell ref="M28:M30"/>
    <mergeCell ref="N28:N30"/>
    <mergeCell ref="J25:J27"/>
    <mergeCell ref="K25:K27"/>
    <mergeCell ref="L25:L27"/>
    <mergeCell ref="M25:M27"/>
    <mergeCell ref="N25:N27"/>
    <mergeCell ref="AE22:AE30"/>
    <mergeCell ref="AF22:AF30"/>
    <mergeCell ref="AG22:AG30"/>
    <mergeCell ref="Q22:Q30"/>
    <mergeCell ref="R22:R24"/>
    <mergeCell ref="S22:S30"/>
    <mergeCell ref="T22:T30"/>
    <mergeCell ref="U22:U24"/>
    <mergeCell ref="V22:V24"/>
    <mergeCell ref="U25:U30"/>
    <mergeCell ref="V25:V27"/>
    <mergeCell ref="AA25:AA27"/>
    <mergeCell ref="R28:R30"/>
    <mergeCell ref="V28:V30"/>
    <mergeCell ref="W28:W30"/>
    <mergeCell ref="X28:X30"/>
    <mergeCell ref="R25:R27"/>
    <mergeCell ref="Y28:Y30"/>
    <mergeCell ref="Z28:Z30"/>
    <mergeCell ref="AA28:AA30"/>
    <mergeCell ref="AN22:AN30"/>
    <mergeCell ref="AO22:AO30"/>
    <mergeCell ref="AP22:AP30"/>
    <mergeCell ref="AQ22:AQ30"/>
    <mergeCell ref="AR22:AR30"/>
    <mergeCell ref="AS22:AS30"/>
    <mergeCell ref="AH22:AH30"/>
    <mergeCell ref="AI22:AI30"/>
    <mergeCell ref="AJ22:AJ30"/>
    <mergeCell ref="AK22:AK30"/>
    <mergeCell ref="AL22:AL30"/>
    <mergeCell ref="AM22:AM30"/>
    <mergeCell ref="BB22:BB30"/>
    <mergeCell ref="BC22:BC30"/>
    <mergeCell ref="BD22:BD30"/>
    <mergeCell ref="BE22:BE30"/>
    <mergeCell ref="AT22:AT30"/>
    <mergeCell ref="AU22:AU30"/>
    <mergeCell ref="AV22:AV30"/>
    <mergeCell ref="AW22:AW30"/>
    <mergeCell ref="AX22:AX30"/>
    <mergeCell ref="AY22:AY30"/>
    <mergeCell ref="BR22:BR30"/>
    <mergeCell ref="W23:W24"/>
    <mergeCell ref="X23:X24"/>
    <mergeCell ref="Y23:Y24"/>
    <mergeCell ref="Z23:Z24"/>
    <mergeCell ref="AA23:AA24"/>
    <mergeCell ref="W25:W27"/>
    <mergeCell ref="X25:X27"/>
    <mergeCell ref="Y25:Y27"/>
    <mergeCell ref="Z25:Z27"/>
    <mergeCell ref="BL22:BL30"/>
    <mergeCell ref="BM22:BM30"/>
    <mergeCell ref="BN22:BN30"/>
    <mergeCell ref="BO22:BO30"/>
    <mergeCell ref="BP22:BP30"/>
    <mergeCell ref="BQ22:BQ30"/>
    <mergeCell ref="BF22:BF30"/>
    <mergeCell ref="BG22:BG30"/>
    <mergeCell ref="BH22:BH30"/>
    <mergeCell ref="BI22:BI30"/>
    <mergeCell ref="BJ22:BJ30"/>
    <mergeCell ref="BK22:BK30"/>
    <mergeCell ref="AZ22:AZ30"/>
    <mergeCell ref="BA22:BA30"/>
    <mergeCell ref="G32:I47"/>
    <mergeCell ref="J32:J37"/>
    <mergeCell ref="K32:K37"/>
    <mergeCell ref="L32:L37"/>
    <mergeCell ref="M32:M37"/>
    <mergeCell ref="N32:N37"/>
    <mergeCell ref="P32:P47"/>
    <mergeCell ref="AB32:AB47"/>
    <mergeCell ref="AC32:AC47"/>
    <mergeCell ref="J38:J39"/>
    <mergeCell ref="K38:K39"/>
    <mergeCell ref="L38:L39"/>
    <mergeCell ref="M38:M39"/>
    <mergeCell ref="N38:N39"/>
    <mergeCell ref="J40:J43"/>
    <mergeCell ref="K40:K43"/>
    <mergeCell ref="AD32:AD47"/>
    <mergeCell ref="AE32:AE47"/>
    <mergeCell ref="AF32:AF47"/>
    <mergeCell ref="AG32:AG47"/>
    <mergeCell ref="Q32:Q47"/>
    <mergeCell ref="R32:R37"/>
    <mergeCell ref="S32:S47"/>
    <mergeCell ref="T32:T47"/>
    <mergeCell ref="U32:U37"/>
    <mergeCell ref="V32:V34"/>
    <mergeCell ref="V35:V37"/>
    <mergeCell ref="V44:V47"/>
    <mergeCell ref="AA35:AA37"/>
    <mergeCell ref="R38:R39"/>
    <mergeCell ref="U38:U47"/>
    <mergeCell ref="Z45:Z47"/>
    <mergeCell ref="AA45:AA47"/>
    <mergeCell ref="AN32:AN47"/>
    <mergeCell ref="AO32:AO47"/>
    <mergeCell ref="AP32:AP47"/>
    <mergeCell ref="AQ32:AQ47"/>
    <mergeCell ref="AR32:AR47"/>
    <mergeCell ref="AS32:AS47"/>
    <mergeCell ref="AH32:AH47"/>
    <mergeCell ref="AI32:AI47"/>
    <mergeCell ref="AJ32:AJ47"/>
    <mergeCell ref="AK32:AK47"/>
    <mergeCell ref="AL32:AL47"/>
    <mergeCell ref="AM32:AM47"/>
    <mergeCell ref="BB32:BB47"/>
    <mergeCell ref="BC32:BC47"/>
    <mergeCell ref="BD32:BD47"/>
    <mergeCell ref="BE32:BE47"/>
    <mergeCell ref="AT32:AT47"/>
    <mergeCell ref="AU32:AU47"/>
    <mergeCell ref="AV32:AV47"/>
    <mergeCell ref="AW32:AW47"/>
    <mergeCell ref="AX32:AX47"/>
    <mergeCell ref="AY32:AY47"/>
    <mergeCell ref="BR32:BR47"/>
    <mergeCell ref="W33:W34"/>
    <mergeCell ref="X33:X34"/>
    <mergeCell ref="Y33:Y34"/>
    <mergeCell ref="Z33:Z34"/>
    <mergeCell ref="AA33:AA34"/>
    <mergeCell ref="W35:W37"/>
    <mergeCell ref="X35:X37"/>
    <mergeCell ref="Y35:Y37"/>
    <mergeCell ref="Z35:Z37"/>
    <mergeCell ref="BL32:BL47"/>
    <mergeCell ref="BM32:BM47"/>
    <mergeCell ref="BN32:BN47"/>
    <mergeCell ref="BO32:BO47"/>
    <mergeCell ref="BP32:BP47"/>
    <mergeCell ref="BQ32:BQ47"/>
    <mergeCell ref="BF32:BF47"/>
    <mergeCell ref="BG32:BG47"/>
    <mergeCell ref="BH32:BH47"/>
    <mergeCell ref="BI32:BI47"/>
    <mergeCell ref="BJ32:BJ47"/>
    <mergeCell ref="BK32:BK47"/>
    <mergeCell ref="AZ32:AZ47"/>
    <mergeCell ref="BA32:BA47"/>
    <mergeCell ref="G49:I57"/>
    <mergeCell ref="J49:J51"/>
    <mergeCell ref="K49:K51"/>
    <mergeCell ref="L49:L51"/>
    <mergeCell ref="M49:M51"/>
    <mergeCell ref="X40:X43"/>
    <mergeCell ref="Y40:Y43"/>
    <mergeCell ref="Z40:Z43"/>
    <mergeCell ref="AA40:AA43"/>
    <mergeCell ref="J44:J47"/>
    <mergeCell ref="K44:K47"/>
    <mergeCell ref="L44:L47"/>
    <mergeCell ref="M44:M47"/>
    <mergeCell ref="N44:N47"/>
    <mergeCell ref="R44:R47"/>
    <mergeCell ref="L40:L43"/>
    <mergeCell ref="M40:M43"/>
    <mergeCell ref="N40:N43"/>
    <mergeCell ref="R40:R43"/>
    <mergeCell ref="V40:V43"/>
    <mergeCell ref="W40:W43"/>
    <mergeCell ref="N49:N51"/>
    <mergeCell ref="P49:P57"/>
    <mergeCell ref="Q49:Q57"/>
    <mergeCell ref="R49:R51"/>
    <mergeCell ref="S49:S57"/>
    <mergeCell ref="T49:T57"/>
    <mergeCell ref="W45:W47"/>
    <mergeCell ref="X45:X47"/>
    <mergeCell ref="Y45:Y47"/>
    <mergeCell ref="U49:U51"/>
    <mergeCell ref="V49:V51"/>
    <mergeCell ref="AB49:AB57"/>
    <mergeCell ref="AC49:AC57"/>
    <mergeCell ref="AD49:AD57"/>
    <mergeCell ref="AE49:AE57"/>
    <mergeCell ref="U52:U57"/>
    <mergeCell ref="V52:V54"/>
    <mergeCell ref="Y52:Y54"/>
    <mergeCell ref="Z52:Z54"/>
    <mergeCell ref="AL49:AL57"/>
    <mergeCell ref="AM49:AM57"/>
    <mergeCell ref="AA52:AA54"/>
    <mergeCell ref="AN49:AN57"/>
    <mergeCell ref="AO49:AO57"/>
    <mergeCell ref="AP49:AP57"/>
    <mergeCell ref="AQ49:AQ57"/>
    <mergeCell ref="AF49:AF57"/>
    <mergeCell ref="AG49:AG57"/>
    <mergeCell ref="AH49:AH57"/>
    <mergeCell ref="AI49:AI57"/>
    <mergeCell ref="AJ49:AJ57"/>
    <mergeCell ref="AK49:AK57"/>
    <mergeCell ref="AZ49:AZ57"/>
    <mergeCell ref="BA49:BA57"/>
    <mergeCell ref="BB49:BB57"/>
    <mergeCell ref="BC49:BC57"/>
    <mergeCell ref="AR49:AR57"/>
    <mergeCell ref="AS49:AS57"/>
    <mergeCell ref="AT49:AT57"/>
    <mergeCell ref="AU49:AU57"/>
    <mergeCell ref="AV49:AV57"/>
    <mergeCell ref="AW49:AW57"/>
    <mergeCell ref="BP49:BP57"/>
    <mergeCell ref="BQ49:BQ57"/>
    <mergeCell ref="BR49:BR57"/>
    <mergeCell ref="W50:W51"/>
    <mergeCell ref="X50:X51"/>
    <mergeCell ref="Y50:Y51"/>
    <mergeCell ref="Z50:Z51"/>
    <mergeCell ref="AA50:AA51"/>
    <mergeCell ref="W52:W54"/>
    <mergeCell ref="X52:X54"/>
    <mergeCell ref="BJ49:BJ57"/>
    <mergeCell ref="BK49:BK57"/>
    <mergeCell ref="BL49:BL57"/>
    <mergeCell ref="BM49:BM57"/>
    <mergeCell ref="BN49:BN57"/>
    <mergeCell ref="BO49:BO57"/>
    <mergeCell ref="BD49:BD57"/>
    <mergeCell ref="BE49:BE57"/>
    <mergeCell ref="BF49:BF57"/>
    <mergeCell ref="BG49:BG57"/>
    <mergeCell ref="BH49:BH57"/>
    <mergeCell ref="BI49:BI57"/>
    <mergeCell ref="AX49:AX57"/>
    <mergeCell ref="AY49:AY57"/>
    <mergeCell ref="J52:J54"/>
    <mergeCell ref="K52:K54"/>
    <mergeCell ref="L52:L54"/>
    <mergeCell ref="M52:M54"/>
    <mergeCell ref="N52:N54"/>
    <mergeCell ref="R52:R54"/>
    <mergeCell ref="Y55:Y57"/>
    <mergeCell ref="Z55:Z57"/>
    <mergeCell ref="AA55:AA57"/>
    <mergeCell ref="J55:J57"/>
    <mergeCell ref="K55:K57"/>
    <mergeCell ref="L55:L57"/>
    <mergeCell ref="M55:M57"/>
    <mergeCell ref="N55:N57"/>
    <mergeCell ref="R55:R57"/>
    <mergeCell ref="V55:V57"/>
    <mergeCell ref="W55:W57"/>
    <mergeCell ref="X55:X57"/>
    <mergeCell ref="D59:F84"/>
    <mergeCell ref="J60:J62"/>
    <mergeCell ref="K60:K62"/>
    <mergeCell ref="L60:L62"/>
    <mergeCell ref="M60:M62"/>
    <mergeCell ref="N60:N62"/>
    <mergeCell ref="O60:O64"/>
    <mergeCell ref="AB60:AB64"/>
    <mergeCell ref="AC60:AC64"/>
    <mergeCell ref="G66:I77"/>
    <mergeCell ref="J66:J77"/>
    <mergeCell ref="K66:K77"/>
    <mergeCell ref="L66:L77"/>
    <mergeCell ref="M66:M77"/>
    <mergeCell ref="N66:N77"/>
    <mergeCell ref="P66:P77"/>
    <mergeCell ref="P60:P64"/>
    <mergeCell ref="Q60:Q64"/>
    <mergeCell ref="R60:R62"/>
    <mergeCell ref="S60:S64"/>
    <mergeCell ref="T60:T64"/>
    <mergeCell ref="U60:U64"/>
    <mergeCell ref="AC66:AC77"/>
    <mergeCell ref="V76:V77"/>
    <mergeCell ref="AD60:AD64"/>
    <mergeCell ref="AE60:AE64"/>
    <mergeCell ref="AF60:AF64"/>
    <mergeCell ref="AG60:AG64"/>
    <mergeCell ref="V60:V62"/>
    <mergeCell ref="W60:W62"/>
    <mergeCell ref="X60:X62"/>
    <mergeCell ref="Y60:Y62"/>
    <mergeCell ref="Z60:Z62"/>
    <mergeCell ref="AA60:AA62"/>
    <mergeCell ref="Y63:Y64"/>
    <mergeCell ref="Z63:Z64"/>
    <mergeCell ref="AA63:AA64"/>
    <mergeCell ref="AN60:AN64"/>
    <mergeCell ref="AO60:AO64"/>
    <mergeCell ref="AP60:AP64"/>
    <mergeCell ref="AQ60:AQ64"/>
    <mergeCell ref="AR60:AR64"/>
    <mergeCell ref="AS60:AS64"/>
    <mergeCell ref="AH60:AH64"/>
    <mergeCell ref="AI60:AI64"/>
    <mergeCell ref="AJ60:AJ64"/>
    <mergeCell ref="AK60:AK64"/>
    <mergeCell ref="AL60:AL64"/>
    <mergeCell ref="AM60:AM64"/>
    <mergeCell ref="BB60:BB64"/>
    <mergeCell ref="BC60:BC64"/>
    <mergeCell ref="BD60:BD64"/>
    <mergeCell ref="BE60:BE64"/>
    <mergeCell ref="AT60:AT64"/>
    <mergeCell ref="AU60:AU64"/>
    <mergeCell ref="AV60:AV64"/>
    <mergeCell ref="AW60:AW64"/>
    <mergeCell ref="AX60:AX64"/>
    <mergeCell ref="AY60:AY64"/>
    <mergeCell ref="BR60:BR64"/>
    <mergeCell ref="J63:J64"/>
    <mergeCell ref="K63:K64"/>
    <mergeCell ref="L63:L64"/>
    <mergeCell ref="M63:M64"/>
    <mergeCell ref="N63:N64"/>
    <mergeCell ref="R63:R64"/>
    <mergeCell ref="V63:V64"/>
    <mergeCell ref="W63:W64"/>
    <mergeCell ref="X63:X64"/>
    <mergeCell ref="BL60:BL64"/>
    <mergeCell ref="BM60:BM64"/>
    <mergeCell ref="BN60:BN64"/>
    <mergeCell ref="BO60:BO64"/>
    <mergeCell ref="BP60:BP64"/>
    <mergeCell ref="BQ60:BQ64"/>
    <mergeCell ref="BF60:BF64"/>
    <mergeCell ref="BG60:BG64"/>
    <mergeCell ref="BH60:BH64"/>
    <mergeCell ref="BI60:BI64"/>
    <mergeCell ref="BJ60:BJ64"/>
    <mergeCell ref="BK60:BK64"/>
    <mergeCell ref="AZ60:AZ64"/>
    <mergeCell ref="BA60:BA64"/>
    <mergeCell ref="AD66:AD77"/>
    <mergeCell ref="AE66:AE77"/>
    <mergeCell ref="AF66:AF77"/>
    <mergeCell ref="AG66:AG77"/>
    <mergeCell ref="AH66:AH77"/>
    <mergeCell ref="W66:W67"/>
    <mergeCell ref="X66:X67"/>
    <mergeCell ref="Y66:Y67"/>
    <mergeCell ref="Z66:Z67"/>
    <mergeCell ref="AA66:AA77"/>
    <mergeCell ref="AB66:AB77"/>
    <mergeCell ref="W68:W69"/>
    <mergeCell ref="X68:X69"/>
    <mergeCell ref="Y68:Y69"/>
    <mergeCell ref="Z68:Z69"/>
    <mergeCell ref="Z74:Z75"/>
    <mergeCell ref="W76:W77"/>
    <mergeCell ref="X76:X77"/>
    <mergeCell ref="Y76:Y77"/>
    <mergeCell ref="Z76:Z77"/>
    <mergeCell ref="W70:W71"/>
    <mergeCell ref="X70:X71"/>
    <mergeCell ref="Y70:Y71"/>
    <mergeCell ref="Z70:Z71"/>
    <mergeCell ref="AO66:AO77"/>
    <mergeCell ref="AP66:AP77"/>
    <mergeCell ref="AQ66:AQ77"/>
    <mergeCell ref="AR66:AR77"/>
    <mergeCell ref="AS66:AS77"/>
    <mergeCell ref="AT66:AT77"/>
    <mergeCell ref="AI66:AI77"/>
    <mergeCell ref="AJ66:AJ77"/>
    <mergeCell ref="AK66:AK77"/>
    <mergeCell ref="AL66:AL77"/>
    <mergeCell ref="AM66:AM77"/>
    <mergeCell ref="AN66:AN77"/>
    <mergeCell ref="BA66:BA77"/>
    <mergeCell ref="BB66:BB77"/>
    <mergeCell ref="BC66:BC77"/>
    <mergeCell ref="BD66:BD77"/>
    <mergeCell ref="BE66:BE77"/>
    <mergeCell ref="BF66:BF77"/>
    <mergeCell ref="AU66:AU77"/>
    <mergeCell ref="AV66:AV77"/>
    <mergeCell ref="AW66:AW77"/>
    <mergeCell ref="AX66:AX77"/>
    <mergeCell ref="AY66:AY77"/>
    <mergeCell ref="AZ66:AZ77"/>
    <mergeCell ref="BM66:BM77"/>
    <mergeCell ref="BN66:BN77"/>
    <mergeCell ref="BO66:BO77"/>
    <mergeCell ref="BP66:BP77"/>
    <mergeCell ref="BQ66:BQ77"/>
    <mergeCell ref="BR66:BR77"/>
    <mergeCell ref="BG66:BG77"/>
    <mergeCell ref="BH66:BH77"/>
    <mergeCell ref="BI66:BI77"/>
    <mergeCell ref="BJ66:BJ77"/>
    <mergeCell ref="BK66:BK77"/>
    <mergeCell ref="BL66:BL77"/>
    <mergeCell ref="V72:V73"/>
    <mergeCell ref="W72:W73"/>
    <mergeCell ref="X72:X73"/>
    <mergeCell ref="Y72:Y73"/>
    <mergeCell ref="Z72:Z73"/>
    <mergeCell ref="V70:V71"/>
    <mergeCell ref="V74:V75"/>
    <mergeCell ref="G79:I84"/>
    <mergeCell ref="J79:J84"/>
    <mergeCell ref="K79:K84"/>
    <mergeCell ref="L79:L84"/>
    <mergeCell ref="M79:M84"/>
    <mergeCell ref="N79:N84"/>
    <mergeCell ref="W74:W75"/>
    <mergeCell ref="X74:X75"/>
    <mergeCell ref="Y74:Y75"/>
    <mergeCell ref="Q66:Q77"/>
    <mergeCell ref="R66:R77"/>
    <mergeCell ref="S66:S77"/>
    <mergeCell ref="T66:T77"/>
    <mergeCell ref="U66:U77"/>
    <mergeCell ref="V66:V67"/>
    <mergeCell ref="V68:V69"/>
    <mergeCell ref="U79:U84"/>
    <mergeCell ref="V79:V82"/>
    <mergeCell ref="AB79:AB84"/>
    <mergeCell ref="AC79:AC84"/>
    <mergeCell ref="AD79:AD84"/>
    <mergeCell ref="AE79:AE84"/>
    <mergeCell ref="O79:O84"/>
    <mergeCell ref="P79:P84"/>
    <mergeCell ref="Q79:Q84"/>
    <mergeCell ref="R79:R84"/>
    <mergeCell ref="S79:S84"/>
    <mergeCell ref="T79:T84"/>
    <mergeCell ref="AL79:AL84"/>
    <mergeCell ref="AM79:AM84"/>
    <mergeCell ref="AN79:AN84"/>
    <mergeCell ref="AO79:AO84"/>
    <mergeCell ref="AP79:AP84"/>
    <mergeCell ref="AQ79:AQ84"/>
    <mergeCell ref="AF79:AF84"/>
    <mergeCell ref="AG79:AG84"/>
    <mergeCell ref="AH79:AH84"/>
    <mergeCell ref="AI79:AI84"/>
    <mergeCell ref="AJ79:AJ84"/>
    <mergeCell ref="AK79:AK84"/>
    <mergeCell ref="AY79:AY84"/>
    <mergeCell ref="AZ79:AZ84"/>
    <mergeCell ref="BA79:BA84"/>
    <mergeCell ref="BB79:BB84"/>
    <mergeCell ref="BC79:BC84"/>
    <mergeCell ref="AR79:AR84"/>
    <mergeCell ref="AS79:AS84"/>
    <mergeCell ref="AT79:AT84"/>
    <mergeCell ref="AU79:AU84"/>
    <mergeCell ref="AV79:AV84"/>
    <mergeCell ref="AW79:AW84"/>
    <mergeCell ref="J88:P88"/>
    <mergeCell ref="D92:M92"/>
    <mergeCell ref="BP79:BP84"/>
    <mergeCell ref="BQ79:BQ84"/>
    <mergeCell ref="BR79:BR84"/>
    <mergeCell ref="V83:V84"/>
    <mergeCell ref="W83:W84"/>
    <mergeCell ref="X83:X84"/>
    <mergeCell ref="Y83:Y84"/>
    <mergeCell ref="Z83:Z84"/>
    <mergeCell ref="AA83:AA84"/>
    <mergeCell ref="BJ79:BJ84"/>
    <mergeCell ref="BK79:BK84"/>
    <mergeCell ref="BL79:BL84"/>
    <mergeCell ref="BM79:BM84"/>
    <mergeCell ref="BN79:BN84"/>
    <mergeCell ref="BO79:BO84"/>
    <mergeCell ref="BD79:BD84"/>
    <mergeCell ref="BE79:BE84"/>
    <mergeCell ref="BF79:BF84"/>
    <mergeCell ref="BG79:BG84"/>
    <mergeCell ref="BH79:BH84"/>
    <mergeCell ref="BI79:BI84"/>
    <mergeCell ref="AX79:AX8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85"/>
  <sheetViews>
    <sheetView showGridLines="0" zoomScale="70" zoomScaleNormal="70" workbookViewId="0">
      <selection sqref="A1:BK4"/>
    </sheetView>
  </sheetViews>
  <sheetFormatPr baseColWidth="10" defaultColWidth="11.42578125" defaultRowHeight="14.25" x14ac:dyDescent="0.25"/>
  <cols>
    <col min="1" max="1" width="13.140625" style="1287" customWidth="1"/>
    <col min="2" max="2" width="17.140625" style="1088" customWidth="1"/>
    <col min="3" max="3" width="13" style="1088" customWidth="1"/>
    <col min="4" max="4" width="15.140625" style="1088" customWidth="1"/>
    <col min="5" max="5" width="14.85546875" style="1088" customWidth="1"/>
    <col min="6" max="6" width="23.7109375" style="1088" customWidth="1"/>
    <col min="7" max="7" width="17.140625" style="1094" customWidth="1"/>
    <col min="8" max="8" width="46.85546875" style="439" customWidth="1"/>
    <col min="9" max="9" width="33" style="1087" customWidth="1"/>
    <col min="10" max="10" width="10.7109375" style="1087" customWidth="1"/>
    <col min="11" max="11" width="10.7109375" style="446" customWidth="1"/>
    <col min="12" max="12" width="31.85546875" style="1087" customWidth="1"/>
    <col min="13" max="13" width="23.140625" style="446" customWidth="1"/>
    <col min="14" max="14" width="25.7109375" style="439" customWidth="1"/>
    <col min="15" max="15" width="25.42578125" style="1288" bestFit="1" customWidth="1"/>
    <col min="16" max="16" width="28.140625" style="443" customWidth="1"/>
    <col min="17" max="17" width="41.85546875" style="439" customWidth="1"/>
    <col min="18" max="18" width="52.140625" style="439" customWidth="1"/>
    <col min="19" max="19" width="47.85546875" style="439" bestFit="1" customWidth="1"/>
    <col min="20" max="20" width="25" style="444" customWidth="1"/>
    <col min="21" max="21" width="28.42578125" style="444" customWidth="1"/>
    <col min="22" max="22" width="27.140625" style="444" customWidth="1"/>
    <col min="23" max="23" width="13.42578125" style="445" customWidth="1"/>
    <col min="24" max="24" width="28.5703125" style="446" bestFit="1" customWidth="1"/>
    <col min="25" max="25" width="8.7109375" style="1088" bestFit="1" customWidth="1"/>
    <col min="26" max="26" width="6.28515625" style="1088" bestFit="1" customWidth="1"/>
    <col min="27" max="27" width="8.7109375" style="1088" bestFit="1" customWidth="1"/>
    <col min="28" max="28" width="5" style="1088" bestFit="1" customWidth="1"/>
    <col min="29" max="29" width="7.42578125" style="1088" bestFit="1" customWidth="1"/>
    <col min="30" max="30" width="5" style="1088" bestFit="1" customWidth="1"/>
    <col min="31" max="31" width="7.140625" style="1088" bestFit="1" customWidth="1"/>
    <col min="32" max="32" width="5" style="1088" bestFit="1" customWidth="1"/>
    <col min="33" max="33" width="7.85546875" style="1088" bestFit="1" customWidth="1"/>
    <col min="34" max="34" width="6.28515625" style="1088" bestFit="1" customWidth="1"/>
    <col min="35" max="35" width="7.42578125" style="1088" bestFit="1" customWidth="1"/>
    <col min="36" max="36" width="5" style="1088" bestFit="1" customWidth="1"/>
    <col min="37" max="40" width="3.85546875" style="1088" bestFit="1" customWidth="1"/>
    <col min="41" max="41" width="3.42578125" style="1088" bestFit="1" customWidth="1"/>
    <col min="42" max="42" width="3.85546875" style="1088" bestFit="1" customWidth="1"/>
    <col min="43" max="43" width="3.42578125" style="1088" bestFit="1" customWidth="1"/>
    <col min="44" max="44" width="3.85546875" style="1088" bestFit="1" customWidth="1"/>
    <col min="45" max="45" width="3.42578125" style="1088" bestFit="1" customWidth="1"/>
    <col min="46" max="46" width="3.140625" style="1088" bestFit="1" customWidth="1"/>
    <col min="47" max="47" width="3.42578125" style="1088" bestFit="1" customWidth="1"/>
    <col min="48" max="48" width="3.140625" style="1088" bestFit="1" customWidth="1"/>
    <col min="49" max="49" width="5" style="1088" bestFit="1" customWidth="1"/>
    <col min="50" max="54" width="3.85546875" style="1088" bestFit="1" customWidth="1"/>
    <col min="55" max="55" width="8.28515625" style="1088" bestFit="1" customWidth="1"/>
    <col min="56" max="56" width="6.28515625" style="1088" bestFit="1" customWidth="1"/>
    <col min="57" max="57" width="15.85546875" style="1088" bestFit="1" customWidth="1"/>
    <col min="58" max="58" width="22.7109375" style="1088" customWidth="1"/>
    <col min="59" max="59" width="20.28515625" style="1088" customWidth="1"/>
    <col min="60" max="60" width="15" style="1088" customWidth="1"/>
    <col min="61" max="61" width="14.7109375" style="1088" customWidth="1"/>
    <col min="62" max="62" width="18.140625" style="1088" customWidth="1"/>
    <col min="63" max="64" width="13.7109375" style="447" customWidth="1"/>
    <col min="65" max="65" width="13.7109375" style="1295" customWidth="1"/>
    <col min="66" max="66" width="17.140625" style="1295" customWidth="1"/>
    <col min="67" max="67" width="20.85546875" style="450" customWidth="1"/>
    <col min="68" max="269" width="11.42578125" style="1088"/>
    <col min="270" max="270" width="13.140625" style="1088" customWidth="1"/>
    <col min="271" max="271" width="35.28515625" style="1088" customWidth="1"/>
    <col min="272" max="272" width="12.85546875" style="1088" customWidth="1"/>
    <col min="273" max="273" width="19.5703125" style="1088" customWidth="1"/>
    <col min="274" max="274" width="12.28515625" style="1088" customWidth="1"/>
    <col min="275" max="275" width="21.28515625" style="1088" customWidth="1"/>
    <col min="276" max="276" width="11.5703125" style="1088" customWidth="1"/>
    <col min="277" max="277" width="33.140625" style="1088" customWidth="1"/>
    <col min="278" max="278" width="22.7109375" style="1088" customWidth="1"/>
    <col min="279" max="279" width="10.7109375" style="1088" customWidth="1"/>
    <col min="280" max="280" width="27.7109375" style="1088" customWidth="1"/>
    <col min="281" max="281" width="21.42578125" style="1088" customWidth="1"/>
    <col min="282" max="282" width="22.140625" style="1088" customWidth="1"/>
    <col min="283" max="283" width="12.7109375" style="1088" customWidth="1"/>
    <col min="284" max="284" width="16.42578125" style="1088" customWidth="1"/>
    <col min="285" max="285" width="29.7109375" style="1088" customWidth="1"/>
    <col min="286" max="286" width="29.140625" style="1088" customWidth="1"/>
    <col min="287" max="287" width="33.5703125" style="1088" customWidth="1"/>
    <col min="288" max="288" width="25" style="1088" customWidth="1"/>
    <col min="289" max="289" width="11.7109375" style="1088" customWidth="1"/>
    <col min="290" max="290" width="17.28515625" style="1088" customWidth="1"/>
    <col min="291" max="306" width="7.28515625" style="1088" customWidth="1"/>
    <col min="307" max="308" width="13.7109375" style="1088" customWidth="1"/>
    <col min="309" max="309" width="20.85546875" style="1088" customWidth="1"/>
    <col min="310" max="525" width="11.42578125" style="1088"/>
    <col min="526" max="526" width="13.140625" style="1088" customWidth="1"/>
    <col min="527" max="527" width="35.28515625" style="1088" customWidth="1"/>
    <col min="528" max="528" width="12.85546875" style="1088" customWidth="1"/>
    <col min="529" max="529" width="19.5703125" style="1088" customWidth="1"/>
    <col min="530" max="530" width="12.28515625" style="1088" customWidth="1"/>
    <col min="531" max="531" width="21.28515625" style="1088" customWidth="1"/>
    <col min="532" max="532" width="11.5703125" style="1088" customWidth="1"/>
    <col min="533" max="533" width="33.140625" style="1088" customWidth="1"/>
    <col min="534" max="534" width="22.7109375" style="1088" customWidth="1"/>
    <col min="535" max="535" width="10.7109375" style="1088" customWidth="1"/>
    <col min="536" max="536" width="27.7109375" style="1088" customWidth="1"/>
    <col min="537" max="537" width="21.42578125" style="1088" customWidth="1"/>
    <col min="538" max="538" width="22.140625" style="1088" customWidth="1"/>
    <col min="539" max="539" width="12.7109375" style="1088" customWidth="1"/>
    <col min="540" max="540" width="16.42578125" style="1088" customWidth="1"/>
    <col min="541" max="541" width="29.7109375" style="1088" customWidth="1"/>
    <col min="542" max="542" width="29.140625" style="1088" customWidth="1"/>
    <col min="543" max="543" width="33.5703125" style="1088" customWidth="1"/>
    <col min="544" max="544" width="25" style="1088" customWidth="1"/>
    <col min="545" max="545" width="11.7109375" style="1088" customWidth="1"/>
    <col min="546" max="546" width="17.28515625" style="1088" customWidth="1"/>
    <col min="547" max="562" width="7.28515625" style="1088" customWidth="1"/>
    <col min="563" max="564" width="13.7109375" style="1088" customWidth="1"/>
    <col min="565" max="565" width="20.85546875" style="1088" customWidth="1"/>
    <col min="566" max="781" width="11.42578125" style="1088"/>
    <col min="782" max="782" width="13.140625" style="1088" customWidth="1"/>
    <col min="783" max="783" width="35.28515625" style="1088" customWidth="1"/>
    <col min="784" max="784" width="12.85546875" style="1088" customWidth="1"/>
    <col min="785" max="785" width="19.5703125" style="1088" customWidth="1"/>
    <col min="786" max="786" width="12.28515625" style="1088" customWidth="1"/>
    <col min="787" max="787" width="21.28515625" style="1088" customWidth="1"/>
    <col min="788" max="788" width="11.5703125" style="1088" customWidth="1"/>
    <col min="789" max="789" width="33.140625" style="1088" customWidth="1"/>
    <col min="790" max="790" width="22.7109375" style="1088" customWidth="1"/>
    <col min="791" max="791" width="10.7109375" style="1088" customWidth="1"/>
    <col min="792" max="792" width="27.7109375" style="1088" customWidth="1"/>
    <col min="793" max="793" width="21.42578125" style="1088" customWidth="1"/>
    <col min="794" max="794" width="22.140625" style="1088" customWidth="1"/>
    <col min="795" max="795" width="12.7109375" style="1088" customWidth="1"/>
    <col min="796" max="796" width="16.42578125" style="1088" customWidth="1"/>
    <col min="797" max="797" width="29.7109375" style="1088" customWidth="1"/>
    <col min="798" max="798" width="29.140625" style="1088" customWidth="1"/>
    <col min="799" max="799" width="33.5703125" style="1088" customWidth="1"/>
    <col min="800" max="800" width="25" style="1088" customWidth="1"/>
    <col min="801" max="801" width="11.7109375" style="1088" customWidth="1"/>
    <col min="802" max="802" width="17.28515625" style="1088" customWidth="1"/>
    <col min="803" max="818" width="7.28515625" style="1088" customWidth="1"/>
    <col min="819" max="820" width="13.7109375" style="1088" customWidth="1"/>
    <col min="821" max="821" width="20.85546875" style="1088" customWidth="1"/>
    <col min="822" max="1037" width="11.42578125" style="1088"/>
    <col min="1038" max="1038" width="13.140625" style="1088" customWidth="1"/>
    <col min="1039" max="1039" width="35.28515625" style="1088" customWidth="1"/>
    <col min="1040" max="1040" width="12.85546875" style="1088" customWidth="1"/>
    <col min="1041" max="1041" width="19.5703125" style="1088" customWidth="1"/>
    <col min="1042" max="1042" width="12.28515625" style="1088" customWidth="1"/>
    <col min="1043" max="1043" width="21.28515625" style="1088" customWidth="1"/>
    <col min="1044" max="1044" width="11.5703125" style="1088" customWidth="1"/>
    <col min="1045" max="1045" width="33.140625" style="1088" customWidth="1"/>
    <col min="1046" max="1046" width="22.7109375" style="1088" customWidth="1"/>
    <col min="1047" max="1047" width="10.7109375" style="1088" customWidth="1"/>
    <col min="1048" max="1048" width="27.7109375" style="1088" customWidth="1"/>
    <col min="1049" max="1049" width="21.42578125" style="1088" customWidth="1"/>
    <col min="1050" max="1050" width="22.140625" style="1088" customWidth="1"/>
    <col min="1051" max="1051" width="12.7109375" style="1088" customWidth="1"/>
    <col min="1052" max="1052" width="16.42578125" style="1088" customWidth="1"/>
    <col min="1053" max="1053" width="29.7109375" style="1088" customWidth="1"/>
    <col min="1054" max="1054" width="29.140625" style="1088" customWidth="1"/>
    <col min="1055" max="1055" width="33.5703125" style="1088" customWidth="1"/>
    <col min="1056" max="1056" width="25" style="1088" customWidth="1"/>
    <col min="1057" max="1057" width="11.7109375" style="1088" customWidth="1"/>
    <col min="1058" max="1058" width="17.28515625" style="1088" customWidth="1"/>
    <col min="1059" max="1074" width="7.28515625" style="1088" customWidth="1"/>
    <col min="1075" max="1076" width="13.7109375" style="1088" customWidth="1"/>
    <col min="1077" max="1077" width="20.85546875" style="1088" customWidth="1"/>
    <col min="1078" max="1293" width="11.42578125" style="1088"/>
    <col min="1294" max="1294" width="13.140625" style="1088" customWidth="1"/>
    <col min="1295" max="1295" width="35.28515625" style="1088" customWidth="1"/>
    <col min="1296" max="1296" width="12.85546875" style="1088" customWidth="1"/>
    <col min="1297" max="1297" width="19.5703125" style="1088" customWidth="1"/>
    <col min="1298" max="1298" width="12.28515625" style="1088" customWidth="1"/>
    <col min="1299" max="1299" width="21.28515625" style="1088" customWidth="1"/>
    <col min="1300" max="1300" width="11.5703125" style="1088" customWidth="1"/>
    <col min="1301" max="1301" width="33.140625" style="1088" customWidth="1"/>
    <col min="1302" max="1302" width="22.7109375" style="1088" customWidth="1"/>
    <col min="1303" max="1303" width="10.7109375" style="1088" customWidth="1"/>
    <col min="1304" max="1304" width="27.7109375" style="1088" customWidth="1"/>
    <col min="1305" max="1305" width="21.42578125" style="1088" customWidth="1"/>
    <col min="1306" max="1306" width="22.140625" style="1088" customWidth="1"/>
    <col min="1307" max="1307" width="12.7109375" style="1088" customWidth="1"/>
    <col min="1308" max="1308" width="16.42578125" style="1088" customWidth="1"/>
    <col min="1309" max="1309" width="29.7109375" style="1088" customWidth="1"/>
    <col min="1310" max="1310" width="29.140625" style="1088" customWidth="1"/>
    <col min="1311" max="1311" width="33.5703125" style="1088" customWidth="1"/>
    <col min="1312" max="1312" width="25" style="1088" customWidth="1"/>
    <col min="1313" max="1313" width="11.7109375" style="1088" customWidth="1"/>
    <col min="1314" max="1314" width="17.28515625" style="1088" customWidth="1"/>
    <col min="1315" max="1330" width="7.28515625" style="1088" customWidth="1"/>
    <col min="1331" max="1332" width="13.7109375" style="1088" customWidth="1"/>
    <col min="1333" max="1333" width="20.85546875" style="1088" customWidth="1"/>
    <col min="1334" max="1549" width="11.42578125" style="1088"/>
    <col min="1550" max="1550" width="13.140625" style="1088" customWidth="1"/>
    <col min="1551" max="1551" width="35.28515625" style="1088" customWidth="1"/>
    <col min="1552" max="1552" width="12.85546875" style="1088" customWidth="1"/>
    <col min="1553" max="1553" width="19.5703125" style="1088" customWidth="1"/>
    <col min="1554" max="1554" width="12.28515625" style="1088" customWidth="1"/>
    <col min="1555" max="1555" width="21.28515625" style="1088" customWidth="1"/>
    <col min="1556" max="1556" width="11.5703125" style="1088" customWidth="1"/>
    <col min="1557" max="1557" width="33.140625" style="1088" customWidth="1"/>
    <col min="1558" max="1558" width="22.7109375" style="1088" customWidth="1"/>
    <col min="1559" max="1559" width="10.7109375" style="1088" customWidth="1"/>
    <col min="1560" max="1560" width="27.7109375" style="1088" customWidth="1"/>
    <col min="1561" max="1561" width="21.42578125" style="1088" customWidth="1"/>
    <col min="1562" max="1562" width="22.140625" style="1088" customWidth="1"/>
    <col min="1563" max="1563" width="12.7109375" style="1088" customWidth="1"/>
    <col min="1564" max="1564" width="16.42578125" style="1088" customWidth="1"/>
    <col min="1565" max="1565" width="29.7109375" style="1088" customWidth="1"/>
    <col min="1566" max="1566" width="29.140625" style="1088" customWidth="1"/>
    <col min="1567" max="1567" width="33.5703125" style="1088" customWidth="1"/>
    <col min="1568" max="1568" width="25" style="1088" customWidth="1"/>
    <col min="1569" max="1569" width="11.7109375" style="1088" customWidth="1"/>
    <col min="1570" max="1570" width="17.28515625" style="1088" customWidth="1"/>
    <col min="1571" max="1586" width="7.28515625" style="1088" customWidth="1"/>
    <col min="1587" max="1588" width="13.7109375" style="1088" customWidth="1"/>
    <col min="1589" max="1589" width="20.85546875" style="1088" customWidth="1"/>
    <col min="1590" max="1805" width="11.42578125" style="1088"/>
    <col min="1806" max="1806" width="13.140625" style="1088" customWidth="1"/>
    <col min="1807" max="1807" width="35.28515625" style="1088" customWidth="1"/>
    <col min="1808" max="1808" width="12.85546875" style="1088" customWidth="1"/>
    <col min="1809" max="1809" width="19.5703125" style="1088" customWidth="1"/>
    <col min="1810" max="1810" width="12.28515625" style="1088" customWidth="1"/>
    <col min="1811" max="1811" width="21.28515625" style="1088" customWidth="1"/>
    <col min="1812" max="1812" width="11.5703125" style="1088" customWidth="1"/>
    <col min="1813" max="1813" width="33.140625" style="1088" customWidth="1"/>
    <col min="1814" max="1814" width="22.7109375" style="1088" customWidth="1"/>
    <col min="1815" max="1815" width="10.7109375" style="1088" customWidth="1"/>
    <col min="1816" max="1816" width="27.7109375" style="1088" customWidth="1"/>
    <col min="1817" max="1817" width="21.42578125" style="1088" customWidth="1"/>
    <col min="1818" max="1818" width="22.140625" style="1088" customWidth="1"/>
    <col min="1819" max="1819" width="12.7109375" style="1088" customWidth="1"/>
    <col min="1820" max="1820" width="16.42578125" style="1088" customWidth="1"/>
    <col min="1821" max="1821" width="29.7109375" style="1088" customWidth="1"/>
    <col min="1822" max="1822" width="29.140625" style="1088" customWidth="1"/>
    <col min="1823" max="1823" width="33.5703125" style="1088" customWidth="1"/>
    <col min="1824" max="1824" width="25" style="1088" customWidth="1"/>
    <col min="1825" max="1825" width="11.7109375" style="1088" customWidth="1"/>
    <col min="1826" max="1826" width="17.28515625" style="1088" customWidth="1"/>
    <col min="1827" max="1842" width="7.28515625" style="1088" customWidth="1"/>
    <col min="1843" max="1844" width="13.7109375" style="1088" customWidth="1"/>
    <col min="1845" max="1845" width="20.85546875" style="1088" customWidth="1"/>
    <col min="1846" max="2061" width="11.42578125" style="1088"/>
    <col min="2062" max="2062" width="13.140625" style="1088" customWidth="1"/>
    <col min="2063" max="2063" width="35.28515625" style="1088" customWidth="1"/>
    <col min="2064" max="2064" width="12.85546875" style="1088" customWidth="1"/>
    <col min="2065" max="2065" width="19.5703125" style="1088" customWidth="1"/>
    <col min="2066" max="2066" width="12.28515625" style="1088" customWidth="1"/>
    <col min="2067" max="2067" width="21.28515625" style="1088" customWidth="1"/>
    <col min="2068" max="2068" width="11.5703125" style="1088" customWidth="1"/>
    <col min="2069" max="2069" width="33.140625" style="1088" customWidth="1"/>
    <col min="2070" max="2070" width="22.7109375" style="1088" customWidth="1"/>
    <col min="2071" max="2071" width="10.7109375" style="1088" customWidth="1"/>
    <col min="2072" max="2072" width="27.7109375" style="1088" customWidth="1"/>
    <col min="2073" max="2073" width="21.42578125" style="1088" customWidth="1"/>
    <col min="2074" max="2074" width="22.140625" style="1088" customWidth="1"/>
    <col min="2075" max="2075" width="12.7109375" style="1088" customWidth="1"/>
    <col min="2076" max="2076" width="16.42578125" style="1088" customWidth="1"/>
    <col min="2077" max="2077" width="29.7109375" style="1088" customWidth="1"/>
    <col min="2078" max="2078" width="29.140625" style="1088" customWidth="1"/>
    <col min="2079" max="2079" width="33.5703125" style="1088" customWidth="1"/>
    <col min="2080" max="2080" width="25" style="1088" customWidth="1"/>
    <col min="2081" max="2081" width="11.7109375" style="1088" customWidth="1"/>
    <col min="2082" max="2082" width="17.28515625" style="1088" customWidth="1"/>
    <col min="2083" max="2098" width="7.28515625" style="1088" customWidth="1"/>
    <col min="2099" max="2100" width="13.7109375" style="1088" customWidth="1"/>
    <col min="2101" max="2101" width="20.85546875" style="1088" customWidth="1"/>
    <col min="2102" max="2317" width="11.42578125" style="1088"/>
    <col min="2318" max="2318" width="13.140625" style="1088" customWidth="1"/>
    <col min="2319" max="2319" width="35.28515625" style="1088" customWidth="1"/>
    <col min="2320" max="2320" width="12.85546875" style="1088" customWidth="1"/>
    <col min="2321" max="2321" width="19.5703125" style="1088" customWidth="1"/>
    <col min="2322" max="2322" width="12.28515625" style="1088" customWidth="1"/>
    <col min="2323" max="2323" width="21.28515625" style="1088" customWidth="1"/>
    <col min="2324" max="2324" width="11.5703125" style="1088" customWidth="1"/>
    <col min="2325" max="2325" width="33.140625" style="1088" customWidth="1"/>
    <col min="2326" max="2326" width="22.7109375" style="1088" customWidth="1"/>
    <col min="2327" max="2327" width="10.7109375" style="1088" customWidth="1"/>
    <col min="2328" max="2328" width="27.7109375" style="1088" customWidth="1"/>
    <col min="2329" max="2329" width="21.42578125" style="1088" customWidth="1"/>
    <col min="2330" max="2330" width="22.140625" style="1088" customWidth="1"/>
    <col min="2331" max="2331" width="12.7109375" style="1088" customWidth="1"/>
    <col min="2332" max="2332" width="16.42578125" style="1088" customWidth="1"/>
    <col min="2333" max="2333" width="29.7109375" style="1088" customWidth="1"/>
    <col min="2334" max="2334" width="29.140625" style="1088" customWidth="1"/>
    <col min="2335" max="2335" width="33.5703125" style="1088" customWidth="1"/>
    <col min="2336" max="2336" width="25" style="1088" customWidth="1"/>
    <col min="2337" max="2337" width="11.7109375" style="1088" customWidth="1"/>
    <col min="2338" max="2338" width="17.28515625" style="1088" customWidth="1"/>
    <col min="2339" max="2354" width="7.28515625" style="1088" customWidth="1"/>
    <col min="2355" max="2356" width="13.7109375" style="1088" customWidth="1"/>
    <col min="2357" max="2357" width="20.85546875" style="1088" customWidth="1"/>
    <col min="2358" max="2573" width="11.42578125" style="1088"/>
    <col min="2574" max="2574" width="13.140625" style="1088" customWidth="1"/>
    <col min="2575" max="2575" width="35.28515625" style="1088" customWidth="1"/>
    <col min="2576" max="2576" width="12.85546875" style="1088" customWidth="1"/>
    <col min="2577" max="2577" width="19.5703125" style="1088" customWidth="1"/>
    <col min="2578" max="2578" width="12.28515625" style="1088" customWidth="1"/>
    <col min="2579" max="2579" width="21.28515625" style="1088" customWidth="1"/>
    <col min="2580" max="2580" width="11.5703125" style="1088" customWidth="1"/>
    <col min="2581" max="2581" width="33.140625" style="1088" customWidth="1"/>
    <col min="2582" max="2582" width="22.7109375" style="1088" customWidth="1"/>
    <col min="2583" max="2583" width="10.7109375" style="1088" customWidth="1"/>
    <col min="2584" max="2584" width="27.7109375" style="1088" customWidth="1"/>
    <col min="2585" max="2585" width="21.42578125" style="1088" customWidth="1"/>
    <col min="2586" max="2586" width="22.140625" style="1088" customWidth="1"/>
    <col min="2587" max="2587" width="12.7109375" style="1088" customWidth="1"/>
    <col min="2588" max="2588" width="16.42578125" style="1088" customWidth="1"/>
    <col min="2589" max="2589" width="29.7109375" style="1088" customWidth="1"/>
    <col min="2590" max="2590" width="29.140625" style="1088" customWidth="1"/>
    <col min="2591" max="2591" width="33.5703125" style="1088" customWidth="1"/>
    <col min="2592" max="2592" width="25" style="1088" customWidth="1"/>
    <col min="2593" max="2593" width="11.7109375" style="1088" customWidth="1"/>
    <col min="2594" max="2594" width="17.28515625" style="1088" customWidth="1"/>
    <col min="2595" max="2610" width="7.28515625" style="1088" customWidth="1"/>
    <col min="2611" max="2612" width="13.7109375" style="1088" customWidth="1"/>
    <col min="2613" max="2613" width="20.85546875" style="1088" customWidth="1"/>
    <col min="2614" max="2829" width="11.42578125" style="1088"/>
    <col min="2830" max="2830" width="13.140625" style="1088" customWidth="1"/>
    <col min="2831" max="2831" width="35.28515625" style="1088" customWidth="1"/>
    <col min="2832" max="2832" width="12.85546875" style="1088" customWidth="1"/>
    <col min="2833" max="2833" width="19.5703125" style="1088" customWidth="1"/>
    <col min="2834" max="2834" width="12.28515625" style="1088" customWidth="1"/>
    <col min="2835" max="2835" width="21.28515625" style="1088" customWidth="1"/>
    <col min="2836" max="2836" width="11.5703125" style="1088" customWidth="1"/>
    <col min="2837" max="2837" width="33.140625" style="1088" customWidth="1"/>
    <col min="2838" max="2838" width="22.7109375" style="1088" customWidth="1"/>
    <col min="2839" max="2839" width="10.7109375" style="1088" customWidth="1"/>
    <col min="2840" max="2840" width="27.7109375" style="1088" customWidth="1"/>
    <col min="2841" max="2841" width="21.42578125" style="1088" customWidth="1"/>
    <col min="2842" max="2842" width="22.140625" style="1088" customWidth="1"/>
    <col min="2843" max="2843" width="12.7109375" style="1088" customWidth="1"/>
    <col min="2844" max="2844" width="16.42578125" style="1088" customWidth="1"/>
    <col min="2845" max="2845" width="29.7109375" style="1088" customWidth="1"/>
    <col min="2846" max="2846" width="29.140625" style="1088" customWidth="1"/>
    <col min="2847" max="2847" width="33.5703125" style="1088" customWidth="1"/>
    <col min="2848" max="2848" width="25" style="1088" customWidth="1"/>
    <col min="2849" max="2849" width="11.7109375" style="1088" customWidth="1"/>
    <col min="2850" max="2850" width="17.28515625" style="1088" customWidth="1"/>
    <col min="2851" max="2866" width="7.28515625" style="1088" customWidth="1"/>
    <col min="2867" max="2868" width="13.7109375" style="1088" customWidth="1"/>
    <col min="2869" max="2869" width="20.85546875" style="1088" customWidth="1"/>
    <col min="2870" max="3085" width="11.42578125" style="1088"/>
    <col min="3086" max="3086" width="13.140625" style="1088" customWidth="1"/>
    <col min="3087" max="3087" width="35.28515625" style="1088" customWidth="1"/>
    <col min="3088" max="3088" width="12.85546875" style="1088" customWidth="1"/>
    <col min="3089" max="3089" width="19.5703125" style="1088" customWidth="1"/>
    <col min="3090" max="3090" width="12.28515625" style="1088" customWidth="1"/>
    <col min="3091" max="3091" width="21.28515625" style="1088" customWidth="1"/>
    <col min="3092" max="3092" width="11.5703125" style="1088" customWidth="1"/>
    <col min="3093" max="3093" width="33.140625" style="1088" customWidth="1"/>
    <col min="3094" max="3094" width="22.7109375" style="1088" customWidth="1"/>
    <col min="3095" max="3095" width="10.7109375" style="1088" customWidth="1"/>
    <col min="3096" max="3096" width="27.7109375" style="1088" customWidth="1"/>
    <col min="3097" max="3097" width="21.42578125" style="1088" customWidth="1"/>
    <col min="3098" max="3098" width="22.140625" style="1088" customWidth="1"/>
    <col min="3099" max="3099" width="12.7109375" style="1088" customWidth="1"/>
    <col min="3100" max="3100" width="16.42578125" style="1088" customWidth="1"/>
    <col min="3101" max="3101" width="29.7109375" style="1088" customWidth="1"/>
    <col min="3102" max="3102" width="29.140625" style="1088" customWidth="1"/>
    <col min="3103" max="3103" width="33.5703125" style="1088" customWidth="1"/>
    <col min="3104" max="3104" width="25" style="1088" customWidth="1"/>
    <col min="3105" max="3105" width="11.7109375" style="1088" customWidth="1"/>
    <col min="3106" max="3106" width="17.28515625" style="1088" customWidth="1"/>
    <col min="3107" max="3122" width="7.28515625" style="1088" customWidth="1"/>
    <col min="3123" max="3124" width="13.7109375" style="1088" customWidth="1"/>
    <col min="3125" max="3125" width="20.85546875" style="1088" customWidth="1"/>
    <col min="3126" max="3341" width="11.42578125" style="1088"/>
    <col min="3342" max="3342" width="13.140625" style="1088" customWidth="1"/>
    <col min="3343" max="3343" width="35.28515625" style="1088" customWidth="1"/>
    <col min="3344" max="3344" width="12.85546875" style="1088" customWidth="1"/>
    <col min="3345" max="3345" width="19.5703125" style="1088" customWidth="1"/>
    <col min="3346" max="3346" width="12.28515625" style="1088" customWidth="1"/>
    <col min="3347" max="3347" width="21.28515625" style="1088" customWidth="1"/>
    <col min="3348" max="3348" width="11.5703125" style="1088" customWidth="1"/>
    <col min="3349" max="3349" width="33.140625" style="1088" customWidth="1"/>
    <col min="3350" max="3350" width="22.7109375" style="1088" customWidth="1"/>
    <col min="3351" max="3351" width="10.7109375" style="1088" customWidth="1"/>
    <col min="3352" max="3352" width="27.7109375" style="1088" customWidth="1"/>
    <col min="3353" max="3353" width="21.42578125" style="1088" customWidth="1"/>
    <col min="3354" max="3354" width="22.140625" style="1088" customWidth="1"/>
    <col min="3355" max="3355" width="12.7109375" style="1088" customWidth="1"/>
    <col min="3356" max="3356" width="16.42578125" style="1088" customWidth="1"/>
    <col min="3357" max="3357" width="29.7109375" style="1088" customWidth="1"/>
    <col min="3358" max="3358" width="29.140625" style="1088" customWidth="1"/>
    <col min="3359" max="3359" width="33.5703125" style="1088" customWidth="1"/>
    <col min="3360" max="3360" width="25" style="1088" customWidth="1"/>
    <col min="3361" max="3361" width="11.7109375" style="1088" customWidth="1"/>
    <col min="3362" max="3362" width="17.28515625" style="1088" customWidth="1"/>
    <col min="3363" max="3378" width="7.28515625" style="1088" customWidth="1"/>
    <col min="3379" max="3380" width="13.7109375" style="1088" customWidth="1"/>
    <col min="3381" max="3381" width="20.85546875" style="1088" customWidth="1"/>
    <col min="3382" max="3597" width="11.42578125" style="1088"/>
    <col min="3598" max="3598" width="13.140625" style="1088" customWidth="1"/>
    <col min="3599" max="3599" width="35.28515625" style="1088" customWidth="1"/>
    <col min="3600" max="3600" width="12.85546875" style="1088" customWidth="1"/>
    <col min="3601" max="3601" width="19.5703125" style="1088" customWidth="1"/>
    <col min="3602" max="3602" width="12.28515625" style="1088" customWidth="1"/>
    <col min="3603" max="3603" width="21.28515625" style="1088" customWidth="1"/>
    <col min="3604" max="3604" width="11.5703125" style="1088" customWidth="1"/>
    <col min="3605" max="3605" width="33.140625" style="1088" customWidth="1"/>
    <col min="3606" max="3606" width="22.7109375" style="1088" customWidth="1"/>
    <col min="3607" max="3607" width="10.7109375" style="1088" customWidth="1"/>
    <col min="3608" max="3608" width="27.7109375" style="1088" customWidth="1"/>
    <col min="3609" max="3609" width="21.42578125" style="1088" customWidth="1"/>
    <col min="3610" max="3610" width="22.140625" style="1088" customWidth="1"/>
    <col min="3611" max="3611" width="12.7109375" style="1088" customWidth="1"/>
    <col min="3612" max="3612" width="16.42578125" style="1088" customWidth="1"/>
    <col min="3613" max="3613" width="29.7109375" style="1088" customWidth="1"/>
    <col min="3614" max="3614" width="29.140625" style="1088" customWidth="1"/>
    <col min="3615" max="3615" width="33.5703125" style="1088" customWidth="1"/>
    <col min="3616" max="3616" width="25" style="1088" customWidth="1"/>
    <col min="3617" max="3617" width="11.7109375" style="1088" customWidth="1"/>
    <col min="3618" max="3618" width="17.28515625" style="1088" customWidth="1"/>
    <col min="3619" max="3634" width="7.28515625" style="1088" customWidth="1"/>
    <col min="3635" max="3636" width="13.7109375" style="1088" customWidth="1"/>
    <col min="3637" max="3637" width="20.85546875" style="1088" customWidth="1"/>
    <col min="3638" max="3853" width="11.42578125" style="1088"/>
    <col min="3854" max="3854" width="13.140625" style="1088" customWidth="1"/>
    <col min="3855" max="3855" width="35.28515625" style="1088" customWidth="1"/>
    <col min="3856" max="3856" width="12.85546875" style="1088" customWidth="1"/>
    <col min="3857" max="3857" width="19.5703125" style="1088" customWidth="1"/>
    <col min="3858" max="3858" width="12.28515625" style="1088" customWidth="1"/>
    <col min="3859" max="3859" width="21.28515625" style="1088" customWidth="1"/>
    <col min="3860" max="3860" width="11.5703125" style="1088" customWidth="1"/>
    <col min="3861" max="3861" width="33.140625" style="1088" customWidth="1"/>
    <col min="3862" max="3862" width="22.7109375" style="1088" customWidth="1"/>
    <col min="3863" max="3863" width="10.7109375" style="1088" customWidth="1"/>
    <col min="3864" max="3864" width="27.7109375" style="1088" customWidth="1"/>
    <col min="3865" max="3865" width="21.42578125" style="1088" customWidth="1"/>
    <col min="3866" max="3866" width="22.140625" style="1088" customWidth="1"/>
    <col min="3867" max="3867" width="12.7109375" style="1088" customWidth="1"/>
    <col min="3868" max="3868" width="16.42578125" style="1088" customWidth="1"/>
    <col min="3869" max="3869" width="29.7109375" style="1088" customWidth="1"/>
    <col min="3870" max="3870" width="29.140625" style="1088" customWidth="1"/>
    <col min="3871" max="3871" width="33.5703125" style="1088" customWidth="1"/>
    <col min="3872" max="3872" width="25" style="1088" customWidth="1"/>
    <col min="3873" max="3873" width="11.7109375" style="1088" customWidth="1"/>
    <col min="3874" max="3874" width="17.28515625" style="1088" customWidth="1"/>
    <col min="3875" max="3890" width="7.28515625" style="1088" customWidth="1"/>
    <col min="3891" max="3892" width="13.7109375" style="1088" customWidth="1"/>
    <col min="3893" max="3893" width="20.85546875" style="1088" customWidth="1"/>
    <col min="3894" max="4109" width="11.42578125" style="1088"/>
    <col min="4110" max="4110" width="13.140625" style="1088" customWidth="1"/>
    <col min="4111" max="4111" width="35.28515625" style="1088" customWidth="1"/>
    <col min="4112" max="4112" width="12.85546875" style="1088" customWidth="1"/>
    <col min="4113" max="4113" width="19.5703125" style="1088" customWidth="1"/>
    <col min="4114" max="4114" width="12.28515625" style="1088" customWidth="1"/>
    <col min="4115" max="4115" width="21.28515625" style="1088" customWidth="1"/>
    <col min="4116" max="4116" width="11.5703125" style="1088" customWidth="1"/>
    <col min="4117" max="4117" width="33.140625" style="1088" customWidth="1"/>
    <col min="4118" max="4118" width="22.7109375" style="1088" customWidth="1"/>
    <col min="4119" max="4119" width="10.7109375" style="1088" customWidth="1"/>
    <col min="4120" max="4120" width="27.7109375" style="1088" customWidth="1"/>
    <col min="4121" max="4121" width="21.42578125" style="1088" customWidth="1"/>
    <col min="4122" max="4122" width="22.140625" style="1088" customWidth="1"/>
    <col min="4123" max="4123" width="12.7109375" style="1088" customWidth="1"/>
    <col min="4124" max="4124" width="16.42578125" style="1088" customWidth="1"/>
    <col min="4125" max="4125" width="29.7109375" style="1088" customWidth="1"/>
    <col min="4126" max="4126" width="29.140625" style="1088" customWidth="1"/>
    <col min="4127" max="4127" width="33.5703125" style="1088" customWidth="1"/>
    <col min="4128" max="4128" width="25" style="1088" customWidth="1"/>
    <col min="4129" max="4129" width="11.7109375" style="1088" customWidth="1"/>
    <col min="4130" max="4130" width="17.28515625" style="1088" customWidth="1"/>
    <col min="4131" max="4146" width="7.28515625" style="1088" customWidth="1"/>
    <col min="4147" max="4148" width="13.7109375" style="1088" customWidth="1"/>
    <col min="4149" max="4149" width="20.85546875" style="1088" customWidth="1"/>
    <col min="4150" max="4365" width="11.42578125" style="1088"/>
    <col min="4366" max="4366" width="13.140625" style="1088" customWidth="1"/>
    <col min="4367" max="4367" width="35.28515625" style="1088" customWidth="1"/>
    <col min="4368" max="4368" width="12.85546875" style="1088" customWidth="1"/>
    <col min="4369" max="4369" width="19.5703125" style="1088" customWidth="1"/>
    <col min="4370" max="4370" width="12.28515625" style="1088" customWidth="1"/>
    <col min="4371" max="4371" width="21.28515625" style="1088" customWidth="1"/>
    <col min="4372" max="4372" width="11.5703125" style="1088" customWidth="1"/>
    <col min="4373" max="4373" width="33.140625" style="1088" customWidth="1"/>
    <col min="4374" max="4374" width="22.7109375" style="1088" customWidth="1"/>
    <col min="4375" max="4375" width="10.7109375" style="1088" customWidth="1"/>
    <col min="4376" max="4376" width="27.7109375" style="1088" customWidth="1"/>
    <col min="4377" max="4377" width="21.42578125" style="1088" customWidth="1"/>
    <col min="4378" max="4378" width="22.140625" style="1088" customWidth="1"/>
    <col min="4379" max="4379" width="12.7109375" style="1088" customWidth="1"/>
    <col min="4380" max="4380" width="16.42578125" style="1088" customWidth="1"/>
    <col min="4381" max="4381" width="29.7109375" style="1088" customWidth="1"/>
    <col min="4382" max="4382" width="29.140625" style="1088" customWidth="1"/>
    <col min="4383" max="4383" width="33.5703125" style="1088" customWidth="1"/>
    <col min="4384" max="4384" width="25" style="1088" customWidth="1"/>
    <col min="4385" max="4385" width="11.7109375" style="1088" customWidth="1"/>
    <col min="4386" max="4386" width="17.28515625" style="1088" customWidth="1"/>
    <col min="4387" max="4402" width="7.28515625" style="1088" customWidth="1"/>
    <col min="4403" max="4404" width="13.7109375" style="1088" customWidth="1"/>
    <col min="4405" max="4405" width="20.85546875" style="1088" customWidth="1"/>
    <col min="4406" max="4621" width="11.42578125" style="1088"/>
    <col min="4622" max="4622" width="13.140625" style="1088" customWidth="1"/>
    <col min="4623" max="4623" width="35.28515625" style="1088" customWidth="1"/>
    <col min="4624" max="4624" width="12.85546875" style="1088" customWidth="1"/>
    <col min="4625" max="4625" width="19.5703125" style="1088" customWidth="1"/>
    <col min="4626" max="4626" width="12.28515625" style="1088" customWidth="1"/>
    <col min="4627" max="4627" width="21.28515625" style="1088" customWidth="1"/>
    <col min="4628" max="4628" width="11.5703125" style="1088" customWidth="1"/>
    <col min="4629" max="4629" width="33.140625" style="1088" customWidth="1"/>
    <col min="4630" max="4630" width="22.7109375" style="1088" customWidth="1"/>
    <col min="4631" max="4631" width="10.7109375" style="1088" customWidth="1"/>
    <col min="4632" max="4632" width="27.7109375" style="1088" customWidth="1"/>
    <col min="4633" max="4633" width="21.42578125" style="1088" customWidth="1"/>
    <col min="4634" max="4634" width="22.140625" style="1088" customWidth="1"/>
    <col min="4635" max="4635" width="12.7109375" style="1088" customWidth="1"/>
    <col min="4636" max="4636" width="16.42578125" style="1088" customWidth="1"/>
    <col min="4637" max="4637" width="29.7109375" style="1088" customWidth="1"/>
    <col min="4638" max="4638" width="29.140625" style="1088" customWidth="1"/>
    <col min="4639" max="4639" width="33.5703125" style="1088" customWidth="1"/>
    <col min="4640" max="4640" width="25" style="1088" customWidth="1"/>
    <col min="4641" max="4641" width="11.7109375" style="1088" customWidth="1"/>
    <col min="4642" max="4642" width="17.28515625" style="1088" customWidth="1"/>
    <col min="4643" max="4658" width="7.28515625" style="1088" customWidth="1"/>
    <col min="4659" max="4660" width="13.7109375" style="1088" customWidth="1"/>
    <col min="4661" max="4661" width="20.85546875" style="1088" customWidth="1"/>
    <col min="4662" max="4877" width="11.42578125" style="1088"/>
    <col min="4878" max="4878" width="13.140625" style="1088" customWidth="1"/>
    <col min="4879" max="4879" width="35.28515625" style="1088" customWidth="1"/>
    <col min="4880" max="4880" width="12.85546875" style="1088" customWidth="1"/>
    <col min="4881" max="4881" width="19.5703125" style="1088" customWidth="1"/>
    <col min="4882" max="4882" width="12.28515625" style="1088" customWidth="1"/>
    <col min="4883" max="4883" width="21.28515625" style="1088" customWidth="1"/>
    <col min="4884" max="4884" width="11.5703125" style="1088" customWidth="1"/>
    <col min="4885" max="4885" width="33.140625" style="1088" customWidth="1"/>
    <col min="4886" max="4886" width="22.7109375" style="1088" customWidth="1"/>
    <col min="4887" max="4887" width="10.7109375" style="1088" customWidth="1"/>
    <col min="4888" max="4888" width="27.7109375" style="1088" customWidth="1"/>
    <col min="4889" max="4889" width="21.42578125" style="1088" customWidth="1"/>
    <col min="4890" max="4890" width="22.140625" style="1088" customWidth="1"/>
    <col min="4891" max="4891" width="12.7109375" style="1088" customWidth="1"/>
    <col min="4892" max="4892" width="16.42578125" style="1088" customWidth="1"/>
    <col min="4893" max="4893" width="29.7109375" style="1088" customWidth="1"/>
    <col min="4894" max="4894" width="29.140625" style="1088" customWidth="1"/>
    <col min="4895" max="4895" width="33.5703125" style="1088" customWidth="1"/>
    <col min="4896" max="4896" width="25" style="1088" customWidth="1"/>
    <col min="4897" max="4897" width="11.7109375" style="1088" customWidth="1"/>
    <col min="4898" max="4898" width="17.28515625" style="1088" customWidth="1"/>
    <col min="4899" max="4914" width="7.28515625" style="1088" customWidth="1"/>
    <col min="4915" max="4916" width="13.7109375" style="1088" customWidth="1"/>
    <col min="4917" max="4917" width="20.85546875" style="1088" customWidth="1"/>
    <col min="4918" max="5133" width="11.42578125" style="1088"/>
    <col min="5134" max="5134" width="13.140625" style="1088" customWidth="1"/>
    <col min="5135" max="5135" width="35.28515625" style="1088" customWidth="1"/>
    <col min="5136" max="5136" width="12.85546875" style="1088" customWidth="1"/>
    <col min="5137" max="5137" width="19.5703125" style="1088" customWidth="1"/>
    <col min="5138" max="5138" width="12.28515625" style="1088" customWidth="1"/>
    <col min="5139" max="5139" width="21.28515625" style="1088" customWidth="1"/>
    <col min="5140" max="5140" width="11.5703125" style="1088" customWidth="1"/>
    <col min="5141" max="5141" width="33.140625" style="1088" customWidth="1"/>
    <col min="5142" max="5142" width="22.7109375" style="1088" customWidth="1"/>
    <col min="5143" max="5143" width="10.7109375" style="1088" customWidth="1"/>
    <col min="5144" max="5144" width="27.7109375" style="1088" customWidth="1"/>
    <col min="5145" max="5145" width="21.42578125" style="1088" customWidth="1"/>
    <col min="5146" max="5146" width="22.140625" style="1088" customWidth="1"/>
    <col min="5147" max="5147" width="12.7109375" style="1088" customWidth="1"/>
    <col min="5148" max="5148" width="16.42578125" style="1088" customWidth="1"/>
    <col min="5149" max="5149" width="29.7109375" style="1088" customWidth="1"/>
    <col min="5150" max="5150" width="29.140625" style="1088" customWidth="1"/>
    <col min="5151" max="5151" width="33.5703125" style="1088" customWidth="1"/>
    <col min="5152" max="5152" width="25" style="1088" customWidth="1"/>
    <col min="5153" max="5153" width="11.7109375" style="1088" customWidth="1"/>
    <col min="5154" max="5154" width="17.28515625" style="1088" customWidth="1"/>
    <col min="5155" max="5170" width="7.28515625" style="1088" customWidth="1"/>
    <col min="5171" max="5172" width="13.7109375" style="1088" customWidth="1"/>
    <col min="5173" max="5173" width="20.85546875" style="1088" customWidth="1"/>
    <col min="5174" max="5389" width="11.42578125" style="1088"/>
    <col min="5390" max="5390" width="13.140625" style="1088" customWidth="1"/>
    <col min="5391" max="5391" width="35.28515625" style="1088" customWidth="1"/>
    <col min="5392" max="5392" width="12.85546875" style="1088" customWidth="1"/>
    <col min="5393" max="5393" width="19.5703125" style="1088" customWidth="1"/>
    <col min="5394" max="5394" width="12.28515625" style="1088" customWidth="1"/>
    <col min="5395" max="5395" width="21.28515625" style="1088" customWidth="1"/>
    <col min="5396" max="5396" width="11.5703125" style="1088" customWidth="1"/>
    <col min="5397" max="5397" width="33.140625" style="1088" customWidth="1"/>
    <col min="5398" max="5398" width="22.7109375" style="1088" customWidth="1"/>
    <col min="5399" max="5399" width="10.7109375" style="1088" customWidth="1"/>
    <col min="5400" max="5400" width="27.7109375" style="1088" customWidth="1"/>
    <col min="5401" max="5401" width="21.42578125" style="1088" customWidth="1"/>
    <col min="5402" max="5402" width="22.140625" style="1088" customWidth="1"/>
    <col min="5403" max="5403" width="12.7109375" style="1088" customWidth="1"/>
    <col min="5404" max="5404" width="16.42578125" style="1088" customWidth="1"/>
    <col min="5405" max="5405" width="29.7109375" style="1088" customWidth="1"/>
    <col min="5406" max="5406" width="29.140625" style="1088" customWidth="1"/>
    <col min="5407" max="5407" width="33.5703125" style="1088" customWidth="1"/>
    <col min="5408" max="5408" width="25" style="1088" customWidth="1"/>
    <col min="5409" max="5409" width="11.7109375" style="1088" customWidth="1"/>
    <col min="5410" max="5410" width="17.28515625" style="1088" customWidth="1"/>
    <col min="5411" max="5426" width="7.28515625" style="1088" customWidth="1"/>
    <col min="5427" max="5428" width="13.7109375" style="1088" customWidth="1"/>
    <col min="5429" max="5429" width="20.85546875" style="1088" customWidth="1"/>
    <col min="5430" max="5645" width="11.42578125" style="1088"/>
    <col min="5646" max="5646" width="13.140625" style="1088" customWidth="1"/>
    <col min="5647" max="5647" width="35.28515625" style="1088" customWidth="1"/>
    <col min="5648" max="5648" width="12.85546875" style="1088" customWidth="1"/>
    <col min="5649" max="5649" width="19.5703125" style="1088" customWidth="1"/>
    <col min="5650" max="5650" width="12.28515625" style="1088" customWidth="1"/>
    <col min="5651" max="5651" width="21.28515625" style="1088" customWidth="1"/>
    <col min="5652" max="5652" width="11.5703125" style="1088" customWidth="1"/>
    <col min="5653" max="5653" width="33.140625" style="1088" customWidth="1"/>
    <col min="5654" max="5654" width="22.7109375" style="1088" customWidth="1"/>
    <col min="5655" max="5655" width="10.7109375" style="1088" customWidth="1"/>
    <col min="5656" max="5656" width="27.7109375" style="1088" customWidth="1"/>
    <col min="5657" max="5657" width="21.42578125" style="1088" customWidth="1"/>
    <col min="5658" max="5658" width="22.140625" style="1088" customWidth="1"/>
    <col min="5659" max="5659" width="12.7109375" style="1088" customWidth="1"/>
    <col min="5660" max="5660" width="16.42578125" style="1088" customWidth="1"/>
    <col min="5661" max="5661" width="29.7109375" style="1088" customWidth="1"/>
    <col min="5662" max="5662" width="29.140625" style="1088" customWidth="1"/>
    <col min="5663" max="5663" width="33.5703125" style="1088" customWidth="1"/>
    <col min="5664" max="5664" width="25" style="1088" customWidth="1"/>
    <col min="5665" max="5665" width="11.7109375" style="1088" customWidth="1"/>
    <col min="5666" max="5666" width="17.28515625" style="1088" customWidth="1"/>
    <col min="5667" max="5682" width="7.28515625" style="1088" customWidth="1"/>
    <col min="5683" max="5684" width="13.7109375" style="1088" customWidth="1"/>
    <col min="5685" max="5685" width="20.85546875" style="1088" customWidth="1"/>
    <col min="5686" max="5901" width="11.42578125" style="1088"/>
    <col min="5902" max="5902" width="13.140625" style="1088" customWidth="1"/>
    <col min="5903" max="5903" width="35.28515625" style="1088" customWidth="1"/>
    <col min="5904" max="5904" width="12.85546875" style="1088" customWidth="1"/>
    <col min="5905" max="5905" width="19.5703125" style="1088" customWidth="1"/>
    <col min="5906" max="5906" width="12.28515625" style="1088" customWidth="1"/>
    <col min="5907" max="5907" width="21.28515625" style="1088" customWidth="1"/>
    <col min="5908" max="5908" width="11.5703125" style="1088" customWidth="1"/>
    <col min="5909" max="5909" width="33.140625" style="1088" customWidth="1"/>
    <col min="5910" max="5910" width="22.7109375" style="1088" customWidth="1"/>
    <col min="5911" max="5911" width="10.7109375" style="1088" customWidth="1"/>
    <col min="5912" max="5912" width="27.7109375" style="1088" customWidth="1"/>
    <col min="5913" max="5913" width="21.42578125" style="1088" customWidth="1"/>
    <col min="5914" max="5914" width="22.140625" style="1088" customWidth="1"/>
    <col min="5915" max="5915" width="12.7109375" style="1088" customWidth="1"/>
    <col min="5916" max="5916" width="16.42578125" style="1088" customWidth="1"/>
    <col min="5917" max="5917" width="29.7109375" style="1088" customWidth="1"/>
    <col min="5918" max="5918" width="29.140625" style="1088" customWidth="1"/>
    <col min="5919" max="5919" width="33.5703125" style="1088" customWidth="1"/>
    <col min="5920" max="5920" width="25" style="1088" customWidth="1"/>
    <col min="5921" max="5921" width="11.7109375" style="1088" customWidth="1"/>
    <col min="5922" max="5922" width="17.28515625" style="1088" customWidth="1"/>
    <col min="5923" max="5938" width="7.28515625" style="1088" customWidth="1"/>
    <col min="5939" max="5940" width="13.7109375" style="1088" customWidth="1"/>
    <col min="5941" max="5941" width="20.85546875" style="1088" customWidth="1"/>
    <col min="5942" max="6157" width="11.42578125" style="1088"/>
    <col min="6158" max="6158" width="13.140625" style="1088" customWidth="1"/>
    <col min="6159" max="6159" width="35.28515625" style="1088" customWidth="1"/>
    <col min="6160" max="6160" width="12.85546875" style="1088" customWidth="1"/>
    <col min="6161" max="6161" width="19.5703125" style="1088" customWidth="1"/>
    <col min="6162" max="6162" width="12.28515625" style="1088" customWidth="1"/>
    <col min="6163" max="6163" width="21.28515625" style="1088" customWidth="1"/>
    <col min="6164" max="6164" width="11.5703125" style="1088" customWidth="1"/>
    <col min="6165" max="6165" width="33.140625" style="1088" customWidth="1"/>
    <col min="6166" max="6166" width="22.7109375" style="1088" customWidth="1"/>
    <col min="6167" max="6167" width="10.7109375" style="1088" customWidth="1"/>
    <col min="6168" max="6168" width="27.7109375" style="1088" customWidth="1"/>
    <col min="6169" max="6169" width="21.42578125" style="1088" customWidth="1"/>
    <col min="6170" max="6170" width="22.140625" style="1088" customWidth="1"/>
    <col min="6171" max="6171" width="12.7109375" style="1088" customWidth="1"/>
    <col min="6172" max="6172" width="16.42578125" style="1088" customWidth="1"/>
    <col min="6173" max="6173" width="29.7109375" style="1088" customWidth="1"/>
    <col min="6174" max="6174" width="29.140625" style="1088" customWidth="1"/>
    <col min="6175" max="6175" width="33.5703125" style="1088" customWidth="1"/>
    <col min="6176" max="6176" width="25" style="1088" customWidth="1"/>
    <col min="6177" max="6177" width="11.7109375" style="1088" customWidth="1"/>
    <col min="6178" max="6178" width="17.28515625" style="1088" customWidth="1"/>
    <col min="6179" max="6194" width="7.28515625" style="1088" customWidth="1"/>
    <col min="6195" max="6196" width="13.7109375" style="1088" customWidth="1"/>
    <col min="6197" max="6197" width="20.85546875" style="1088" customWidth="1"/>
    <col min="6198" max="6413" width="11.42578125" style="1088"/>
    <col min="6414" max="6414" width="13.140625" style="1088" customWidth="1"/>
    <col min="6415" max="6415" width="35.28515625" style="1088" customWidth="1"/>
    <col min="6416" max="6416" width="12.85546875" style="1088" customWidth="1"/>
    <col min="6417" max="6417" width="19.5703125" style="1088" customWidth="1"/>
    <col min="6418" max="6418" width="12.28515625" style="1088" customWidth="1"/>
    <col min="6419" max="6419" width="21.28515625" style="1088" customWidth="1"/>
    <col min="6420" max="6420" width="11.5703125" style="1088" customWidth="1"/>
    <col min="6421" max="6421" width="33.140625" style="1088" customWidth="1"/>
    <col min="6422" max="6422" width="22.7109375" style="1088" customWidth="1"/>
    <col min="6423" max="6423" width="10.7109375" style="1088" customWidth="1"/>
    <col min="6424" max="6424" width="27.7109375" style="1088" customWidth="1"/>
    <col min="6425" max="6425" width="21.42578125" style="1088" customWidth="1"/>
    <col min="6426" max="6426" width="22.140625" style="1088" customWidth="1"/>
    <col min="6427" max="6427" width="12.7109375" style="1088" customWidth="1"/>
    <col min="6428" max="6428" width="16.42578125" style="1088" customWidth="1"/>
    <col min="6429" max="6429" width="29.7109375" style="1088" customWidth="1"/>
    <col min="6430" max="6430" width="29.140625" style="1088" customWidth="1"/>
    <col min="6431" max="6431" width="33.5703125" style="1088" customWidth="1"/>
    <col min="6432" max="6432" width="25" style="1088" customWidth="1"/>
    <col min="6433" max="6433" width="11.7109375" style="1088" customWidth="1"/>
    <col min="6434" max="6434" width="17.28515625" style="1088" customWidth="1"/>
    <col min="6435" max="6450" width="7.28515625" style="1088" customWidth="1"/>
    <col min="6451" max="6452" width="13.7109375" style="1088" customWidth="1"/>
    <col min="6453" max="6453" width="20.85546875" style="1088" customWidth="1"/>
    <col min="6454" max="6669" width="11.42578125" style="1088"/>
    <col min="6670" max="6670" width="13.140625" style="1088" customWidth="1"/>
    <col min="6671" max="6671" width="35.28515625" style="1088" customWidth="1"/>
    <col min="6672" max="6672" width="12.85546875" style="1088" customWidth="1"/>
    <col min="6673" max="6673" width="19.5703125" style="1088" customWidth="1"/>
    <col min="6674" max="6674" width="12.28515625" style="1088" customWidth="1"/>
    <col min="6675" max="6675" width="21.28515625" style="1088" customWidth="1"/>
    <col min="6676" max="6676" width="11.5703125" style="1088" customWidth="1"/>
    <col min="6677" max="6677" width="33.140625" style="1088" customWidth="1"/>
    <col min="6678" max="6678" width="22.7109375" style="1088" customWidth="1"/>
    <col min="6679" max="6679" width="10.7109375" style="1088" customWidth="1"/>
    <col min="6680" max="6680" width="27.7109375" style="1088" customWidth="1"/>
    <col min="6681" max="6681" width="21.42578125" style="1088" customWidth="1"/>
    <col min="6682" max="6682" width="22.140625" style="1088" customWidth="1"/>
    <col min="6683" max="6683" width="12.7109375" style="1088" customWidth="1"/>
    <col min="6684" max="6684" width="16.42578125" style="1088" customWidth="1"/>
    <col min="6685" max="6685" width="29.7109375" style="1088" customWidth="1"/>
    <col min="6686" max="6686" width="29.140625" style="1088" customWidth="1"/>
    <col min="6687" max="6687" width="33.5703125" style="1088" customWidth="1"/>
    <col min="6688" max="6688" width="25" style="1088" customWidth="1"/>
    <col min="6689" max="6689" width="11.7109375" style="1088" customWidth="1"/>
    <col min="6690" max="6690" width="17.28515625" style="1088" customWidth="1"/>
    <col min="6691" max="6706" width="7.28515625" style="1088" customWidth="1"/>
    <col min="6707" max="6708" width="13.7109375" style="1088" customWidth="1"/>
    <col min="6709" max="6709" width="20.85546875" style="1088" customWidth="1"/>
    <col min="6710" max="6925" width="11.42578125" style="1088"/>
    <col min="6926" max="6926" width="13.140625" style="1088" customWidth="1"/>
    <col min="6927" max="6927" width="35.28515625" style="1088" customWidth="1"/>
    <col min="6928" max="6928" width="12.85546875" style="1088" customWidth="1"/>
    <col min="6929" max="6929" width="19.5703125" style="1088" customWidth="1"/>
    <col min="6930" max="6930" width="12.28515625" style="1088" customWidth="1"/>
    <col min="6931" max="6931" width="21.28515625" style="1088" customWidth="1"/>
    <col min="6932" max="6932" width="11.5703125" style="1088" customWidth="1"/>
    <col min="6933" max="6933" width="33.140625" style="1088" customWidth="1"/>
    <col min="6934" max="6934" width="22.7109375" style="1088" customWidth="1"/>
    <col min="6935" max="6935" width="10.7109375" style="1088" customWidth="1"/>
    <col min="6936" max="6936" width="27.7109375" style="1088" customWidth="1"/>
    <col min="6937" max="6937" width="21.42578125" style="1088" customWidth="1"/>
    <col min="6938" max="6938" width="22.140625" style="1088" customWidth="1"/>
    <col min="6939" max="6939" width="12.7109375" style="1088" customWidth="1"/>
    <col min="6940" max="6940" width="16.42578125" style="1088" customWidth="1"/>
    <col min="6941" max="6941" width="29.7109375" style="1088" customWidth="1"/>
    <col min="6942" max="6942" width="29.140625" style="1088" customWidth="1"/>
    <col min="6943" max="6943" width="33.5703125" style="1088" customWidth="1"/>
    <col min="6944" max="6944" width="25" style="1088" customWidth="1"/>
    <col min="6945" max="6945" width="11.7109375" style="1088" customWidth="1"/>
    <col min="6946" max="6946" width="17.28515625" style="1088" customWidth="1"/>
    <col min="6947" max="6962" width="7.28515625" style="1088" customWidth="1"/>
    <col min="6963" max="6964" width="13.7109375" style="1088" customWidth="1"/>
    <col min="6965" max="6965" width="20.85546875" style="1088" customWidth="1"/>
    <col min="6966" max="7181" width="11.42578125" style="1088"/>
    <col min="7182" max="7182" width="13.140625" style="1088" customWidth="1"/>
    <col min="7183" max="7183" width="35.28515625" style="1088" customWidth="1"/>
    <col min="7184" max="7184" width="12.85546875" style="1088" customWidth="1"/>
    <col min="7185" max="7185" width="19.5703125" style="1088" customWidth="1"/>
    <col min="7186" max="7186" width="12.28515625" style="1088" customWidth="1"/>
    <col min="7187" max="7187" width="21.28515625" style="1088" customWidth="1"/>
    <col min="7188" max="7188" width="11.5703125" style="1088" customWidth="1"/>
    <col min="7189" max="7189" width="33.140625" style="1088" customWidth="1"/>
    <col min="7190" max="7190" width="22.7109375" style="1088" customWidth="1"/>
    <col min="7191" max="7191" width="10.7109375" style="1088" customWidth="1"/>
    <col min="7192" max="7192" width="27.7109375" style="1088" customWidth="1"/>
    <col min="7193" max="7193" width="21.42578125" style="1088" customWidth="1"/>
    <col min="7194" max="7194" width="22.140625" style="1088" customWidth="1"/>
    <col min="7195" max="7195" width="12.7109375" style="1088" customWidth="1"/>
    <col min="7196" max="7196" width="16.42578125" style="1088" customWidth="1"/>
    <col min="7197" max="7197" width="29.7109375" style="1088" customWidth="1"/>
    <col min="7198" max="7198" width="29.140625" style="1088" customWidth="1"/>
    <col min="7199" max="7199" width="33.5703125" style="1088" customWidth="1"/>
    <col min="7200" max="7200" width="25" style="1088" customWidth="1"/>
    <col min="7201" max="7201" width="11.7109375" style="1088" customWidth="1"/>
    <col min="7202" max="7202" width="17.28515625" style="1088" customWidth="1"/>
    <col min="7203" max="7218" width="7.28515625" style="1088" customWidth="1"/>
    <col min="7219" max="7220" width="13.7109375" style="1088" customWidth="1"/>
    <col min="7221" max="7221" width="20.85546875" style="1088" customWidth="1"/>
    <col min="7222" max="7437" width="11.42578125" style="1088"/>
    <col min="7438" max="7438" width="13.140625" style="1088" customWidth="1"/>
    <col min="7439" max="7439" width="35.28515625" style="1088" customWidth="1"/>
    <col min="7440" max="7440" width="12.85546875" style="1088" customWidth="1"/>
    <col min="7441" max="7441" width="19.5703125" style="1088" customWidth="1"/>
    <col min="7442" max="7442" width="12.28515625" style="1088" customWidth="1"/>
    <col min="7443" max="7443" width="21.28515625" style="1088" customWidth="1"/>
    <col min="7444" max="7444" width="11.5703125" style="1088" customWidth="1"/>
    <col min="7445" max="7445" width="33.140625" style="1088" customWidth="1"/>
    <col min="7446" max="7446" width="22.7109375" style="1088" customWidth="1"/>
    <col min="7447" max="7447" width="10.7109375" style="1088" customWidth="1"/>
    <col min="7448" max="7448" width="27.7109375" style="1088" customWidth="1"/>
    <col min="7449" max="7449" width="21.42578125" style="1088" customWidth="1"/>
    <col min="7450" max="7450" width="22.140625" style="1088" customWidth="1"/>
    <col min="7451" max="7451" width="12.7109375" style="1088" customWidth="1"/>
    <col min="7452" max="7452" width="16.42578125" style="1088" customWidth="1"/>
    <col min="7453" max="7453" width="29.7109375" style="1088" customWidth="1"/>
    <col min="7454" max="7454" width="29.140625" style="1088" customWidth="1"/>
    <col min="7455" max="7455" width="33.5703125" style="1088" customWidth="1"/>
    <col min="7456" max="7456" width="25" style="1088" customWidth="1"/>
    <col min="7457" max="7457" width="11.7109375" style="1088" customWidth="1"/>
    <col min="7458" max="7458" width="17.28515625" style="1088" customWidth="1"/>
    <col min="7459" max="7474" width="7.28515625" style="1088" customWidth="1"/>
    <col min="7475" max="7476" width="13.7109375" style="1088" customWidth="1"/>
    <col min="7477" max="7477" width="20.85546875" style="1088" customWidth="1"/>
    <col min="7478" max="7693" width="11.42578125" style="1088"/>
    <col min="7694" max="7694" width="13.140625" style="1088" customWidth="1"/>
    <col min="7695" max="7695" width="35.28515625" style="1088" customWidth="1"/>
    <col min="7696" max="7696" width="12.85546875" style="1088" customWidth="1"/>
    <col min="7697" max="7697" width="19.5703125" style="1088" customWidth="1"/>
    <col min="7698" max="7698" width="12.28515625" style="1088" customWidth="1"/>
    <col min="7699" max="7699" width="21.28515625" style="1088" customWidth="1"/>
    <col min="7700" max="7700" width="11.5703125" style="1088" customWidth="1"/>
    <col min="7701" max="7701" width="33.140625" style="1088" customWidth="1"/>
    <col min="7702" max="7702" width="22.7109375" style="1088" customWidth="1"/>
    <col min="7703" max="7703" width="10.7109375" style="1088" customWidth="1"/>
    <col min="7704" max="7704" width="27.7109375" style="1088" customWidth="1"/>
    <col min="7705" max="7705" width="21.42578125" style="1088" customWidth="1"/>
    <col min="7706" max="7706" width="22.140625" style="1088" customWidth="1"/>
    <col min="7707" max="7707" width="12.7109375" style="1088" customWidth="1"/>
    <col min="7708" max="7708" width="16.42578125" style="1088" customWidth="1"/>
    <col min="7709" max="7709" width="29.7109375" style="1088" customWidth="1"/>
    <col min="7710" max="7710" width="29.140625" style="1088" customWidth="1"/>
    <col min="7711" max="7711" width="33.5703125" style="1088" customWidth="1"/>
    <col min="7712" max="7712" width="25" style="1088" customWidth="1"/>
    <col min="7713" max="7713" width="11.7109375" style="1088" customWidth="1"/>
    <col min="7714" max="7714" width="17.28515625" style="1088" customWidth="1"/>
    <col min="7715" max="7730" width="7.28515625" style="1088" customWidth="1"/>
    <col min="7731" max="7732" width="13.7109375" style="1088" customWidth="1"/>
    <col min="7733" max="7733" width="20.85546875" style="1088" customWidth="1"/>
    <col min="7734" max="7949" width="11.42578125" style="1088"/>
    <col min="7950" max="7950" width="13.140625" style="1088" customWidth="1"/>
    <col min="7951" max="7951" width="35.28515625" style="1088" customWidth="1"/>
    <col min="7952" max="7952" width="12.85546875" style="1088" customWidth="1"/>
    <col min="7953" max="7953" width="19.5703125" style="1088" customWidth="1"/>
    <col min="7954" max="7954" width="12.28515625" style="1088" customWidth="1"/>
    <col min="7955" max="7955" width="21.28515625" style="1088" customWidth="1"/>
    <col min="7956" max="7956" width="11.5703125" style="1088" customWidth="1"/>
    <col min="7957" max="7957" width="33.140625" style="1088" customWidth="1"/>
    <col min="7958" max="7958" width="22.7109375" style="1088" customWidth="1"/>
    <col min="7959" max="7959" width="10.7109375" style="1088" customWidth="1"/>
    <col min="7960" max="7960" width="27.7109375" style="1088" customWidth="1"/>
    <col min="7961" max="7961" width="21.42578125" style="1088" customWidth="1"/>
    <col min="7962" max="7962" width="22.140625" style="1088" customWidth="1"/>
    <col min="7963" max="7963" width="12.7109375" style="1088" customWidth="1"/>
    <col min="7964" max="7964" width="16.42578125" style="1088" customWidth="1"/>
    <col min="7965" max="7965" width="29.7109375" style="1088" customWidth="1"/>
    <col min="7966" max="7966" width="29.140625" style="1088" customWidth="1"/>
    <col min="7967" max="7967" width="33.5703125" style="1088" customWidth="1"/>
    <col min="7968" max="7968" width="25" style="1088" customWidth="1"/>
    <col min="7969" max="7969" width="11.7109375" style="1088" customWidth="1"/>
    <col min="7970" max="7970" width="17.28515625" style="1088" customWidth="1"/>
    <col min="7971" max="7986" width="7.28515625" style="1088" customWidth="1"/>
    <col min="7987" max="7988" width="13.7109375" style="1088" customWidth="1"/>
    <col min="7989" max="7989" width="20.85546875" style="1088" customWidth="1"/>
    <col min="7990" max="8205" width="11.42578125" style="1088"/>
    <col min="8206" max="8206" width="13.140625" style="1088" customWidth="1"/>
    <col min="8207" max="8207" width="35.28515625" style="1088" customWidth="1"/>
    <col min="8208" max="8208" width="12.85546875" style="1088" customWidth="1"/>
    <col min="8209" max="8209" width="19.5703125" style="1088" customWidth="1"/>
    <col min="8210" max="8210" width="12.28515625" style="1088" customWidth="1"/>
    <col min="8211" max="8211" width="21.28515625" style="1088" customWidth="1"/>
    <col min="8212" max="8212" width="11.5703125" style="1088" customWidth="1"/>
    <col min="8213" max="8213" width="33.140625" style="1088" customWidth="1"/>
    <col min="8214" max="8214" width="22.7109375" style="1088" customWidth="1"/>
    <col min="8215" max="8215" width="10.7109375" style="1088" customWidth="1"/>
    <col min="8216" max="8216" width="27.7109375" style="1088" customWidth="1"/>
    <col min="8217" max="8217" width="21.42578125" style="1088" customWidth="1"/>
    <col min="8218" max="8218" width="22.140625" style="1088" customWidth="1"/>
    <col min="8219" max="8219" width="12.7109375" style="1088" customWidth="1"/>
    <col min="8220" max="8220" width="16.42578125" style="1088" customWidth="1"/>
    <col min="8221" max="8221" width="29.7109375" style="1088" customWidth="1"/>
    <col min="8222" max="8222" width="29.140625" style="1088" customWidth="1"/>
    <col min="8223" max="8223" width="33.5703125" style="1088" customWidth="1"/>
    <col min="8224" max="8224" width="25" style="1088" customWidth="1"/>
    <col min="8225" max="8225" width="11.7109375" style="1088" customWidth="1"/>
    <col min="8226" max="8226" width="17.28515625" style="1088" customWidth="1"/>
    <col min="8227" max="8242" width="7.28515625" style="1088" customWidth="1"/>
    <col min="8243" max="8244" width="13.7109375" style="1088" customWidth="1"/>
    <col min="8245" max="8245" width="20.85546875" style="1088" customWidth="1"/>
    <col min="8246" max="8461" width="11.42578125" style="1088"/>
    <col min="8462" max="8462" width="13.140625" style="1088" customWidth="1"/>
    <col min="8463" max="8463" width="35.28515625" style="1088" customWidth="1"/>
    <col min="8464" max="8464" width="12.85546875" style="1088" customWidth="1"/>
    <col min="8465" max="8465" width="19.5703125" style="1088" customWidth="1"/>
    <col min="8466" max="8466" width="12.28515625" style="1088" customWidth="1"/>
    <col min="8467" max="8467" width="21.28515625" style="1088" customWidth="1"/>
    <col min="8468" max="8468" width="11.5703125" style="1088" customWidth="1"/>
    <col min="8469" max="8469" width="33.140625" style="1088" customWidth="1"/>
    <col min="8470" max="8470" width="22.7109375" style="1088" customWidth="1"/>
    <col min="8471" max="8471" width="10.7109375" style="1088" customWidth="1"/>
    <col min="8472" max="8472" width="27.7109375" style="1088" customWidth="1"/>
    <col min="8473" max="8473" width="21.42578125" style="1088" customWidth="1"/>
    <col min="8474" max="8474" width="22.140625" style="1088" customWidth="1"/>
    <col min="8475" max="8475" width="12.7109375" style="1088" customWidth="1"/>
    <col min="8476" max="8476" width="16.42578125" style="1088" customWidth="1"/>
    <col min="8477" max="8477" width="29.7109375" style="1088" customWidth="1"/>
    <col min="8478" max="8478" width="29.140625" style="1088" customWidth="1"/>
    <col min="8479" max="8479" width="33.5703125" style="1088" customWidth="1"/>
    <col min="8480" max="8480" width="25" style="1088" customWidth="1"/>
    <col min="8481" max="8481" width="11.7109375" style="1088" customWidth="1"/>
    <col min="8482" max="8482" width="17.28515625" style="1088" customWidth="1"/>
    <col min="8483" max="8498" width="7.28515625" style="1088" customWidth="1"/>
    <col min="8499" max="8500" width="13.7109375" style="1088" customWidth="1"/>
    <col min="8501" max="8501" width="20.85546875" style="1088" customWidth="1"/>
    <col min="8502" max="8717" width="11.42578125" style="1088"/>
    <col min="8718" max="8718" width="13.140625" style="1088" customWidth="1"/>
    <col min="8719" max="8719" width="35.28515625" style="1088" customWidth="1"/>
    <col min="8720" max="8720" width="12.85546875" style="1088" customWidth="1"/>
    <col min="8721" max="8721" width="19.5703125" style="1088" customWidth="1"/>
    <col min="8722" max="8722" width="12.28515625" style="1088" customWidth="1"/>
    <col min="8723" max="8723" width="21.28515625" style="1088" customWidth="1"/>
    <col min="8724" max="8724" width="11.5703125" style="1088" customWidth="1"/>
    <col min="8725" max="8725" width="33.140625" style="1088" customWidth="1"/>
    <col min="8726" max="8726" width="22.7109375" style="1088" customWidth="1"/>
    <col min="8727" max="8727" width="10.7109375" style="1088" customWidth="1"/>
    <col min="8728" max="8728" width="27.7109375" style="1088" customWidth="1"/>
    <col min="8729" max="8729" width="21.42578125" style="1088" customWidth="1"/>
    <col min="8730" max="8730" width="22.140625" style="1088" customWidth="1"/>
    <col min="8731" max="8731" width="12.7109375" style="1088" customWidth="1"/>
    <col min="8732" max="8732" width="16.42578125" style="1088" customWidth="1"/>
    <col min="8733" max="8733" width="29.7109375" style="1088" customWidth="1"/>
    <col min="8734" max="8734" width="29.140625" style="1088" customWidth="1"/>
    <col min="8735" max="8735" width="33.5703125" style="1088" customWidth="1"/>
    <col min="8736" max="8736" width="25" style="1088" customWidth="1"/>
    <col min="8737" max="8737" width="11.7109375" style="1088" customWidth="1"/>
    <col min="8738" max="8738" width="17.28515625" style="1088" customWidth="1"/>
    <col min="8739" max="8754" width="7.28515625" style="1088" customWidth="1"/>
    <col min="8755" max="8756" width="13.7109375" style="1088" customWidth="1"/>
    <col min="8757" max="8757" width="20.85546875" style="1088" customWidth="1"/>
    <col min="8758" max="8973" width="11.42578125" style="1088"/>
    <col min="8974" max="8974" width="13.140625" style="1088" customWidth="1"/>
    <col min="8975" max="8975" width="35.28515625" style="1088" customWidth="1"/>
    <col min="8976" max="8976" width="12.85546875" style="1088" customWidth="1"/>
    <col min="8977" max="8977" width="19.5703125" style="1088" customWidth="1"/>
    <col min="8978" max="8978" width="12.28515625" style="1088" customWidth="1"/>
    <col min="8979" max="8979" width="21.28515625" style="1088" customWidth="1"/>
    <col min="8980" max="8980" width="11.5703125" style="1088" customWidth="1"/>
    <col min="8981" max="8981" width="33.140625" style="1088" customWidth="1"/>
    <col min="8982" max="8982" width="22.7109375" style="1088" customWidth="1"/>
    <col min="8983" max="8983" width="10.7109375" style="1088" customWidth="1"/>
    <col min="8984" max="8984" width="27.7109375" style="1088" customWidth="1"/>
    <col min="8985" max="8985" width="21.42578125" style="1088" customWidth="1"/>
    <col min="8986" max="8986" width="22.140625" style="1088" customWidth="1"/>
    <col min="8987" max="8987" width="12.7109375" style="1088" customWidth="1"/>
    <col min="8988" max="8988" width="16.42578125" style="1088" customWidth="1"/>
    <col min="8989" max="8989" width="29.7109375" style="1088" customWidth="1"/>
    <col min="8990" max="8990" width="29.140625" style="1088" customWidth="1"/>
    <col min="8991" max="8991" width="33.5703125" style="1088" customWidth="1"/>
    <col min="8992" max="8992" width="25" style="1088" customWidth="1"/>
    <col min="8993" max="8993" width="11.7109375" style="1088" customWidth="1"/>
    <col min="8994" max="8994" width="17.28515625" style="1088" customWidth="1"/>
    <col min="8995" max="9010" width="7.28515625" style="1088" customWidth="1"/>
    <col min="9011" max="9012" width="13.7109375" style="1088" customWidth="1"/>
    <col min="9013" max="9013" width="20.85546875" style="1088" customWidth="1"/>
    <col min="9014" max="9229" width="11.42578125" style="1088"/>
    <col min="9230" max="9230" width="13.140625" style="1088" customWidth="1"/>
    <col min="9231" max="9231" width="35.28515625" style="1088" customWidth="1"/>
    <col min="9232" max="9232" width="12.85546875" style="1088" customWidth="1"/>
    <col min="9233" max="9233" width="19.5703125" style="1088" customWidth="1"/>
    <col min="9234" max="9234" width="12.28515625" style="1088" customWidth="1"/>
    <col min="9235" max="9235" width="21.28515625" style="1088" customWidth="1"/>
    <col min="9236" max="9236" width="11.5703125" style="1088" customWidth="1"/>
    <col min="9237" max="9237" width="33.140625" style="1088" customWidth="1"/>
    <col min="9238" max="9238" width="22.7109375" style="1088" customWidth="1"/>
    <col min="9239" max="9239" width="10.7109375" style="1088" customWidth="1"/>
    <col min="9240" max="9240" width="27.7109375" style="1088" customWidth="1"/>
    <col min="9241" max="9241" width="21.42578125" style="1088" customWidth="1"/>
    <col min="9242" max="9242" width="22.140625" style="1088" customWidth="1"/>
    <col min="9243" max="9243" width="12.7109375" style="1088" customWidth="1"/>
    <col min="9244" max="9244" width="16.42578125" style="1088" customWidth="1"/>
    <col min="9245" max="9245" width="29.7109375" style="1088" customWidth="1"/>
    <col min="9246" max="9246" width="29.140625" style="1088" customWidth="1"/>
    <col min="9247" max="9247" width="33.5703125" style="1088" customWidth="1"/>
    <col min="9248" max="9248" width="25" style="1088" customWidth="1"/>
    <col min="9249" max="9249" width="11.7109375" style="1088" customWidth="1"/>
    <col min="9250" max="9250" width="17.28515625" style="1088" customWidth="1"/>
    <col min="9251" max="9266" width="7.28515625" style="1088" customWidth="1"/>
    <col min="9267" max="9268" width="13.7109375" style="1088" customWidth="1"/>
    <col min="9269" max="9269" width="20.85546875" style="1088" customWidth="1"/>
    <col min="9270" max="9485" width="11.42578125" style="1088"/>
    <col min="9486" max="9486" width="13.140625" style="1088" customWidth="1"/>
    <col min="9487" max="9487" width="35.28515625" style="1088" customWidth="1"/>
    <col min="9488" max="9488" width="12.85546875" style="1088" customWidth="1"/>
    <col min="9489" max="9489" width="19.5703125" style="1088" customWidth="1"/>
    <col min="9490" max="9490" width="12.28515625" style="1088" customWidth="1"/>
    <col min="9491" max="9491" width="21.28515625" style="1088" customWidth="1"/>
    <col min="9492" max="9492" width="11.5703125" style="1088" customWidth="1"/>
    <col min="9493" max="9493" width="33.140625" style="1088" customWidth="1"/>
    <col min="9494" max="9494" width="22.7109375" style="1088" customWidth="1"/>
    <col min="9495" max="9495" width="10.7109375" style="1088" customWidth="1"/>
    <col min="9496" max="9496" width="27.7109375" style="1088" customWidth="1"/>
    <col min="9497" max="9497" width="21.42578125" style="1088" customWidth="1"/>
    <col min="9498" max="9498" width="22.140625" style="1088" customWidth="1"/>
    <col min="9499" max="9499" width="12.7109375" style="1088" customWidth="1"/>
    <col min="9500" max="9500" width="16.42578125" style="1088" customWidth="1"/>
    <col min="9501" max="9501" width="29.7109375" style="1088" customWidth="1"/>
    <col min="9502" max="9502" width="29.140625" style="1088" customWidth="1"/>
    <col min="9503" max="9503" width="33.5703125" style="1088" customWidth="1"/>
    <col min="9504" max="9504" width="25" style="1088" customWidth="1"/>
    <col min="9505" max="9505" width="11.7109375" style="1088" customWidth="1"/>
    <col min="9506" max="9506" width="17.28515625" style="1088" customWidth="1"/>
    <col min="9507" max="9522" width="7.28515625" style="1088" customWidth="1"/>
    <col min="9523" max="9524" width="13.7109375" style="1088" customWidth="1"/>
    <col min="9525" max="9525" width="20.85546875" style="1088" customWidth="1"/>
    <col min="9526" max="9741" width="11.42578125" style="1088"/>
    <col min="9742" max="9742" width="13.140625" style="1088" customWidth="1"/>
    <col min="9743" max="9743" width="35.28515625" style="1088" customWidth="1"/>
    <col min="9744" max="9744" width="12.85546875" style="1088" customWidth="1"/>
    <col min="9745" max="9745" width="19.5703125" style="1088" customWidth="1"/>
    <col min="9746" max="9746" width="12.28515625" style="1088" customWidth="1"/>
    <col min="9747" max="9747" width="21.28515625" style="1088" customWidth="1"/>
    <col min="9748" max="9748" width="11.5703125" style="1088" customWidth="1"/>
    <col min="9749" max="9749" width="33.140625" style="1088" customWidth="1"/>
    <col min="9750" max="9750" width="22.7109375" style="1088" customWidth="1"/>
    <col min="9751" max="9751" width="10.7109375" style="1088" customWidth="1"/>
    <col min="9752" max="9752" width="27.7109375" style="1088" customWidth="1"/>
    <col min="9753" max="9753" width="21.42578125" style="1088" customWidth="1"/>
    <col min="9754" max="9754" width="22.140625" style="1088" customWidth="1"/>
    <col min="9755" max="9755" width="12.7109375" style="1088" customWidth="1"/>
    <col min="9756" max="9756" width="16.42578125" style="1088" customWidth="1"/>
    <col min="9757" max="9757" width="29.7109375" style="1088" customWidth="1"/>
    <col min="9758" max="9758" width="29.140625" style="1088" customWidth="1"/>
    <col min="9759" max="9759" width="33.5703125" style="1088" customWidth="1"/>
    <col min="9760" max="9760" width="25" style="1088" customWidth="1"/>
    <col min="9761" max="9761" width="11.7109375" style="1088" customWidth="1"/>
    <col min="9762" max="9762" width="17.28515625" style="1088" customWidth="1"/>
    <col min="9763" max="9778" width="7.28515625" style="1088" customWidth="1"/>
    <col min="9779" max="9780" width="13.7109375" style="1088" customWidth="1"/>
    <col min="9781" max="9781" width="20.85546875" style="1088" customWidth="1"/>
    <col min="9782" max="9997" width="11.42578125" style="1088"/>
    <col min="9998" max="9998" width="13.140625" style="1088" customWidth="1"/>
    <col min="9999" max="9999" width="35.28515625" style="1088" customWidth="1"/>
    <col min="10000" max="10000" width="12.85546875" style="1088" customWidth="1"/>
    <col min="10001" max="10001" width="19.5703125" style="1088" customWidth="1"/>
    <col min="10002" max="10002" width="12.28515625" style="1088" customWidth="1"/>
    <col min="10003" max="10003" width="21.28515625" style="1088" customWidth="1"/>
    <col min="10004" max="10004" width="11.5703125" style="1088" customWidth="1"/>
    <col min="10005" max="10005" width="33.140625" style="1088" customWidth="1"/>
    <col min="10006" max="10006" width="22.7109375" style="1088" customWidth="1"/>
    <col min="10007" max="10007" width="10.7109375" style="1088" customWidth="1"/>
    <col min="10008" max="10008" width="27.7109375" style="1088" customWidth="1"/>
    <col min="10009" max="10009" width="21.42578125" style="1088" customWidth="1"/>
    <col min="10010" max="10010" width="22.140625" style="1088" customWidth="1"/>
    <col min="10011" max="10011" width="12.7109375" style="1088" customWidth="1"/>
    <col min="10012" max="10012" width="16.42578125" style="1088" customWidth="1"/>
    <col min="10013" max="10013" width="29.7109375" style="1088" customWidth="1"/>
    <col min="10014" max="10014" width="29.140625" style="1088" customWidth="1"/>
    <col min="10015" max="10015" width="33.5703125" style="1088" customWidth="1"/>
    <col min="10016" max="10016" width="25" style="1088" customWidth="1"/>
    <col min="10017" max="10017" width="11.7109375" style="1088" customWidth="1"/>
    <col min="10018" max="10018" width="17.28515625" style="1088" customWidth="1"/>
    <col min="10019" max="10034" width="7.28515625" style="1088" customWidth="1"/>
    <col min="10035" max="10036" width="13.7109375" style="1088" customWidth="1"/>
    <col min="10037" max="10037" width="20.85546875" style="1088" customWidth="1"/>
    <col min="10038" max="10253" width="11.42578125" style="1088"/>
    <col min="10254" max="10254" width="13.140625" style="1088" customWidth="1"/>
    <col min="10255" max="10255" width="35.28515625" style="1088" customWidth="1"/>
    <col min="10256" max="10256" width="12.85546875" style="1088" customWidth="1"/>
    <col min="10257" max="10257" width="19.5703125" style="1088" customWidth="1"/>
    <col min="10258" max="10258" width="12.28515625" style="1088" customWidth="1"/>
    <col min="10259" max="10259" width="21.28515625" style="1088" customWidth="1"/>
    <col min="10260" max="10260" width="11.5703125" style="1088" customWidth="1"/>
    <col min="10261" max="10261" width="33.140625" style="1088" customWidth="1"/>
    <col min="10262" max="10262" width="22.7109375" style="1088" customWidth="1"/>
    <col min="10263" max="10263" width="10.7109375" style="1088" customWidth="1"/>
    <col min="10264" max="10264" width="27.7109375" style="1088" customWidth="1"/>
    <col min="10265" max="10265" width="21.42578125" style="1088" customWidth="1"/>
    <col min="10266" max="10266" width="22.140625" style="1088" customWidth="1"/>
    <col min="10267" max="10267" width="12.7109375" style="1088" customWidth="1"/>
    <col min="10268" max="10268" width="16.42578125" style="1088" customWidth="1"/>
    <col min="10269" max="10269" width="29.7109375" style="1088" customWidth="1"/>
    <col min="10270" max="10270" width="29.140625" style="1088" customWidth="1"/>
    <col min="10271" max="10271" width="33.5703125" style="1088" customWidth="1"/>
    <col min="10272" max="10272" width="25" style="1088" customWidth="1"/>
    <col min="10273" max="10273" width="11.7109375" style="1088" customWidth="1"/>
    <col min="10274" max="10274" width="17.28515625" style="1088" customWidth="1"/>
    <col min="10275" max="10290" width="7.28515625" style="1088" customWidth="1"/>
    <col min="10291" max="10292" width="13.7109375" style="1088" customWidth="1"/>
    <col min="10293" max="10293" width="20.85546875" style="1088" customWidth="1"/>
    <col min="10294" max="10509" width="11.42578125" style="1088"/>
    <col min="10510" max="10510" width="13.140625" style="1088" customWidth="1"/>
    <col min="10511" max="10511" width="35.28515625" style="1088" customWidth="1"/>
    <col min="10512" max="10512" width="12.85546875" style="1088" customWidth="1"/>
    <col min="10513" max="10513" width="19.5703125" style="1088" customWidth="1"/>
    <col min="10514" max="10514" width="12.28515625" style="1088" customWidth="1"/>
    <col min="10515" max="10515" width="21.28515625" style="1088" customWidth="1"/>
    <col min="10516" max="10516" width="11.5703125" style="1088" customWidth="1"/>
    <col min="10517" max="10517" width="33.140625" style="1088" customWidth="1"/>
    <col min="10518" max="10518" width="22.7109375" style="1088" customWidth="1"/>
    <col min="10519" max="10519" width="10.7109375" style="1088" customWidth="1"/>
    <col min="10520" max="10520" width="27.7109375" style="1088" customWidth="1"/>
    <col min="10521" max="10521" width="21.42578125" style="1088" customWidth="1"/>
    <col min="10522" max="10522" width="22.140625" style="1088" customWidth="1"/>
    <col min="10523" max="10523" width="12.7109375" style="1088" customWidth="1"/>
    <col min="10524" max="10524" width="16.42578125" style="1088" customWidth="1"/>
    <col min="10525" max="10525" width="29.7109375" style="1088" customWidth="1"/>
    <col min="10526" max="10526" width="29.140625" style="1088" customWidth="1"/>
    <col min="10527" max="10527" width="33.5703125" style="1088" customWidth="1"/>
    <col min="10528" max="10528" width="25" style="1088" customWidth="1"/>
    <col min="10529" max="10529" width="11.7109375" style="1088" customWidth="1"/>
    <col min="10530" max="10530" width="17.28515625" style="1088" customWidth="1"/>
    <col min="10531" max="10546" width="7.28515625" style="1088" customWidth="1"/>
    <col min="10547" max="10548" width="13.7109375" style="1088" customWidth="1"/>
    <col min="10549" max="10549" width="20.85546875" style="1088" customWidth="1"/>
    <col min="10550" max="10765" width="11.42578125" style="1088"/>
    <col min="10766" max="10766" width="13.140625" style="1088" customWidth="1"/>
    <col min="10767" max="10767" width="35.28515625" style="1088" customWidth="1"/>
    <col min="10768" max="10768" width="12.85546875" style="1088" customWidth="1"/>
    <col min="10769" max="10769" width="19.5703125" style="1088" customWidth="1"/>
    <col min="10770" max="10770" width="12.28515625" style="1088" customWidth="1"/>
    <col min="10771" max="10771" width="21.28515625" style="1088" customWidth="1"/>
    <col min="10772" max="10772" width="11.5703125" style="1088" customWidth="1"/>
    <col min="10773" max="10773" width="33.140625" style="1088" customWidth="1"/>
    <col min="10774" max="10774" width="22.7109375" style="1088" customWidth="1"/>
    <col min="10775" max="10775" width="10.7109375" style="1088" customWidth="1"/>
    <col min="10776" max="10776" width="27.7109375" style="1088" customWidth="1"/>
    <col min="10777" max="10777" width="21.42578125" style="1088" customWidth="1"/>
    <col min="10778" max="10778" width="22.140625" style="1088" customWidth="1"/>
    <col min="10779" max="10779" width="12.7109375" style="1088" customWidth="1"/>
    <col min="10780" max="10780" width="16.42578125" style="1088" customWidth="1"/>
    <col min="10781" max="10781" width="29.7109375" style="1088" customWidth="1"/>
    <col min="10782" max="10782" width="29.140625" style="1088" customWidth="1"/>
    <col min="10783" max="10783" width="33.5703125" style="1088" customWidth="1"/>
    <col min="10784" max="10784" width="25" style="1088" customWidth="1"/>
    <col min="10785" max="10785" width="11.7109375" style="1088" customWidth="1"/>
    <col min="10786" max="10786" width="17.28515625" style="1088" customWidth="1"/>
    <col min="10787" max="10802" width="7.28515625" style="1088" customWidth="1"/>
    <col min="10803" max="10804" width="13.7109375" style="1088" customWidth="1"/>
    <col min="10805" max="10805" width="20.85546875" style="1088" customWidth="1"/>
    <col min="10806" max="11021" width="11.42578125" style="1088"/>
    <col min="11022" max="11022" width="13.140625" style="1088" customWidth="1"/>
    <col min="11023" max="11023" width="35.28515625" style="1088" customWidth="1"/>
    <col min="11024" max="11024" width="12.85546875" style="1088" customWidth="1"/>
    <col min="11025" max="11025" width="19.5703125" style="1088" customWidth="1"/>
    <col min="11026" max="11026" width="12.28515625" style="1088" customWidth="1"/>
    <col min="11027" max="11027" width="21.28515625" style="1088" customWidth="1"/>
    <col min="11028" max="11028" width="11.5703125" style="1088" customWidth="1"/>
    <col min="11029" max="11029" width="33.140625" style="1088" customWidth="1"/>
    <col min="11030" max="11030" width="22.7109375" style="1088" customWidth="1"/>
    <col min="11031" max="11031" width="10.7109375" style="1088" customWidth="1"/>
    <col min="11032" max="11032" width="27.7109375" style="1088" customWidth="1"/>
    <col min="11033" max="11033" width="21.42578125" style="1088" customWidth="1"/>
    <col min="11034" max="11034" width="22.140625" style="1088" customWidth="1"/>
    <col min="11035" max="11035" width="12.7109375" style="1088" customWidth="1"/>
    <col min="11036" max="11036" width="16.42578125" style="1088" customWidth="1"/>
    <col min="11037" max="11037" width="29.7109375" style="1088" customWidth="1"/>
    <col min="11038" max="11038" width="29.140625" style="1088" customWidth="1"/>
    <col min="11039" max="11039" width="33.5703125" style="1088" customWidth="1"/>
    <col min="11040" max="11040" width="25" style="1088" customWidth="1"/>
    <col min="11041" max="11041" width="11.7109375" style="1088" customWidth="1"/>
    <col min="11042" max="11042" width="17.28515625" style="1088" customWidth="1"/>
    <col min="11043" max="11058" width="7.28515625" style="1088" customWidth="1"/>
    <col min="11059" max="11060" width="13.7109375" style="1088" customWidth="1"/>
    <col min="11061" max="11061" width="20.85546875" style="1088" customWidth="1"/>
    <col min="11062" max="11277" width="11.42578125" style="1088"/>
    <col min="11278" max="11278" width="13.140625" style="1088" customWidth="1"/>
    <col min="11279" max="11279" width="35.28515625" style="1088" customWidth="1"/>
    <col min="11280" max="11280" width="12.85546875" style="1088" customWidth="1"/>
    <col min="11281" max="11281" width="19.5703125" style="1088" customWidth="1"/>
    <col min="11282" max="11282" width="12.28515625" style="1088" customWidth="1"/>
    <col min="11283" max="11283" width="21.28515625" style="1088" customWidth="1"/>
    <col min="11284" max="11284" width="11.5703125" style="1088" customWidth="1"/>
    <col min="11285" max="11285" width="33.140625" style="1088" customWidth="1"/>
    <col min="11286" max="11286" width="22.7109375" style="1088" customWidth="1"/>
    <col min="11287" max="11287" width="10.7109375" style="1088" customWidth="1"/>
    <col min="11288" max="11288" width="27.7109375" style="1088" customWidth="1"/>
    <col min="11289" max="11289" width="21.42578125" style="1088" customWidth="1"/>
    <col min="11290" max="11290" width="22.140625" style="1088" customWidth="1"/>
    <col min="11291" max="11291" width="12.7109375" style="1088" customWidth="1"/>
    <col min="11292" max="11292" width="16.42578125" style="1088" customWidth="1"/>
    <col min="11293" max="11293" width="29.7109375" style="1088" customWidth="1"/>
    <col min="11294" max="11294" width="29.140625" style="1088" customWidth="1"/>
    <col min="11295" max="11295" width="33.5703125" style="1088" customWidth="1"/>
    <col min="11296" max="11296" width="25" style="1088" customWidth="1"/>
    <col min="11297" max="11297" width="11.7109375" style="1088" customWidth="1"/>
    <col min="11298" max="11298" width="17.28515625" style="1088" customWidth="1"/>
    <col min="11299" max="11314" width="7.28515625" style="1088" customWidth="1"/>
    <col min="11315" max="11316" width="13.7109375" style="1088" customWidth="1"/>
    <col min="11317" max="11317" width="20.85546875" style="1088" customWidth="1"/>
    <col min="11318" max="11533" width="11.42578125" style="1088"/>
    <col min="11534" max="11534" width="13.140625" style="1088" customWidth="1"/>
    <col min="11535" max="11535" width="35.28515625" style="1088" customWidth="1"/>
    <col min="11536" max="11536" width="12.85546875" style="1088" customWidth="1"/>
    <col min="11537" max="11537" width="19.5703125" style="1088" customWidth="1"/>
    <col min="11538" max="11538" width="12.28515625" style="1088" customWidth="1"/>
    <col min="11539" max="11539" width="21.28515625" style="1088" customWidth="1"/>
    <col min="11540" max="11540" width="11.5703125" style="1088" customWidth="1"/>
    <col min="11541" max="11541" width="33.140625" style="1088" customWidth="1"/>
    <col min="11542" max="11542" width="22.7109375" style="1088" customWidth="1"/>
    <col min="11543" max="11543" width="10.7109375" style="1088" customWidth="1"/>
    <col min="11544" max="11544" width="27.7109375" style="1088" customWidth="1"/>
    <col min="11545" max="11545" width="21.42578125" style="1088" customWidth="1"/>
    <col min="11546" max="11546" width="22.140625" style="1088" customWidth="1"/>
    <col min="11547" max="11547" width="12.7109375" style="1088" customWidth="1"/>
    <col min="11548" max="11548" width="16.42578125" style="1088" customWidth="1"/>
    <col min="11549" max="11549" width="29.7109375" style="1088" customWidth="1"/>
    <col min="11550" max="11550" width="29.140625" style="1088" customWidth="1"/>
    <col min="11551" max="11551" width="33.5703125" style="1088" customWidth="1"/>
    <col min="11552" max="11552" width="25" style="1088" customWidth="1"/>
    <col min="11553" max="11553" width="11.7109375" style="1088" customWidth="1"/>
    <col min="11554" max="11554" width="17.28515625" style="1088" customWidth="1"/>
    <col min="11555" max="11570" width="7.28515625" style="1088" customWidth="1"/>
    <col min="11571" max="11572" width="13.7109375" style="1088" customWidth="1"/>
    <col min="11573" max="11573" width="20.85546875" style="1088" customWidth="1"/>
    <col min="11574" max="11789" width="11.42578125" style="1088"/>
    <col min="11790" max="11790" width="13.140625" style="1088" customWidth="1"/>
    <col min="11791" max="11791" width="35.28515625" style="1088" customWidth="1"/>
    <col min="11792" max="11792" width="12.85546875" style="1088" customWidth="1"/>
    <col min="11793" max="11793" width="19.5703125" style="1088" customWidth="1"/>
    <col min="11794" max="11794" width="12.28515625" style="1088" customWidth="1"/>
    <col min="11795" max="11795" width="21.28515625" style="1088" customWidth="1"/>
    <col min="11796" max="11796" width="11.5703125" style="1088" customWidth="1"/>
    <col min="11797" max="11797" width="33.140625" style="1088" customWidth="1"/>
    <col min="11798" max="11798" width="22.7109375" style="1088" customWidth="1"/>
    <col min="11799" max="11799" width="10.7109375" style="1088" customWidth="1"/>
    <col min="11800" max="11800" width="27.7109375" style="1088" customWidth="1"/>
    <col min="11801" max="11801" width="21.42578125" style="1088" customWidth="1"/>
    <col min="11802" max="11802" width="22.140625" style="1088" customWidth="1"/>
    <col min="11803" max="11803" width="12.7109375" style="1088" customWidth="1"/>
    <col min="11804" max="11804" width="16.42578125" style="1088" customWidth="1"/>
    <col min="11805" max="11805" width="29.7109375" style="1088" customWidth="1"/>
    <col min="11806" max="11806" width="29.140625" style="1088" customWidth="1"/>
    <col min="11807" max="11807" width="33.5703125" style="1088" customWidth="1"/>
    <col min="11808" max="11808" width="25" style="1088" customWidth="1"/>
    <col min="11809" max="11809" width="11.7109375" style="1088" customWidth="1"/>
    <col min="11810" max="11810" width="17.28515625" style="1088" customWidth="1"/>
    <col min="11811" max="11826" width="7.28515625" style="1088" customWidth="1"/>
    <col min="11827" max="11828" width="13.7109375" style="1088" customWidth="1"/>
    <col min="11829" max="11829" width="20.85546875" style="1088" customWidth="1"/>
    <col min="11830" max="12045" width="11.42578125" style="1088"/>
    <col min="12046" max="12046" width="13.140625" style="1088" customWidth="1"/>
    <col min="12047" max="12047" width="35.28515625" style="1088" customWidth="1"/>
    <col min="12048" max="12048" width="12.85546875" style="1088" customWidth="1"/>
    <col min="12049" max="12049" width="19.5703125" style="1088" customWidth="1"/>
    <col min="12050" max="12050" width="12.28515625" style="1088" customWidth="1"/>
    <col min="12051" max="12051" width="21.28515625" style="1088" customWidth="1"/>
    <col min="12052" max="12052" width="11.5703125" style="1088" customWidth="1"/>
    <col min="12053" max="12053" width="33.140625" style="1088" customWidth="1"/>
    <col min="12054" max="12054" width="22.7109375" style="1088" customWidth="1"/>
    <col min="12055" max="12055" width="10.7109375" style="1088" customWidth="1"/>
    <col min="12056" max="12056" width="27.7109375" style="1088" customWidth="1"/>
    <col min="12057" max="12057" width="21.42578125" style="1088" customWidth="1"/>
    <col min="12058" max="12058" width="22.140625" style="1088" customWidth="1"/>
    <col min="12059" max="12059" width="12.7109375" style="1088" customWidth="1"/>
    <col min="12060" max="12060" width="16.42578125" style="1088" customWidth="1"/>
    <col min="12061" max="12061" width="29.7109375" style="1088" customWidth="1"/>
    <col min="12062" max="12062" width="29.140625" style="1088" customWidth="1"/>
    <col min="12063" max="12063" width="33.5703125" style="1088" customWidth="1"/>
    <col min="12064" max="12064" width="25" style="1088" customWidth="1"/>
    <col min="12065" max="12065" width="11.7109375" style="1088" customWidth="1"/>
    <col min="12066" max="12066" width="17.28515625" style="1088" customWidth="1"/>
    <col min="12067" max="12082" width="7.28515625" style="1088" customWidth="1"/>
    <col min="12083" max="12084" width="13.7109375" style="1088" customWidth="1"/>
    <col min="12085" max="12085" width="20.85546875" style="1088" customWidth="1"/>
    <col min="12086" max="12301" width="11.42578125" style="1088"/>
    <col min="12302" max="12302" width="13.140625" style="1088" customWidth="1"/>
    <col min="12303" max="12303" width="35.28515625" style="1088" customWidth="1"/>
    <col min="12304" max="12304" width="12.85546875" style="1088" customWidth="1"/>
    <col min="12305" max="12305" width="19.5703125" style="1088" customWidth="1"/>
    <col min="12306" max="12306" width="12.28515625" style="1088" customWidth="1"/>
    <col min="12307" max="12307" width="21.28515625" style="1088" customWidth="1"/>
    <col min="12308" max="12308" width="11.5703125" style="1088" customWidth="1"/>
    <col min="12309" max="12309" width="33.140625" style="1088" customWidth="1"/>
    <col min="12310" max="12310" width="22.7109375" style="1088" customWidth="1"/>
    <col min="12311" max="12311" width="10.7109375" style="1088" customWidth="1"/>
    <col min="12312" max="12312" width="27.7109375" style="1088" customWidth="1"/>
    <col min="12313" max="12313" width="21.42578125" style="1088" customWidth="1"/>
    <col min="12314" max="12314" width="22.140625" style="1088" customWidth="1"/>
    <col min="12315" max="12315" width="12.7109375" style="1088" customWidth="1"/>
    <col min="12316" max="12316" width="16.42578125" style="1088" customWidth="1"/>
    <col min="12317" max="12317" width="29.7109375" style="1088" customWidth="1"/>
    <col min="12318" max="12318" width="29.140625" style="1088" customWidth="1"/>
    <col min="12319" max="12319" width="33.5703125" style="1088" customWidth="1"/>
    <col min="12320" max="12320" width="25" style="1088" customWidth="1"/>
    <col min="12321" max="12321" width="11.7109375" style="1088" customWidth="1"/>
    <col min="12322" max="12322" width="17.28515625" style="1088" customWidth="1"/>
    <col min="12323" max="12338" width="7.28515625" style="1088" customWidth="1"/>
    <col min="12339" max="12340" width="13.7109375" style="1088" customWidth="1"/>
    <col min="12341" max="12341" width="20.85546875" style="1088" customWidth="1"/>
    <col min="12342" max="12557" width="11.42578125" style="1088"/>
    <col min="12558" max="12558" width="13.140625" style="1088" customWidth="1"/>
    <col min="12559" max="12559" width="35.28515625" style="1088" customWidth="1"/>
    <col min="12560" max="12560" width="12.85546875" style="1088" customWidth="1"/>
    <col min="12561" max="12561" width="19.5703125" style="1088" customWidth="1"/>
    <col min="12562" max="12562" width="12.28515625" style="1088" customWidth="1"/>
    <col min="12563" max="12563" width="21.28515625" style="1088" customWidth="1"/>
    <col min="12564" max="12564" width="11.5703125" style="1088" customWidth="1"/>
    <col min="12565" max="12565" width="33.140625" style="1088" customWidth="1"/>
    <col min="12566" max="12566" width="22.7109375" style="1088" customWidth="1"/>
    <col min="12567" max="12567" width="10.7109375" style="1088" customWidth="1"/>
    <col min="12568" max="12568" width="27.7109375" style="1088" customWidth="1"/>
    <col min="12569" max="12569" width="21.42578125" style="1088" customWidth="1"/>
    <col min="12570" max="12570" width="22.140625" style="1088" customWidth="1"/>
    <col min="12571" max="12571" width="12.7109375" style="1088" customWidth="1"/>
    <col min="12572" max="12572" width="16.42578125" style="1088" customWidth="1"/>
    <col min="12573" max="12573" width="29.7109375" style="1088" customWidth="1"/>
    <col min="12574" max="12574" width="29.140625" style="1088" customWidth="1"/>
    <col min="12575" max="12575" width="33.5703125" style="1088" customWidth="1"/>
    <col min="12576" max="12576" width="25" style="1088" customWidth="1"/>
    <col min="12577" max="12577" width="11.7109375" style="1088" customWidth="1"/>
    <col min="12578" max="12578" width="17.28515625" style="1088" customWidth="1"/>
    <col min="12579" max="12594" width="7.28515625" style="1088" customWidth="1"/>
    <col min="12595" max="12596" width="13.7109375" style="1088" customWidth="1"/>
    <col min="12597" max="12597" width="20.85546875" style="1088" customWidth="1"/>
    <col min="12598" max="12813" width="11.42578125" style="1088"/>
    <col min="12814" max="12814" width="13.140625" style="1088" customWidth="1"/>
    <col min="12815" max="12815" width="35.28515625" style="1088" customWidth="1"/>
    <col min="12816" max="12816" width="12.85546875" style="1088" customWidth="1"/>
    <col min="12817" max="12817" width="19.5703125" style="1088" customWidth="1"/>
    <col min="12818" max="12818" width="12.28515625" style="1088" customWidth="1"/>
    <col min="12819" max="12819" width="21.28515625" style="1088" customWidth="1"/>
    <col min="12820" max="12820" width="11.5703125" style="1088" customWidth="1"/>
    <col min="12821" max="12821" width="33.140625" style="1088" customWidth="1"/>
    <col min="12822" max="12822" width="22.7109375" style="1088" customWidth="1"/>
    <col min="12823" max="12823" width="10.7109375" style="1088" customWidth="1"/>
    <col min="12824" max="12824" width="27.7109375" style="1088" customWidth="1"/>
    <col min="12825" max="12825" width="21.42578125" style="1088" customWidth="1"/>
    <col min="12826" max="12826" width="22.140625" style="1088" customWidth="1"/>
    <col min="12827" max="12827" width="12.7109375" style="1088" customWidth="1"/>
    <col min="12828" max="12828" width="16.42578125" style="1088" customWidth="1"/>
    <col min="12829" max="12829" width="29.7109375" style="1088" customWidth="1"/>
    <col min="12830" max="12830" width="29.140625" style="1088" customWidth="1"/>
    <col min="12831" max="12831" width="33.5703125" style="1088" customWidth="1"/>
    <col min="12832" max="12832" width="25" style="1088" customWidth="1"/>
    <col min="12833" max="12833" width="11.7109375" style="1088" customWidth="1"/>
    <col min="12834" max="12834" width="17.28515625" style="1088" customWidth="1"/>
    <col min="12835" max="12850" width="7.28515625" style="1088" customWidth="1"/>
    <col min="12851" max="12852" width="13.7109375" style="1088" customWidth="1"/>
    <col min="12853" max="12853" width="20.85546875" style="1088" customWidth="1"/>
    <col min="12854" max="13069" width="11.42578125" style="1088"/>
    <col min="13070" max="13070" width="13.140625" style="1088" customWidth="1"/>
    <col min="13071" max="13071" width="35.28515625" style="1088" customWidth="1"/>
    <col min="13072" max="13072" width="12.85546875" style="1088" customWidth="1"/>
    <col min="13073" max="13073" width="19.5703125" style="1088" customWidth="1"/>
    <col min="13074" max="13074" width="12.28515625" style="1088" customWidth="1"/>
    <col min="13075" max="13075" width="21.28515625" style="1088" customWidth="1"/>
    <col min="13076" max="13076" width="11.5703125" style="1088" customWidth="1"/>
    <col min="13077" max="13077" width="33.140625" style="1088" customWidth="1"/>
    <col min="13078" max="13078" width="22.7109375" style="1088" customWidth="1"/>
    <col min="13079" max="13079" width="10.7109375" style="1088" customWidth="1"/>
    <col min="13080" max="13080" width="27.7109375" style="1088" customWidth="1"/>
    <col min="13081" max="13081" width="21.42578125" style="1088" customWidth="1"/>
    <col min="13082" max="13082" width="22.140625" style="1088" customWidth="1"/>
    <col min="13083" max="13083" width="12.7109375" style="1088" customWidth="1"/>
    <col min="13084" max="13084" width="16.42578125" style="1088" customWidth="1"/>
    <col min="13085" max="13085" width="29.7109375" style="1088" customWidth="1"/>
    <col min="13086" max="13086" width="29.140625" style="1088" customWidth="1"/>
    <col min="13087" max="13087" width="33.5703125" style="1088" customWidth="1"/>
    <col min="13088" max="13088" width="25" style="1088" customWidth="1"/>
    <col min="13089" max="13089" width="11.7109375" style="1088" customWidth="1"/>
    <col min="13090" max="13090" width="17.28515625" style="1088" customWidth="1"/>
    <col min="13091" max="13106" width="7.28515625" style="1088" customWidth="1"/>
    <col min="13107" max="13108" width="13.7109375" style="1088" customWidth="1"/>
    <col min="13109" max="13109" width="20.85546875" style="1088" customWidth="1"/>
    <col min="13110" max="13325" width="11.42578125" style="1088"/>
    <col min="13326" max="13326" width="13.140625" style="1088" customWidth="1"/>
    <col min="13327" max="13327" width="35.28515625" style="1088" customWidth="1"/>
    <col min="13328" max="13328" width="12.85546875" style="1088" customWidth="1"/>
    <col min="13329" max="13329" width="19.5703125" style="1088" customWidth="1"/>
    <col min="13330" max="13330" width="12.28515625" style="1088" customWidth="1"/>
    <col min="13331" max="13331" width="21.28515625" style="1088" customWidth="1"/>
    <col min="13332" max="13332" width="11.5703125" style="1088" customWidth="1"/>
    <col min="13333" max="13333" width="33.140625" style="1088" customWidth="1"/>
    <col min="13334" max="13334" width="22.7109375" style="1088" customWidth="1"/>
    <col min="13335" max="13335" width="10.7109375" style="1088" customWidth="1"/>
    <col min="13336" max="13336" width="27.7109375" style="1088" customWidth="1"/>
    <col min="13337" max="13337" width="21.42578125" style="1088" customWidth="1"/>
    <col min="13338" max="13338" width="22.140625" style="1088" customWidth="1"/>
    <col min="13339" max="13339" width="12.7109375" style="1088" customWidth="1"/>
    <col min="13340" max="13340" width="16.42578125" style="1088" customWidth="1"/>
    <col min="13341" max="13341" width="29.7109375" style="1088" customWidth="1"/>
    <col min="13342" max="13342" width="29.140625" style="1088" customWidth="1"/>
    <col min="13343" max="13343" width="33.5703125" style="1088" customWidth="1"/>
    <col min="13344" max="13344" width="25" style="1088" customWidth="1"/>
    <col min="13345" max="13345" width="11.7109375" style="1088" customWidth="1"/>
    <col min="13346" max="13346" width="17.28515625" style="1088" customWidth="1"/>
    <col min="13347" max="13362" width="7.28515625" style="1088" customWidth="1"/>
    <col min="13363" max="13364" width="13.7109375" style="1088" customWidth="1"/>
    <col min="13365" max="13365" width="20.85546875" style="1088" customWidth="1"/>
    <col min="13366" max="13581" width="11.42578125" style="1088"/>
    <col min="13582" max="13582" width="13.140625" style="1088" customWidth="1"/>
    <col min="13583" max="13583" width="35.28515625" style="1088" customWidth="1"/>
    <col min="13584" max="13584" width="12.85546875" style="1088" customWidth="1"/>
    <col min="13585" max="13585" width="19.5703125" style="1088" customWidth="1"/>
    <col min="13586" max="13586" width="12.28515625" style="1088" customWidth="1"/>
    <col min="13587" max="13587" width="21.28515625" style="1088" customWidth="1"/>
    <col min="13588" max="13588" width="11.5703125" style="1088" customWidth="1"/>
    <col min="13589" max="13589" width="33.140625" style="1088" customWidth="1"/>
    <col min="13590" max="13590" width="22.7109375" style="1088" customWidth="1"/>
    <col min="13591" max="13591" width="10.7109375" style="1088" customWidth="1"/>
    <col min="13592" max="13592" width="27.7109375" style="1088" customWidth="1"/>
    <col min="13593" max="13593" width="21.42578125" style="1088" customWidth="1"/>
    <col min="13594" max="13594" width="22.140625" style="1088" customWidth="1"/>
    <col min="13595" max="13595" width="12.7109375" style="1088" customWidth="1"/>
    <col min="13596" max="13596" width="16.42578125" style="1088" customWidth="1"/>
    <col min="13597" max="13597" width="29.7109375" style="1088" customWidth="1"/>
    <col min="13598" max="13598" width="29.140625" style="1088" customWidth="1"/>
    <col min="13599" max="13599" width="33.5703125" style="1088" customWidth="1"/>
    <col min="13600" max="13600" width="25" style="1088" customWidth="1"/>
    <col min="13601" max="13601" width="11.7109375" style="1088" customWidth="1"/>
    <col min="13602" max="13602" width="17.28515625" style="1088" customWidth="1"/>
    <col min="13603" max="13618" width="7.28515625" style="1088" customWidth="1"/>
    <col min="13619" max="13620" width="13.7109375" style="1088" customWidth="1"/>
    <col min="13621" max="13621" width="20.85546875" style="1088" customWidth="1"/>
    <col min="13622" max="13837" width="11.42578125" style="1088"/>
    <col min="13838" max="13838" width="13.140625" style="1088" customWidth="1"/>
    <col min="13839" max="13839" width="35.28515625" style="1088" customWidth="1"/>
    <col min="13840" max="13840" width="12.85546875" style="1088" customWidth="1"/>
    <col min="13841" max="13841" width="19.5703125" style="1088" customWidth="1"/>
    <col min="13842" max="13842" width="12.28515625" style="1088" customWidth="1"/>
    <col min="13843" max="13843" width="21.28515625" style="1088" customWidth="1"/>
    <col min="13844" max="13844" width="11.5703125" style="1088" customWidth="1"/>
    <col min="13845" max="13845" width="33.140625" style="1088" customWidth="1"/>
    <col min="13846" max="13846" width="22.7109375" style="1088" customWidth="1"/>
    <col min="13847" max="13847" width="10.7109375" style="1088" customWidth="1"/>
    <col min="13848" max="13848" width="27.7109375" style="1088" customWidth="1"/>
    <col min="13849" max="13849" width="21.42578125" style="1088" customWidth="1"/>
    <col min="13850" max="13850" width="22.140625" style="1088" customWidth="1"/>
    <col min="13851" max="13851" width="12.7109375" style="1088" customWidth="1"/>
    <col min="13852" max="13852" width="16.42578125" style="1088" customWidth="1"/>
    <col min="13853" max="13853" width="29.7109375" style="1088" customWidth="1"/>
    <col min="13854" max="13854" width="29.140625" style="1088" customWidth="1"/>
    <col min="13855" max="13855" width="33.5703125" style="1088" customWidth="1"/>
    <col min="13856" max="13856" width="25" style="1088" customWidth="1"/>
    <col min="13857" max="13857" width="11.7109375" style="1088" customWidth="1"/>
    <col min="13858" max="13858" width="17.28515625" style="1088" customWidth="1"/>
    <col min="13859" max="13874" width="7.28515625" style="1088" customWidth="1"/>
    <col min="13875" max="13876" width="13.7109375" style="1088" customWidth="1"/>
    <col min="13877" max="13877" width="20.85546875" style="1088" customWidth="1"/>
    <col min="13878" max="14093" width="11.42578125" style="1088"/>
    <col min="14094" max="14094" width="13.140625" style="1088" customWidth="1"/>
    <col min="14095" max="14095" width="35.28515625" style="1088" customWidth="1"/>
    <col min="14096" max="14096" width="12.85546875" style="1088" customWidth="1"/>
    <col min="14097" max="14097" width="19.5703125" style="1088" customWidth="1"/>
    <col min="14098" max="14098" width="12.28515625" style="1088" customWidth="1"/>
    <col min="14099" max="14099" width="21.28515625" style="1088" customWidth="1"/>
    <col min="14100" max="14100" width="11.5703125" style="1088" customWidth="1"/>
    <col min="14101" max="14101" width="33.140625" style="1088" customWidth="1"/>
    <col min="14102" max="14102" width="22.7109375" style="1088" customWidth="1"/>
    <col min="14103" max="14103" width="10.7109375" style="1088" customWidth="1"/>
    <col min="14104" max="14104" width="27.7109375" style="1088" customWidth="1"/>
    <col min="14105" max="14105" width="21.42578125" style="1088" customWidth="1"/>
    <col min="14106" max="14106" width="22.140625" style="1088" customWidth="1"/>
    <col min="14107" max="14107" width="12.7109375" style="1088" customWidth="1"/>
    <col min="14108" max="14108" width="16.42578125" style="1088" customWidth="1"/>
    <col min="14109" max="14109" width="29.7109375" style="1088" customWidth="1"/>
    <col min="14110" max="14110" width="29.140625" style="1088" customWidth="1"/>
    <col min="14111" max="14111" width="33.5703125" style="1088" customWidth="1"/>
    <col min="14112" max="14112" width="25" style="1088" customWidth="1"/>
    <col min="14113" max="14113" width="11.7109375" style="1088" customWidth="1"/>
    <col min="14114" max="14114" width="17.28515625" style="1088" customWidth="1"/>
    <col min="14115" max="14130" width="7.28515625" style="1088" customWidth="1"/>
    <col min="14131" max="14132" width="13.7109375" style="1088" customWidth="1"/>
    <col min="14133" max="14133" width="20.85546875" style="1088" customWidth="1"/>
    <col min="14134" max="14349" width="11.42578125" style="1088"/>
    <col min="14350" max="14350" width="13.140625" style="1088" customWidth="1"/>
    <col min="14351" max="14351" width="35.28515625" style="1088" customWidth="1"/>
    <col min="14352" max="14352" width="12.85546875" style="1088" customWidth="1"/>
    <col min="14353" max="14353" width="19.5703125" style="1088" customWidth="1"/>
    <col min="14354" max="14354" width="12.28515625" style="1088" customWidth="1"/>
    <col min="14355" max="14355" width="21.28515625" style="1088" customWidth="1"/>
    <col min="14356" max="14356" width="11.5703125" style="1088" customWidth="1"/>
    <col min="14357" max="14357" width="33.140625" style="1088" customWidth="1"/>
    <col min="14358" max="14358" width="22.7109375" style="1088" customWidth="1"/>
    <col min="14359" max="14359" width="10.7109375" style="1088" customWidth="1"/>
    <col min="14360" max="14360" width="27.7109375" style="1088" customWidth="1"/>
    <col min="14361" max="14361" width="21.42578125" style="1088" customWidth="1"/>
    <col min="14362" max="14362" width="22.140625" style="1088" customWidth="1"/>
    <col min="14363" max="14363" width="12.7109375" style="1088" customWidth="1"/>
    <col min="14364" max="14364" width="16.42578125" style="1088" customWidth="1"/>
    <col min="14365" max="14365" width="29.7109375" style="1088" customWidth="1"/>
    <col min="14366" max="14366" width="29.140625" style="1088" customWidth="1"/>
    <col min="14367" max="14367" width="33.5703125" style="1088" customWidth="1"/>
    <col min="14368" max="14368" width="25" style="1088" customWidth="1"/>
    <col min="14369" max="14369" width="11.7109375" style="1088" customWidth="1"/>
    <col min="14370" max="14370" width="17.28515625" style="1088" customWidth="1"/>
    <col min="14371" max="14386" width="7.28515625" style="1088" customWidth="1"/>
    <col min="14387" max="14388" width="13.7109375" style="1088" customWidth="1"/>
    <col min="14389" max="14389" width="20.85546875" style="1088" customWidth="1"/>
    <col min="14390" max="14605" width="11.42578125" style="1088"/>
    <col min="14606" max="14606" width="13.140625" style="1088" customWidth="1"/>
    <col min="14607" max="14607" width="35.28515625" style="1088" customWidth="1"/>
    <col min="14608" max="14608" width="12.85546875" style="1088" customWidth="1"/>
    <col min="14609" max="14609" width="19.5703125" style="1088" customWidth="1"/>
    <col min="14610" max="14610" width="12.28515625" style="1088" customWidth="1"/>
    <col min="14611" max="14611" width="21.28515625" style="1088" customWidth="1"/>
    <col min="14612" max="14612" width="11.5703125" style="1088" customWidth="1"/>
    <col min="14613" max="14613" width="33.140625" style="1088" customWidth="1"/>
    <col min="14614" max="14614" width="22.7109375" style="1088" customWidth="1"/>
    <col min="14615" max="14615" width="10.7109375" style="1088" customWidth="1"/>
    <col min="14616" max="14616" width="27.7109375" style="1088" customWidth="1"/>
    <col min="14617" max="14617" width="21.42578125" style="1088" customWidth="1"/>
    <col min="14618" max="14618" width="22.140625" style="1088" customWidth="1"/>
    <col min="14619" max="14619" width="12.7109375" style="1088" customWidth="1"/>
    <col min="14620" max="14620" width="16.42578125" style="1088" customWidth="1"/>
    <col min="14621" max="14621" width="29.7109375" style="1088" customWidth="1"/>
    <col min="14622" max="14622" width="29.140625" style="1088" customWidth="1"/>
    <col min="14623" max="14623" width="33.5703125" style="1088" customWidth="1"/>
    <col min="14624" max="14624" width="25" style="1088" customWidth="1"/>
    <col min="14625" max="14625" width="11.7109375" style="1088" customWidth="1"/>
    <col min="14626" max="14626" width="17.28515625" style="1088" customWidth="1"/>
    <col min="14627" max="14642" width="7.28515625" style="1088" customWidth="1"/>
    <col min="14643" max="14644" width="13.7109375" style="1088" customWidth="1"/>
    <col min="14645" max="14645" width="20.85546875" style="1088" customWidth="1"/>
    <col min="14646" max="14861" width="11.42578125" style="1088"/>
    <col min="14862" max="14862" width="13.140625" style="1088" customWidth="1"/>
    <col min="14863" max="14863" width="35.28515625" style="1088" customWidth="1"/>
    <col min="14864" max="14864" width="12.85546875" style="1088" customWidth="1"/>
    <col min="14865" max="14865" width="19.5703125" style="1088" customWidth="1"/>
    <col min="14866" max="14866" width="12.28515625" style="1088" customWidth="1"/>
    <col min="14867" max="14867" width="21.28515625" style="1088" customWidth="1"/>
    <col min="14868" max="14868" width="11.5703125" style="1088" customWidth="1"/>
    <col min="14869" max="14869" width="33.140625" style="1088" customWidth="1"/>
    <col min="14870" max="14870" width="22.7109375" style="1088" customWidth="1"/>
    <col min="14871" max="14871" width="10.7109375" style="1088" customWidth="1"/>
    <col min="14872" max="14872" width="27.7109375" style="1088" customWidth="1"/>
    <col min="14873" max="14873" width="21.42578125" style="1088" customWidth="1"/>
    <col min="14874" max="14874" width="22.140625" style="1088" customWidth="1"/>
    <col min="14875" max="14875" width="12.7109375" style="1088" customWidth="1"/>
    <col min="14876" max="14876" width="16.42578125" style="1088" customWidth="1"/>
    <col min="14877" max="14877" width="29.7109375" style="1088" customWidth="1"/>
    <col min="14878" max="14878" width="29.140625" style="1088" customWidth="1"/>
    <col min="14879" max="14879" width="33.5703125" style="1088" customWidth="1"/>
    <col min="14880" max="14880" width="25" style="1088" customWidth="1"/>
    <col min="14881" max="14881" width="11.7109375" style="1088" customWidth="1"/>
    <col min="14882" max="14882" width="17.28515625" style="1088" customWidth="1"/>
    <col min="14883" max="14898" width="7.28515625" style="1088" customWidth="1"/>
    <col min="14899" max="14900" width="13.7109375" style="1088" customWidth="1"/>
    <col min="14901" max="14901" width="20.85546875" style="1088" customWidth="1"/>
    <col min="14902" max="15117" width="11.42578125" style="1088"/>
    <col min="15118" max="15118" width="13.140625" style="1088" customWidth="1"/>
    <col min="15119" max="15119" width="35.28515625" style="1088" customWidth="1"/>
    <col min="15120" max="15120" width="12.85546875" style="1088" customWidth="1"/>
    <col min="15121" max="15121" width="19.5703125" style="1088" customWidth="1"/>
    <col min="15122" max="15122" width="12.28515625" style="1088" customWidth="1"/>
    <col min="15123" max="15123" width="21.28515625" style="1088" customWidth="1"/>
    <col min="15124" max="15124" width="11.5703125" style="1088" customWidth="1"/>
    <col min="15125" max="15125" width="33.140625" style="1088" customWidth="1"/>
    <col min="15126" max="15126" width="22.7109375" style="1088" customWidth="1"/>
    <col min="15127" max="15127" width="10.7109375" style="1088" customWidth="1"/>
    <col min="15128" max="15128" width="27.7109375" style="1088" customWidth="1"/>
    <col min="15129" max="15129" width="21.42578125" style="1088" customWidth="1"/>
    <col min="15130" max="15130" width="22.140625" style="1088" customWidth="1"/>
    <col min="15131" max="15131" width="12.7109375" style="1088" customWidth="1"/>
    <col min="15132" max="15132" width="16.42578125" style="1088" customWidth="1"/>
    <col min="15133" max="15133" width="29.7109375" style="1088" customWidth="1"/>
    <col min="15134" max="15134" width="29.140625" style="1088" customWidth="1"/>
    <col min="15135" max="15135" width="33.5703125" style="1088" customWidth="1"/>
    <col min="15136" max="15136" width="25" style="1088" customWidth="1"/>
    <col min="15137" max="15137" width="11.7109375" style="1088" customWidth="1"/>
    <col min="15138" max="15138" width="17.28515625" style="1088" customWidth="1"/>
    <col min="15139" max="15154" width="7.28515625" style="1088" customWidth="1"/>
    <col min="15155" max="15156" width="13.7109375" style="1088" customWidth="1"/>
    <col min="15157" max="15157" width="20.85546875" style="1088" customWidth="1"/>
    <col min="15158" max="15373" width="11.42578125" style="1088"/>
    <col min="15374" max="15374" width="13.140625" style="1088" customWidth="1"/>
    <col min="15375" max="15375" width="35.28515625" style="1088" customWidth="1"/>
    <col min="15376" max="15376" width="12.85546875" style="1088" customWidth="1"/>
    <col min="15377" max="15377" width="19.5703125" style="1088" customWidth="1"/>
    <col min="15378" max="15378" width="12.28515625" style="1088" customWidth="1"/>
    <col min="15379" max="15379" width="21.28515625" style="1088" customWidth="1"/>
    <col min="15380" max="15380" width="11.5703125" style="1088" customWidth="1"/>
    <col min="15381" max="15381" width="33.140625" style="1088" customWidth="1"/>
    <col min="15382" max="15382" width="22.7109375" style="1088" customWidth="1"/>
    <col min="15383" max="15383" width="10.7109375" style="1088" customWidth="1"/>
    <col min="15384" max="15384" width="27.7109375" style="1088" customWidth="1"/>
    <col min="15385" max="15385" width="21.42578125" style="1088" customWidth="1"/>
    <col min="15386" max="15386" width="22.140625" style="1088" customWidth="1"/>
    <col min="15387" max="15387" width="12.7109375" style="1088" customWidth="1"/>
    <col min="15388" max="15388" width="16.42578125" style="1088" customWidth="1"/>
    <col min="15389" max="15389" width="29.7109375" style="1088" customWidth="1"/>
    <col min="15390" max="15390" width="29.140625" style="1088" customWidth="1"/>
    <col min="15391" max="15391" width="33.5703125" style="1088" customWidth="1"/>
    <col min="15392" max="15392" width="25" style="1088" customWidth="1"/>
    <col min="15393" max="15393" width="11.7109375" style="1088" customWidth="1"/>
    <col min="15394" max="15394" width="17.28515625" style="1088" customWidth="1"/>
    <col min="15395" max="15410" width="7.28515625" style="1088" customWidth="1"/>
    <col min="15411" max="15412" width="13.7109375" style="1088" customWidth="1"/>
    <col min="15413" max="15413" width="20.85546875" style="1088" customWidth="1"/>
    <col min="15414" max="15629" width="11.42578125" style="1088"/>
    <col min="15630" max="15630" width="13.140625" style="1088" customWidth="1"/>
    <col min="15631" max="15631" width="35.28515625" style="1088" customWidth="1"/>
    <col min="15632" max="15632" width="12.85546875" style="1088" customWidth="1"/>
    <col min="15633" max="15633" width="19.5703125" style="1088" customWidth="1"/>
    <col min="15634" max="15634" width="12.28515625" style="1088" customWidth="1"/>
    <col min="15635" max="15635" width="21.28515625" style="1088" customWidth="1"/>
    <col min="15636" max="15636" width="11.5703125" style="1088" customWidth="1"/>
    <col min="15637" max="15637" width="33.140625" style="1088" customWidth="1"/>
    <col min="15638" max="15638" width="22.7109375" style="1088" customWidth="1"/>
    <col min="15639" max="15639" width="10.7109375" style="1088" customWidth="1"/>
    <col min="15640" max="15640" width="27.7109375" style="1088" customWidth="1"/>
    <col min="15641" max="15641" width="21.42578125" style="1088" customWidth="1"/>
    <col min="15642" max="15642" width="22.140625" style="1088" customWidth="1"/>
    <col min="15643" max="15643" width="12.7109375" style="1088" customWidth="1"/>
    <col min="15644" max="15644" width="16.42578125" style="1088" customWidth="1"/>
    <col min="15645" max="15645" width="29.7109375" style="1088" customWidth="1"/>
    <col min="15646" max="15646" width="29.140625" style="1088" customWidth="1"/>
    <col min="15647" max="15647" width="33.5703125" style="1088" customWidth="1"/>
    <col min="15648" max="15648" width="25" style="1088" customWidth="1"/>
    <col min="15649" max="15649" width="11.7109375" style="1088" customWidth="1"/>
    <col min="15650" max="15650" width="17.28515625" style="1088" customWidth="1"/>
    <col min="15651" max="15666" width="7.28515625" style="1088" customWidth="1"/>
    <col min="15667" max="15668" width="13.7109375" style="1088" customWidth="1"/>
    <col min="15669" max="15669" width="20.85546875" style="1088" customWidth="1"/>
    <col min="15670" max="15885" width="11.42578125" style="1088"/>
    <col min="15886" max="15886" width="13.140625" style="1088" customWidth="1"/>
    <col min="15887" max="15887" width="35.28515625" style="1088" customWidth="1"/>
    <col min="15888" max="15888" width="12.85546875" style="1088" customWidth="1"/>
    <col min="15889" max="15889" width="19.5703125" style="1088" customWidth="1"/>
    <col min="15890" max="15890" width="12.28515625" style="1088" customWidth="1"/>
    <col min="15891" max="15891" width="21.28515625" style="1088" customWidth="1"/>
    <col min="15892" max="15892" width="11.5703125" style="1088" customWidth="1"/>
    <col min="15893" max="15893" width="33.140625" style="1088" customWidth="1"/>
    <col min="15894" max="15894" width="22.7109375" style="1088" customWidth="1"/>
    <col min="15895" max="15895" width="10.7109375" style="1088" customWidth="1"/>
    <col min="15896" max="15896" width="27.7109375" style="1088" customWidth="1"/>
    <col min="15897" max="15897" width="21.42578125" style="1088" customWidth="1"/>
    <col min="15898" max="15898" width="22.140625" style="1088" customWidth="1"/>
    <col min="15899" max="15899" width="12.7109375" style="1088" customWidth="1"/>
    <col min="15900" max="15900" width="16.42578125" style="1088" customWidth="1"/>
    <col min="15901" max="15901" width="29.7109375" style="1088" customWidth="1"/>
    <col min="15902" max="15902" width="29.140625" style="1088" customWidth="1"/>
    <col min="15903" max="15903" width="33.5703125" style="1088" customWidth="1"/>
    <col min="15904" max="15904" width="25" style="1088" customWidth="1"/>
    <col min="15905" max="15905" width="11.7109375" style="1088" customWidth="1"/>
    <col min="15906" max="15906" width="17.28515625" style="1088" customWidth="1"/>
    <col min="15907" max="15922" width="7.28515625" style="1088" customWidth="1"/>
    <col min="15923" max="15924" width="13.7109375" style="1088" customWidth="1"/>
    <col min="15925" max="15925" width="20.85546875" style="1088" customWidth="1"/>
    <col min="15926" max="16141" width="11.42578125" style="1088"/>
    <col min="16142" max="16142" width="13.140625" style="1088" customWidth="1"/>
    <col min="16143" max="16143" width="35.28515625" style="1088" customWidth="1"/>
    <col min="16144" max="16144" width="12.85546875" style="1088" customWidth="1"/>
    <col min="16145" max="16145" width="19.5703125" style="1088" customWidth="1"/>
    <col min="16146" max="16146" width="12.28515625" style="1088" customWidth="1"/>
    <col min="16147" max="16147" width="21.28515625" style="1088" customWidth="1"/>
    <col min="16148" max="16148" width="11.5703125" style="1088" customWidth="1"/>
    <col min="16149" max="16149" width="33.140625" style="1088" customWidth="1"/>
    <col min="16150" max="16150" width="22.7109375" style="1088" customWidth="1"/>
    <col min="16151" max="16151" width="10.7109375" style="1088" customWidth="1"/>
    <col min="16152" max="16152" width="27.7109375" style="1088" customWidth="1"/>
    <col min="16153" max="16153" width="21.42578125" style="1088" customWidth="1"/>
    <col min="16154" max="16154" width="22.140625" style="1088" customWidth="1"/>
    <col min="16155" max="16155" width="12.7109375" style="1088" customWidth="1"/>
    <col min="16156" max="16156" width="16.42578125" style="1088" customWidth="1"/>
    <col min="16157" max="16157" width="29.7109375" style="1088" customWidth="1"/>
    <col min="16158" max="16158" width="29.140625" style="1088" customWidth="1"/>
    <col min="16159" max="16159" width="33.5703125" style="1088" customWidth="1"/>
    <col min="16160" max="16160" width="25" style="1088" customWidth="1"/>
    <col min="16161" max="16161" width="11.7109375" style="1088" customWidth="1"/>
    <col min="16162" max="16162" width="17.28515625" style="1088" customWidth="1"/>
    <col min="16163" max="16178" width="7.28515625" style="1088" customWidth="1"/>
    <col min="16179" max="16180" width="13.7109375" style="1088" customWidth="1"/>
    <col min="16181" max="16181" width="20.85546875" style="1088" customWidth="1"/>
    <col min="16182" max="16384" width="11.42578125" style="1088"/>
  </cols>
  <sheetData>
    <row r="1" spans="1:73" ht="21.75" customHeight="1" x14ac:dyDescent="0.25">
      <c r="A1" s="3437" t="s">
        <v>657</v>
      </c>
      <c r="B1" s="4322"/>
      <c r="C1" s="4322"/>
      <c r="D1" s="4322"/>
      <c r="E1" s="4322"/>
      <c r="F1" s="4322"/>
      <c r="G1" s="4322"/>
      <c r="H1" s="4322"/>
      <c r="I1" s="4322"/>
      <c r="J1" s="4322"/>
      <c r="K1" s="4322"/>
      <c r="L1" s="4322"/>
      <c r="M1" s="4322"/>
      <c r="N1" s="4322"/>
      <c r="O1" s="4322"/>
      <c r="P1" s="4322"/>
      <c r="Q1" s="4322"/>
      <c r="R1" s="4322"/>
      <c r="S1" s="4322"/>
      <c r="T1" s="4322"/>
      <c r="U1" s="4322"/>
      <c r="V1" s="4322"/>
      <c r="W1" s="4322"/>
      <c r="X1" s="4322"/>
      <c r="Y1" s="4322"/>
      <c r="Z1" s="4322"/>
      <c r="AA1" s="4322"/>
      <c r="AB1" s="4322"/>
      <c r="AC1" s="4322"/>
      <c r="AD1" s="4322"/>
      <c r="AE1" s="4322"/>
      <c r="AF1" s="4322"/>
      <c r="AG1" s="4322"/>
      <c r="AH1" s="4322"/>
      <c r="AI1" s="4322"/>
      <c r="AJ1" s="4322"/>
      <c r="AK1" s="4322"/>
      <c r="AL1" s="4322"/>
      <c r="AM1" s="4322"/>
      <c r="AN1" s="4322"/>
      <c r="AO1" s="4322"/>
      <c r="AP1" s="4322"/>
      <c r="AQ1" s="4322"/>
      <c r="AR1" s="4322"/>
      <c r="AS1" s="4322"/>
      <c r="AT1" s="4322"/>
      <c r="AU1" s="4322"/>
      <c r="AV1" s="4322"/>
      <c r="AW1" s="4322"/>
      <c r="AX1" s="4322"/>
      <c r="AY1" s="4322"/>
      <c r="AZ1" s="4322"/>
      <c r="BA1" s="4322"/>
      <c r="BB1" s="4322"/>
      <c r="BC1" s="4322"/>
      <c r="BD1" s="4322"/>
      <c r="BE1" s="4322"/>
      <c r="BF1" s="4322"/>
      <c r="BG1" s="4322"/>
      <c r="BH1" s="4322"/>
      <c r="BI1" s="4322"/>
      <c r="BJ1" s="4322"/>
      <c r="BK1" s="4323"/>
      <c r="BL1" s="1085"/>
      <c r="BM1" s="1086"/>
      <c r="BN1" s="132" t="s">
        <v>0</v>
      </c>
      <c r="BO1" s="551" t="s">
        <v>1</v>
      </c>
      <c r="BP1" s="1087"/>
      <c r="BQ1" s="1087"/>
      <c r="BR1" s="1087"/>
      <c r="BS1" s="1087"/>
      <c r="BT1" s="1087"/>
      <c r="BU1" s="1087"/>
    </row>
    <row r="2" spans="1:73" ht="21.75" customHeight="1" x14ac:dyDescent="0.25">
      <c r="A2" s="4322"/>
      <c r="B2" s="4322"/>
      <c r="C2" s="4322"/>
      <c r="D2" s="4322"/>
      <c r="E2" s="4322"/>
      <c r="F2" s="4322"/>
      <c r="G2" s="4322"/>
      <c r="H2" s="4322"/>
      <c r="I2" s="4322"/>
      <c r="J2" s="4322"/>
      <c r="K2" s="4322"/>
      <c r="L2" s="4322"/>
      <c r="M2" s="4322"/>
      <c r="N2" s="4322"/>
      <c r="O2" s="4322"/>
      <c r="P2" s="4322"/>
      <c r="Q2" s="4322"/>
      <c r="R2" s="4322"/>
      <c r="S2" s="4322"/>
      <c r="T2" s="4322"/>
      <c r="U2" s="4322"/>
      <c r="V2" s="4322"/>
      <c r="W2" s="4322"/>
      <c r="X2" s="4322"/>
      <c r="Y2" s="4322"/>
      <c r="Z2" s="4322"/>
      <c r="AA2" s="4322"/>
      <c r="AB2" s="4322"/>
      <c r="AC2" s="4322"/>
      <c r="AD2" s="4322"/>
      <c r="AE2" s="4322"/>
      <c r="AF2" s="4322"/>
      <c r="AG2" s="4322"/>
      <c r="AH2" s="4322"/>
      <c r="AI2" s="4322"/>
      <c r="AJ2" s="4322"/>
      <c r="AK2" s="4322"/>
      <c r="AL2" s="4322"/>
      <c r="AM2" s="4322"/>
      <c r="AN2" s="4322"/>
      <c r="AO2" s="4322"/>
      <c r="AP2" s="4322"/>
      <c r="AQ2" s="4322"/>
      <c r="AR2" s="4322"/>
      <c r="AS2" s="4322"/>
      <c r="AT2" s="4322"/>
      <c r="AU2" s="4322"/>
      <c r="AV2" s="4322"/>
      <c r="AW2" s="4322"/>
      <c r="AX2" s="4322"/>
      <c r="AY2" s="4322"/>
      <c r="AZ2" s="4322"/>
      <c r="BA2" s="4322"/>
      <c r="BB2" s="4322"/>
      <c r="BC2" s="4322"/>
      <c r="BD2" s="4322"/>
      <c r="BE2" s="4322"/>
      <c r="BF2" s="4322"/>
      <c r="BG2" s="4322"/>
      <c r="BH2" s="4322"/>
      <c r="BI2" s="4322"/>
      <c r="BJ2" s="4322"/>
      <c r="BK2" s="4323"/>
      <c r="BL2" s="1085"/>
      <c r="BM2" s="1089"/>
      <c r="BN2" s="133" t="s">
        <v>2</v>
      </c>
      <c r="BO2" s="553">
        <v>6</v>
      </c>
      <c r="BP2" s="1087"/>
      <c r="BQ2" s="1087"/>
      <c r="BR2" s="1087"/>
      <c r="BS2" s="1087"/>
      <c r="BT2" s="1087"/>
      <c r="BU2" s="1087"/>
    </row>
    <row r="3" spans="1:73" ht="21.75" customHeight="1" x14ac:dyDescent="0.25">
      <c r="A3" s="4322"/>
      <c r="B3" s="4322"/>
      <c r="C3" s="4322"/>
      <c r="D3" s="4322"/>
      <c r="E3" s="4322"/>
      <c r="F3" s="4322"/>
      <c r="G3" s="4322"/>
      <c r="H3" s="4322"/>
      <c r="I3" s="4322"/>
      <c r="J3" s="4322"/>
      <c r="K3" s="4322"/>
      <c r="L3" s="4322"/>
      <c r="M3" s="4322"/>
      <c r="N3" s="4322"/>
      <c r="O3" s="4322"/>
      <c r="P3" s="4322"/>
      <c r="Q3" s="4322"/>
      <c r="R3" s="4322"/>
      <c r="S3" s="4322"/>
      <c r="T3" s="4322"/>
      <c r="U3" s="4322"/>
      <c r="V3" s="4322"/>
      <c r="W3" s="4322"/>
      <c r="X3" s="4322"/>
      <c r="Y3" s="4322"/>
      <c r="Z3" s="4322"/>
      <c r="AA3" s="4322"/>
      <c r="AB3" s="4322"/>
      <c r="AC3" s="4322"/>
      <c r="AD3" s="4322"/>
      <c r="AE3" s="4322"/>
      <c r="AF3" s="4322"/>
      <c r="AG3" s="4322"/>
      <c r="AH3" s="4322"/>
      <c r="AI3" s="4322"/>
      <c r="AJ3" s="4322"/>
      <c r="AK3" s="4322"/>
      <c r="AL3" s="4322"/>
      <c r="AM3" s="4322"/>
      <c r="AN3" s="4322"/>
      <c r="AO3" s="4322"/>
      <c r="AP3" s="4322"/>
      <c r="AQ3" s="4322"/>
      <c r="AR3" s="4322"/>
      <c r="AS3" s="4322"/>
      <c r="AT3" s="4322"/>
      <c r="AU3" s="4322"/>
      <c r="AV3" s="4322"/>
      <c r="AW3" s="4322"/>
      <c r="AX3" s="4322"/>
      <c r="AY3" s="4322"/>
      <c r="AZ3" s="4322"/>
      <c r="BA3" s="4322"/>
      <c r="BB3" s="4322"/>
      <c r="BC3" s="4322"/>
      <c r="BD3" s="4322"/>
      <c r="BE3" s="4322"/>
      <c r="BF3" s="4322"/>
      <c r="BG3" s="4322"/>
      <c r="BH3" s="4322"/>
      <c r="BI3" s="4322"/>
      <c r="BJ3" s="4322"/>
      <c r="BK3" s="4323"/>
      <c r="BL3" s="1085"/>
      <c r="BM3" s="1086"/>
      <c r="BN3" s="132" t="s">
        <v>3</v>
      </c>
      <c r="BO3" s="554" t="s">
        <v>4</v>
      </c>
      <c r="BP3" s="1087"/>
      <c r="BQ3" s="1087"/>
      <c r="BR3" s="1087"/>
      <c r="BS3" s="1087"/>
      <c r="BT3" s="1087"/>
      <c r="BU3" s="1087"/>
    </row>
    <row r="4" spans="1:73" ht="21.75" customHeight="1" x14ac:dyDescent="0.25">
      <c r="A4" s="4324"/>
      <c r="B4" s="4324"/>
      <c r="C4" s="4324"/>
      <c r="D4" s="4324"/>
      <c r="E4" s="4324"/>
      <c r="F4" s="4324"/>
      <c r="G4" s="4324"/>
      <c r="H4" s="4324"/>
      <c r="I4" s="4324"/>
      <c r="J4" s="4324"/>
      <c r="K4" s="4324"/>
      <c r="L4" s="4323"/>
      <c r="M4" s="4323"/>
      <c r="N4" s="4323"/>
      <c r="O4" s="4323"/>
      <c r="P4" s="4323"/>
      <c r="Q4" s="4323"/>
      <c r="R4" s="4323"/>
      <c r="S4" s="4323"/>
      <c r="T4" s="4323"/>
      <c r="U4" s="4323"/>
      <c r="V4" s="4323"/>
      <c r="W4" s="4323"/>
      <c r="X4" s="4323"/>
      <c r="Y4" s="4323"/>
      <c r="Z4" s="4323"/>
      <c r="AA4" s="4323"/>
      <c r="AB4" s="4323"/>
      <c r="AC4" s="4323"/>
      <c r="AD4" s="4323"/>
      <c r="AE4" s="4323"/>
      <c r="AF4" s="4323"/>
      <c r="AG4" s="4323"/>
      <c r="AH4" s="4323"/>
      <c r="AI4" s="4323"/>
      <c r="AJ4" s="4323"/>
      <c r="AK4" s="4323"/>
      <c r="AL4" s="4323"/>
      <c r="AM4" s="4323"/>
      <c r="AN4" s="4323"/>
      <c r="AO4" s="4323"/>
      <c r="AP4" s="4323"/>
      <c r="AQ4" s="4323"/>
      <c r="AR4" s="4323"/>
      <c r="AS4" s="4323"/>
      <c r="AT4" s="4323"/>
      <c r="AU4" s="4323"/>
      <c r="AV4" s="4323"/>
      <c r="AW4" s="4323"/>
      <c r="AX4" s="4323"/>
      <c r="AY4" s="4323"/>
      <c r="AZ4" s="4323"/>
      <c r="BA4" s="4323"/>
      <c r="BB4" s="4323"/>
      <c r="BC4" s="4323"/>
      <c r="BD4" s="4323"/>
      <c r="BE4" s="4323"/>
      <c r="BF4" s="4323"/>
      <c r="BG4" s="4323"/>
      <c r="BH4" s="4323"/>
      <c r="BI4" s="4323"/>
      <c r="BJ4" s="4323"/>
      <c r="BK4" s="4323"/>
      <c r="BL4" s="1085"/>
      <c r="BM4" s="1086"/>
      <c r="BN4" s="2485" t="s">
        <v>5</v>
      </c>
      <c r="BO4" s="2486" t="s">
        <v>6</v>
      </c>
      <c r="BP4" s="1087"/>
      <c r="BQ4" s="1087"/>
      <c r="BR4" s="1087"/>
      <c r="BS4" s="1087"/>
      <c r="BT4" s="1087"/>
      <c r="BU4" s="1087"/>
    </row>
    <row r="5" spans="1:73" ht="36.75" customHeight="1" x14ac:dyDescent="0.25">
      <c r="A5" s="3440" t="s">
        <v>7</v>
      </c>
      <c r="B5" s="3440"/>
      <c r="C5" s="3440"/>
      <c r="D5" s="3440"/>
      <c r="E5" s="3440"/>
      <c r="F5" s="3440"/>
      <c r="G5" s="3440"/>
      <c r="H5" s="3440"/>
      <c r="I5" s="3440"/>
      <c r="J5" s="3440"/>
      <c r="K5" s="1059"/>
      <c r="L5" s="3442" t="s">
        <v>8</v>
      </c>
      <c r="M5" s="3442"/>
      <c r="N5" s="3442"/>
      <c r="O5" s="3442"/>
      <c r="P5" s="3442"/>
      <c r="Q5" s="3442"/>
      <c r="R5" s="3442"/>
      <c r="S5" s="3442"/>
      <c r="T5" s="3442"/>
      <c r="U5" s="3442"/>
      <c r="V5" s="3442"/>
      <c r="W5" s="3442"/>
      <c r="X5" s="3442"/>
      <c r="Y5" s="3442"/>
      <c r="Z5" s="3442"/>
      <c r="AA5" s="3442"/>
      <c r="AB5" s="3442"/>
      <c r="AC5" s="3442"/>
      <c r="AD5" s="3442"/>
      <c r="AE5" s="3442"/>
      <c r="AF5" s="3442"/>
      <c r="AG5" s="3442"/>
      <c r="AH5" s="3442"/>
      <c r="AI5" s="3442"/>
      <c r="AJ5" s="3442"/>
      <c r="AK5" s="3442"/>
      <c r="AL5" s="3442"/>
      <c r="AM5" s="3442"/>
      <c r="AN5" s="3442"/>
      <c r="AO5" s="3442"/>
      <c r="AP5" s="3442"/>
      <c r="AQ5" s="3442"/>
      <c r="AR5" s="3442"/>
      <c r="AS5" s="3442"/>
      <c r="AT5" s="3442"/>
      <c r="AU5" s="3442"/>
      <c r="AV5" s="3442"/>
      <c r="AW5" s="3442"/>
      <c r="AX5" s="3442"/>
      <c r="AY5" s="3442"/>
      <c r="AZ5" s="3442"/>
      <c r="BA5" s="3442"/>
      <c r="BB5" s="3442"/>
      <c r="BC5" s="3442"/>
      <c r="BD5" s="3442"/>
      <c r="BE5" s="3442"/>
      <c r="BF5" s="3442"/>
      <c r="BG5" s="3442"/>
      <c r="BH5" s="3442"/>
      <c r="BI5" s="3442"/>
      <c r="BJ5" s="3442"/>
      <c r="BK5" s="3442"/>
      <c r="BL5" s="3442"/>
      <c r="BM5" s="3442"/>
      <c r="BN5" s="3442"/>
      <c r="BO5" s="3442"/>
      <c r="BP5" s="1087"/>
      <c r="BQ5" s="1087"/>
      <c r="BR5" s="1087"/>
      <c r="BS5" s="1087"/>
      <c r="BT5" s="1087"/>
      <c r="BU5" s="1087"/>
    </row>
    <row r="6" spans="1:73" ht="24" customHeight="1" x14ac:dyDescent="0.25">
      <c r="A6" s="3441"/>
      <c r="B6" s="3441"/>
      <c r="C6" s="3441"/>
      <c r="D6" s="3441"/>
      <c r="E6" s="3441"/>
      <c r="F6" s="3441"/>
      <c r="G6" s="3441"/>
      <c r="H6" s="3441"/>
      <c r="I6" s="3441"/>
      <c r="J6" s="3441"/>
      <c r="K6" s="1060"/>
      <c r="L6" s="1090"/>
      <c r="M6" s="909"/>
      <c r="N6" s="909"/>
      <c r="O6" s="1091"/>
      <c r="P6" s="909"/>
      <c r="Q6" s="909"/>
      <c r="R6" s="909"/>
      <c r="S6" s="909"/>
      <c r="T6" s="909"/>
      <c r="U6" s="909"/>
      <c r="V6" s="909"/>
      <c r="W6" s="909"/>
      <c r="X6" s="909"/>
      <c r="Y6" s="4320" t="s">
        <v>107</v>
      </c>
      <c r="Z6" s="4321"/>
      <c r="AA6" s="4321"/>
      <c r="AB6" s="4321"/>
      <c r="AC6" s="4321"/>
      <c r="AD6" s="4321"/>
      <c r="AE6" s="4321"/>
      <c r="AF6" s="4321"/>
      <c r="AG6" s="4321"/>
      <c r="AH6" s="4321"/>
      <c r="AI6" s="4321"/>
      <c r="AJ6" s="4321"/>
      <c r="AK6" s="4321"/>
      <c r="AL6" s="4321"/>
      <c r="AM6" s="4321"/>
      <c r="AN6" s="4321"/>
      <c r="AO6" s="4321"/>
      <c r="AP6" s="4321"/>
      <c r="AQ6" s="4321"/>
      <c r="AR6" s="4321"/>
      <c r="AS6" s="4321"/>
      <c r="AT6" s="4321"/>
      <c r="AU6" s="4321"/>
      <c r="AV6" s="4321"/>
      <c r="AW6" s="4321"/>
      <c r="AX6" s="4321"/>
      <c r="AY6" s="4321"/>
      <c r="AZ6" s="4321"/>
      <c r="BA6" s="4321"/>
      <c r="BB6" s="4321"/>
      <c r="BC6" s="4321"/>
      <c r="BD6" s="4321"/>
      <c r="BE6" s="1060"/>
      <c r="BF6" s="1060"/>
      <c r="BG6" s="1060"/>
      <c r="BH6" s="1060"/>
      <c r="BI6" s="1060"/>
      <c r="BJ6" s="1060"/>
      <c r="BK6" s="909"/>
      <c r="BL6" s="909"/>
      <c r="BM6" s="909"/>
      <c r="BN6" s="909"/>
      <c r="BO6" s="913"/>
      <c r="BP6" s="1087"/>
      <c r="BQ6" s="1087"/>
      <c r="BR6" s="1087"/>
      <c r="BS6" s="1087"/>
      <c r="BT6" s="1087"/>
      <c r="BU6" s="1087"/>
    </row>
    <row r="7" spans="1:73" ht="22.5" customHeight="1" x14ac:dyDescent="0.25">
      <c r="A7" s="3445" t="s">
        <v>0</v>
      </c>
      <c r="B7" s="3447" t="s">
        <v>9</v>
      </c>
      <c r="C7" s="4325" t="s">
        <v>0</v>
      </c>
      <c r="D7" s="3447" t="s">
        <v>10</v>
      </c>
      <c r="E7" s="4325" t="s">
        <v>0</v>
      </c>
      <c r="F7" s="4325" t="s">
        <v>11</v>
      </c>
      <c r="G7" s="3448" t="s">
        <v>0</v>
      </c>
      <c r="H7" s="3447" t="s">
        <v>12</v>
      </c>
      <c r="I7" s="3451" t="s">
        <v>13</v>
      </c>
      <c r="J7" s="3447" t="s">
        <v>14</v>
      </c>
      <c r="K7" s="3448"/>
      <c r="L7" s="3451" t="s">
        <v>15</v>
      </c>
      <c r="M7" s="3451" t="s">
        <v>108</v>
      </c>
      <c r="N7" s="3451" t="s">
        <v>8</v>
      </c>
      <c r="O7" s="4326" t="s">
        <v>17</v>
      </c>
      <c r="P7" s="4311" t="s">
        <v>18</v>
      </c>
      <c r="Q7" s="3457" t="s">
        <v>19</v>
      </c>
      <c r="R7" s="3447" t="s">
        <v>20</v>
      </c>
      <c r="S7" s="3451" t="s">
        <v>21</v>
      </c>
      <c r="T7" s="4311" t="s">
        <v>18</v>
      </c>
      <c r="U7" s="4312"/>
      <c r="V7" s="4313"/>
      <c r="W7" s="3467" t="s">
        <v>0</v>
      </c>
      <c r="X7" s="3451" t="s">
        <v>22</v>
      </c>
      <c r="Y7" s="4317" t="s">
        <v>23</v>
      </c>
      <c r="Z7" s="4318"/>
      <c r="AA7" s="4318"/>
      <c r="AB7" s="4319"/>
      <c r="AC7" s="4298" t="s">
        <v>24</v>
      </c>
      <c r="AD7" s="4310"/>
      <c r="AE7" s="4310"/>
      <c r="AF7" s="4310"/>
      <c r="AG7" s="4310"/>
      <c r="AH7" s="4310"/>
      <c r="AI7" s="4310"/>
      <c r="AJ7" s="4299"/>
      <c r="AK7" s="4307" t="s">
        <v>25</v>
      </c>
      <c r="AL7" s="4308"/>
      <c r="AM7" s="4308"/>
      <c r="AN7" s="4308"/>
      <c r="AO7" s="4308"/>
      <c r="AP7" s="4308"/>
      <c r="AQ7" s="4308"/>
      <c r="AR7" s="4308"/>
      <c r="AS7" s="4308"/>
      <c r="AT7" s="4308"/>
      <c r="AU7" s="4308"/>
      <c r="AV7" s="4309"/>
      <c r="AW7" s="4298" t="s">
        <v>26</v>
      </c>
      <c r="AX7" s="4310"/>
      <c r="AY7" s="4310"/>
      <c r="AZ7" s="4310"/>
      <c r="BA7" s="4310"/>
      <c r="BB7" s="4299"/>
      <c r="BC7" s="4298" t="s">
        <v>27</v>
      </c>
      <c r="BD7" s="4299"/>
      <c r="BE7" s="4300" t="s">
        <v>28</v>
      </c>
      <c r="BF7" s="4301"/>
      <c r="BG7" s="4301"/>
      <c r="BH7" s="4301"/>
      <c r="BI7" s="4301"/>
      <c r="BJ7" s="4302"/>
      <c r="BK7" s="4303" t="s">
        <v>29</v>
      </c>
      <c r="BL7" s="4304"/>
      <c r="BM7" s="4303" t="s">
        <v>30</v>
      </c>
      <c r="BN7" s="4304"/>
      <c r="BO7" s="3486" t="s">
        <v>31</v>
      </c>
      <c r="BP7" s="1087"/>
      <c r="BQ7" s="1087"/>
      <c r="BR7" s="1087"/>
      <c r="BS7" s="1087"/>
      <c r="BT7" s="1087"/>
      <c r="BU7" s="1087"/>
    </row>
    <row r="8" spans="1:73" ht="104.25" customHeight="1" x14ac:dyDescent="0.25">
      <c r="A8" s="3446"/>
      <c r="B8" s="3449"/>
      <c r="C8" s="4325"/>
      <c r="D8" s="3449"/>
      <c r="E8" s="4325"/>
      <c r="F8" s="4325"/>
      <c r="G8" s="3450"/>
      <c r="H8" s="3449"/>
      <c r="I8" s="3452"/>
      <c r="J8" s="3459"/>
      <c r="K8" s="3460"/>
      <c r="L8" s="3452"/>
      <c r="M8" s="3452"/>
      <c r="N8" s="3452"/>
      <c r="O8" s="4327"/>
      <c r="P8" s="4328"/>
      <c r="Q8" s="3458"/>
      <c r="R8" s="3449"/>
      <c r="S8" s="3452"/>
      <c r="T8" s="4314"/>
      <c r="U8" s="4315"/>
      <c r="V8" s="4316"/>
      <c r="W8" s="3468"/>
      <c r="X8" s="3452"/>
      <c r="Y8" s="4296" t="s">
        <v>37</v>
      </c>
      <c r="Z8" s="4297"/>
      <c r="AA8" s="4329" t="s">
        <v>38</v>
      </c>
      <c r="AB8" s="4330"/>
      <c r="AC8" s="4296" t="s">
        <v>39</v>
      </c>
      <c r="AD8" s="4297"/>
      <c r="AE8" s="4296" t="s">
        <v>40</v>
      </c>
      <c r="AF8" s="4297"/>
      <c r="AG8" s="4296" t="s">
        <v>333</v>
      </c>
      <c r="AH8" s="4297"/>
      <c r="AI8" s="4296" t="s">
        <v>42</v>
      </c>
      <c r="AJ8" s="4297"/>
      <c r="AK8" s="4296" t="s">
        <v>43</v>
      </c>
      <c r="AL8" s="4297"/>
      <c r="AM8" s="4296" t="s">
        <v>44</v>
      </c>
      <c r="AN8" s="4297"/>
      <c r="AO8" s="4296" t="s">
        <v>45</v>
      </c>
      <c r="AP8" s="4297"/>
      <c r="AQ8" s="4296" t="s">
        <v>46</v>
      </c>
      <c r="AR8" s="4297"/>
      <c r="AS8" s="4296" t="s">
        <v>47</v>
      </c>
      <c r="AT8" s="4297"/>
      <c r="AU8" s="4296" t="s">
        <v>48</v>
      </c>
      <c r="AV8" s="4297"/>
      <c r="AW8" s="4296" t="s">
        <v>49</v>
      </c>
      <c r="AX8" s="4297"/>
      <c r="AY8" s="4296" t="s">
        <v>50</v>
      </c>
      <c r="AZ8" s="4297"/>
      <c r="BA8" s="4296" t="s">
        <v>51</v>
      </c>
      <c r="BB8" s="4297"/>
      <c r="BC8" s="4293" t="s">
        <v>27</v>
      </c>
      <c r="BD8" s="4294"/>
      <c r="BE8" s="3051" t="s">
        <v>112</v>
      </c>
      <c r="BF8" s="4295" t="s">
        <v>53</v>
      </c>
      <c r="BG8" s="3051" t="s">
        <v>54</v>
      </c>
      <c r="BH8" s="3048" t="s">
        <v>55</v>
      </c>
      <c r="BI8" s="3049" t="s">
        <v>56</v>
      </c>
      <c r="BJ8" s="3050" t="s">
        <v>57</v>
      </c>
      <c r="BK8" s="4305"/>
      <c r="BL8" s="4306"/>
      <c r="BM8" s="4305"/>
      <c r="BN8" s="4306"/>
      <c r="BO8" s="3487"/>
      <c r="BP8" s="1087"/>
      <c r="BQ8" s="1087"/>
      <c r="BR8" s="1087"/>
      <c r="BS8" s="1087"/>
      <c r="BT8" s="1087"/>
      <c r="BU8" s="1087"/>
    </row>
    <row r="9" spans="1:73" s="1094" customFormat="1" ht="38.25" customHeight="1" x14ac:dyDescent="0.25">
      <c r="A9" s="3446"/>
      <c r="B9" s="3459"/>
      <c r="C9" s="4325"/>
      <c r="D9" s="3459"/>
      <c r="E9" s="4325"/>
      <c r="F9" s="4325"/>
      <c r="G9" s="3450"/>
      <c r="H9" s="3449"/>
      <c r="I9" s="3452"/>
      <c r="J9" s="1058" t="s">
        <v>32</v>
      </c>
      <c r="K9" s="1092" t="s">
        <v>33</v>
      </c>
      <c r="L9" s="3452"/>
      <c r="M9" s="3452"/>
      <c r="N9" s="3452"/>
      <c r="O9" s="4327"/>
      <c r="P9" s="4328"/>
      <c r="Q9" s="3458"/>
      <c r="R9" s="3449"/>
      <c r="S9" s="3452"/>
      <c r="T9" s="1067" t="s">
        <v>34</v>
      </c>
      <c r="U9" s="1067" t="s">
        <v>35</v>
      </c>
      <c r="V9" s="1067" t="s">
        <v>36</v>
      </c>
      <c r="W9" s="3469"/>
      <c r="X9" s="3452"/>
      <c r="Y9" s="1067" t="s">
        <v>32</v>
      </c>
      <c r="Z9" s="1067" t="s">
        <v>33</v>
      </c>
      <c r="AA9" s="1067" t="s">
        <v>32</v>
      </c>
      <c r="AB9" s="1067" t="s">
        <v>33</v>
      </c>
      <c r="AC9" s="1067" t="s">
        <v>32</v>
      </c>
      <c r="AD9" s="1067" t="s">
        <v>33</v>
      </c>
      <c r="AE9" s="1067" t="s">
        <v>32</v>
      </c>
      <c r="AF9" s="1067" t="s">
        <v>33</v>
      </c>
      <c r="AG9" s="1067" t="s">
        <v>32</v>
      </c>
      <c r="AH9" s="1067" t="s">
        <v>33</v>
      </c>
      <c r="AI9" s="1067" t="s">
        <v>32</v>
      </c>
      <c r="AJ9" s="1067" t="s">
        <v>33</v>
      </c>
      <c r="AK9" s="1067" t="s">
        <v>32</v>
      </c>
      <c r="AL9" s="1067" t="s">
        <v>33</v>
      </c>
      <c r="AM9" s="1067" t="s">
        <v>32</v>
      </c>
      <c r="AN9" s="1067" t="s">
        <v>33</v>
      </c>
      <c r="AO9" s="1067" t="s">
        <v>32</v>
      </c>
      <c r="AP9" s="1067" t="s">
        <v>33</v>
      </c>
      <c r="AQ9" s="1067" t="s">
        <v>32</v>
      </c>
      <c r="AR9" s="1067" t="s">
        <v>33</v>
      </c>
      <c r="AS9" s="1067" t="s">
        <v>32</v>
      </c>
      <c r="AT9" s="1067" t="s">
        <v>33</v>
      </c>
      <c r="AU9" s="1067" t="s">
        <v>32</v>
      </c>
      <c r="AV9" s="1067" t="s">
        <v>33</v>
      </c>
      <c r="AW9" s="1067" t="s">
        <v>32</v>
      </c>
      <c r="AX9" s="1067" t="s">
        <v>33</v>
      </c>
      <c r="AY9" s="1067" t="s">
        <v>32</v>
      </c>
      <c r="AZ9" s="1067" t="s">
        <v>33</v>
      </c>
      <c r="BA9" s="1067" t="s">
        <v>32</v>
      </c>
      <c r="BB9" s="1067" t="s">
        <v>33</v>
      </c>
      <c r="BC9" s="1067" t="s">
        <v>32</v>
      </c>
      <c r="BD9" s="1067" t="s">
        <v>33</v>
      </c>
      <c r="BE9" s="3049"/>
      <c r="BF9" s="3057"/>
      <c r="BG9" s="3049"/>
      <c r="BH9" s="3048"/>
      <c r="BI9" s="3049"/>
      <c r="BJ9" s="3051"/>
      <c r="BK9" s="1093" t="s">
        <v>32</v>
      </c>
      <c r="BL9" s="1093" t="s">
        <v>33</v>
      </c>
      <c r="BM9" s="1093" t="s">
        <v>32</v>
      </c>
      <c r="BN9" s="1093" t="s">
        <v>33</v>
      </c>
      <c r="BO9" s="3487"/>
      <c r="BP9" s="446"/>
      <c r="BQ9" s="446"/>
      <c r="BR9" s="446"/>
      <c r="BS9" s="446"/>
      <c r="BT9" s="446"/>
      <c r="BU9" s="446"/>
    </row>
    <row r="10" spans="1:73" ht="15" x14ac:dyDescent="0.25">
      <c r="A10" s="920">
        <v>1</v>
      </c>
      <c r="B10" s="4273" t="s">
        <v>502</v>
      </c>
      <c r="C10" s="4274"/>
      <c r="D10" s="4273"/>
      <c r="E10" s="1095"/>
      <c r="F10" s="1095"/>
      <c r="G10" s="1096"/>
      <c r="H10" s="1095"/>
      <c r="I10" s="1095"/>
      <c r="J10" s="1095"/>
      <c r="K10" s="1096"/>
      <c r="L10" s="1095"/>
      <c r="M10" s="1095"/>
      <c r="N10" s="1095"/>
      <c r="O10" s="1097"/>
      <c r="P10" s="1095"/>
      <c r="Q10" s="1095"/>
      <c r="R10" s="1095"/>
      <c r="S10" s="1095"/>
      <c r="T10" s="1095"/>
      <c r="U10" s="1095"/>
      <c r="V10" s="1095"/>
      <c r="W10" s="1095"/>
      <c r="X10" s="1095"/>
      <c r="Y10" s="1095"/>
      <c r="Z10" s="1095"/>
      <c r="AA10" s="1095"/>
      <c r="AB10" s="1095"/>
      <c r="AC10" s="1095"/>
      <c r="AD10" s="1095"/>
      <c r="AE10" s="1095"/>
      <c r="AF10" s="1095"/>
      <c r="AG10" s="1095"/>
      <c r="AH10" s="1095"/>
      <c r="AI10" s="1095"/>
      <c r="AJ10" s="1095"/>
      <c r="AK10" s="1095"/>
      <c r="AL10" s="1095"/>
      <c r="AM10" s="1095"/>
      <c r="AN10" s="1095"/>
      <c r="AO10" s="1095"/>
      <c r="AP10" s="1095"/>
      <c r="AQ10" s="1095"/>
      <c r="AR10" s="1095"/>
      <c r="AS10" s="1095"/>
      <c r="AT10" s="1095"/>
      <c r="AU10" s="1095"/>
      <c r="AV10" s="1095"/>
      <c r="AW10" s="1095"/>
      <c r="AX10" s="1095"/>
      <c r="AY10" s="1095"/>
      <c r="AZ10" s="1095"/>
      <c r="BA10" s="1095"/>
      <c r="BB10" s="1095"/>
      <c r="BC10" s="1095"/>
      <c r="BD10" s="1095"/>
      <c r="BE10" s="1095"/>
      <c r="BF10" s="1095"/>
      <c r="BG10" s="1095"/>
      <c r="BH10" s="1095"/>
      <c r="BI10" s="1095"/>
      <c r="BJ10" s="1095"/>
      <c r="BK10" s="1095"/>
      <c r="BL10" s="1095"/>
      <c r="BM10" s="1095"/>
      <c r="BN10" s="1095"/>
      <c r="BO10" s="1098"/>
      <c r="BP10" s="1087"/>
      <c r="BQ10" s="1087"/>
      <c r="BR10" s="1087"/>
      <c r="BS10" s="1087"/>
      <c r="BT10" s="1087"/>
      <c r="BU10" s="1087"/>
    </row>
    <row r="11" spans="1:73" s="1087" customFormat="1" ht="15" x14ac:dyDescent="0.25">
      <c r="A11" s="4275"/>
      <c r="B11" s="4276"/>
      <c r="C11" s="1099">
        <v>1</v>
      </c>
      <c r="D11" s="1100" t="s">
        <v>658</v>
      </c>
      <c r="E11" s="1100"/>
      <c r="F11" s="1100"/>
      <c r="G11" s="1101"/>
      <c r="H11" s="1102"/>
      <c r="I11" s="1100"/>
      <c r="J11" s="1100"/>
      <c r="K11" s="1101"/>
      <c r="L11" s="1100"/>
      <c r="M11" s="1101"/>
      <c r="N11" s="1102"/>
      <c r="O11" s="1103"/>
      <c r="P11" s="1104"/>
      <c r="Q11" s="1102"/>
      <c r="R11" s="1102"/>
      <c r="S11" s="1102"/>
      <c r="T11" s="1105"/>
      <c r="U11" s="1105"/>
      <c r="V11" s="1105"/>
      <c r="W11" s="1106"/>
      <c r="X11" s="1101"/>
      <c r="Y11" s="1100"/>
      <c r="Z11" s="1100"/>
      <c r="AA11" s="1100"/>
      <c r="AB11" s="1100"/>
      <c r="AC11" s="1100"/>
      <c r="AD11" s="1100"/>
      <c r="AE11" s="1100"/>
      <c r="AF11" s="1100"/>
      <c r="AG11" s="1100"/>
      <c r="AH11" s="1100"/>
      <c r="AI11" s="1100"/>
      <c r="AJ11" s="1100"/>
      <c r="AK11" s="1100"/>
      <c r="AL11" s="1100"/>
      <c r="AM11" s="1100"/>
      <c r="AN11" s="1100"/>
      <c r="AO11" s="1100"/>
      <c r="AP11" s="1100"/>
      <c r="AQ11" s="1100"/>
      <c r="AR11" s="1100"/>
      <c r="AS11" s="1100"/>
      <c r="AT11" s="1100"/>
      <c r="AU11" s="1100"/>
      <c r="AV11" s="1100"/>
      <c r="AW11" s="1100"/>
      <c r="AX11" s="1100"/>
      <c r="AY11" s="1100"/>
      <c r="AZ11" s="1100"/>
      <c r="BA11" s="1100"/>
      <c r="BB11" s="1100"/>
      <c r="BC11" s="1100"/>
      <c r="BD11" s="1100"/>
      <c r="BE11" s="1100"/>
      <c r="BF11" s="1100"/>
      <c r="BG11" s="1100"/>
      <c r="BH11" s="1100"/>
      <c r="BI11" s="1100"/>
      <c r="BJ11" s="1100"/>
      <c r="BK11" s="1107"/>
      <c r="BL11" s="1107"/>
      <c r="BM11" s="1107"/>
      <c r="BN11" s="1107"/>
      <c r="BO11" s="1108"/>
    </row>
    <row r="12" spans="1:73" s="1087" customFormat="1" ht="15" x14ac:dyDescent="0.25">
      <c r="A12" s="4277"/>
      <c r="B12" s="4278"/>
      <c r="C12" s="4281"/>
      <c r="D12" s="4282"/>
      <c r="E12" s="938">
        <v>1</v>
      </c>
      <c r="F12" s="1109" t="s">
        <v>659</v>
      </c>
      <c r="G12" s="1110"/>
      <c r="H12" s="1111"/>
      <c r="I12" s="1109"/>
      <c r="J12" s="1109"/>
      <c r="K12" s="1110"/>
      <c r="L12" s="1109"/>
      <c r="M12" s="1110"/>
      <c r="N12" s="1111"/>
      <c r="O12" s="1112"/>
      <c r="P12" s="1113"/>
      <c r="Q12" s="1111"/>
      <c r="R12" s="1111"/>
      <c r="S12" s="1111"/>
      <c r="T12" s="1114"/>
      <c r="U12" s="1114"/>
      <c r="V12" s="1114"/>
      <c r="W12" s="1115"/>
      <c r="X12" s="1110"/>
      <c r="Y12" s="1109"/>
      <c r="Z12" s="1109"/>
      <c r="AA12" s="1109"/>
      <c r="AB12" s="1109"/>
      <c r="AC12" s="1109"/>
      <c r="AD12" s="1109"/>
      <c r="AE12" s="1109"/>
      <c r="AF12" s="1109"/>
      <c r="AG12" s="1109"/>
      <c r="AH12" s="1109"/>
      <c r="AI12" s="1109"/>
      <c r="AJ12" s="1109"/>
      <c r="AK12" s="1109"/>
      <c r="AL12" s="1109"/>
      <c r="AM12" s="1109"/>
      <c r="AN12" s="1109"/>
      <c r="AO12" s="1109"/>
      <c r="AP12" s="1109"/>
      <c r="AQ12" s="1109"/>
      <c r="AR12" s="1109"/>
      <c r="AS12" s="1109"/>
      <c r="AT12" s="1109"/>
      <c r="AU12" s="1109"/>
      <c r="AV12" s="1109"/>
      <c r="AW12" s="1109"/>
      <c r="AX12" s="1109"/>
      <c r="AY12" s="1109"/>
      <c r="AZ12" s="1109"/>
      <c r="BA12" s="1109"/>
      <c r="BB12" s="1109"/>
      <c r="BC12" s="1109"/>
      <c r="BD12" s="1109"/>
      <c r="BE12" s="1109"/>
      <c r="BF12" s="1109"/>
      <c r="BG12" s="1109"/>
      <c r="BH12" s="1109"/>
      <c r="BI12" s="1109"/>
      <c r="BJ12" s="1109"/>
      <c r="BK12" s="1116"/>
      <c r="BL12" s="1116"/>
      <c r="BM12" s="1116"/>
      <c r="BN12" s="1116"/>
      <c r="BO12" s="1117"/>
    </row>
    <row r="13" spans="1:73" s="1122" customFormat="1" ht="28.5" customHeight="1" x14ac:dyDescent="0.25">
      <c r="A13" s="4277"/>
      <c r="B13" s="4278"/>
      <c r="C13" s="4283"/>
      <c r="D13" s="4284"/>
      <c r="E13" s="4285"/>
      <c r="F13" s="4286"/>
      <c r="G13" s="3296">
        <v>1</v>
      </c>
      <c r="H13" s="3297" t="s">
        <v>660</v>
      </c>
      <c r="I13" s="3297" t="s">
        <v>661</v>
      </c>
      <c r="J13" s="3296">
        <v>1</v>
      </c>
      <c r="K13" s="4291">
        <v>1</v>
      </c>
      <c r="L13" s="3785" t="s">
        <v>662</v>
      </c>
      <c r="M13" s="4264" t="s">
        <v>663</v>
      </c>
      <c r="N13" s="3297" t="s">
        <v>664</v>
      </c>
      <c r="O13" s="4271">
        <f>+(T13+T14)/P13</f>
        <v>7.0570319609263285E-2</v>
      </c>
      <c r="P13" s="4272">
        <v>134617500</v>
      </c>
      <c r="Q13" s="3297" t="s">
        <v>665</v>
      </c>
      <c r="R13" s="3297" t="s">
        <v>666</v>
      </c>
      <c r="S13" s="1118" t="s">
        <v>667</v>
      </c>
      <c r="T13" s="1119">
        <v>4500000</v>
      </c>
      <c r="U13" s="1119">
        <v>4500000</v>
      </c>
      <c r="V13" s="1119">
        <v>4500000</v>
      </c>
      <c r="W13" s="1120">
        <v>20</v>
      </c>
      <c r="X13" s="1121" t="s">
        <v>124</v>
      </c>
      <c r="Y13" s="4269">
        <v>35373</v>
      </c>
      <c r="Z13" s="4261"/>
      <c r="AA13" s="4264">
        <v>33985</v>
      </c>
      <c r="AB13" s="4257"/>
      <c r="AC13" s="4264">
        <v>16632</v>
      </c>
      <c r="AD13" s="4257"/>
      <c r="AE13" s="4264">
        <v>3361</v>
      </c>
      <c r="AF13" s="4257"/>
      <c r="AG13" s="4264">
        <v>39432</v>
      </c>
      <c r="AH13" s="4257"/>
      <c r="AI13" s="4264">
        <v>9933</v>
      </c>
      <c r="AJ13" s="4257"/>
      <c r="AK13" s="4264"/>
      <c r="AL13" s="4257"/>
      <c r="AM13" s="4264"/>
      <c r="AN13" s="4257"/>
      <c r="AO13" s="4264"/>
      <c r="AP13" s="4257"/>
      <c r="AQ13" s="4264"/>
      <c r="AR13" s="4257"/>
      <c r="AS13" s="4264"/>
      <c r="AT13" s="4257"/>
      <c r="AU13" s="4264"/>
      <c r="AV13" s="4257"/>
      <c r="AW13" s="4264"/>
      <c r="AX13" s="4257"/>
      <c r="AY13" s="4264"/>
      <c r="AZ13" s="4257"/>
      <c r="BA13" s="4264"/>
      <c r="BB13" s="4257"/>
      <c r="BC13" s="4264">
        <f>Y13+AA13</f>
        <v>69358</v>
      </c>
      <c r="BD13" s="4257"/>
      <c r="BE13" s="4257">
        <v>14</v>
      </c>
      <c r="BF13" s="4245">
        <v>123122969</v>
      </c>
      <c r="BG13" s="4245">
        <v>77292239</v>
      </c>
      <c r="BH13" s="4268">
        <f>BG13/BF13</f>
        <v>0.62776458062833096</v>
      </c>
      <c r="BI13" s="4256" t="s">
        <v>668</v>
      </c>
      <c r="BJ13" s="4256" t="s">
        <v>669</v>
      </c>
      <c r="BK13" s="4243">
        <v>43466</v>
      </c>
      <c r="BL13" s="4243">
        <v>43482</v>
      </c>
      <c r="BM13" s="4263">
        <v>43829</v>
      </c>
      <c r="BN13" s="4243">
        <v>43809</v>
      </c>
      <c r="BO13" s="4247" t="s">
        <v>670</v>
      </c>
    </row>
    <row r="14" spans="1:73" s="1122" customFormat="1" ht="51.75" customHeight="1" x14ac:dyDescent="0.25">
      <c r="A14" s="4277"/>
      <c r="B14" s="4278"/>
      <c r="C14" s="4283"/>
      <c r="D14" s="4284"/>
      <c r="E14" s="4287"/>
      <c r="F14" s="4288"/>
      <c r="G14" s="3288"/>
      <c r="H14" s="3290"/>
      <c r="I14" s="3290"/>
      <c r="J14" s="3288"/>
      <c r="K14" s="4292"/>
      <c r="L14" s="3785"/>
      <c r="M14" s="4264"/>
      <c r="N14" s="3298"/>
      <c r="O14" s="4249"/>
      <c r="P14" s="4272"/>
      <c r="Q14" s="3298"/>
      <c r="R14" s="3298"/>
      <c r="S14" s="1123" t="s">
        <v>671</v>
      </c>
      <c r="T14" s="1124">
        <v>5000000</v>
      </c>
      <c r="U14" s="1119">
        <v>5000000</v>
      </c>
      <c r="V14" s="1119">
        <v>5000000</v>
      </c>
      <c r="W14" s="1125">
        <v>20</v>
      </c>
      <c r="X14" s="1121" t="s">
        <v>124</v>
      </c>
      <c r="Y14" s="4269"/>
      <c r="Z14" s="4270"/>
      <c r="AA14" s="4264"/>
      <c r="AB14" s="4256"/>
      <c r="AC14" s="4264"/>
      <c r="AD14" s="4256"/>
      <c r="AE14" s="4264"/>
      <c r="AF14" s="4256"/>
      <c r="AG14" s="4264"/>
      <c r="AH14" s="4256"/>
      <c r="AI14" s="4264"/>
      <c r="AJ14" s="4256"/>
      <c r="AK14" s="4264"/>
      <c r="AL14" s="4256"/>
      <c r="AM14" s="4264"/>
      <c r="AN14" s="4256"/>
      <c r="AO14" s="4264"/>
      <c r="AP14" s="4256"/>
      <c r="AQ14" s="4264"/>
      <c r="AR14" s="4256"/>
      <c r="AS14" s="4264"/>
      <c r="AT14" s="4256"/>
      <c r="AU14" s="4264"/>
      <c r="AV14" s="4256"/>
      <c r="AW14" s="4264"/>
      <c r="AX14" s="4256"/>
      <c r="AY14" s="4264"/>
      <c r="AZ14" s="4256"/>
      <c r="BA14" s="4264"/>
      <c r="BB14" s="4256"/>
      <c r="BC14" s="4264"/>
      <c r="BD14" s="4256"/>
      <c r="BE14" s="4256"/>
      <c r="BF14" s="4245"/>
      <c r="BG14" s="4245"/>
      <c r="BH14" s="4268"/>
      <c r="BI14" s="4256"/>
      <c r="BJ14" s="4256"/>
      <c r="BK14" s="3622"/>
      <c r="BL14" s="3622"/>
      <c r="BM14" s="3640"/>
      <c r="BN14" s="3622"/>
      <c r="BO14" s="4255"/>
    </row>
    <row r="15" spans="1:73" s="1122" customFormat="1" ht="42.75" x14ac:dyDescent="0.25">
      <c r="A15" s="4277"/>
      <c r="B15" s="4278"/>
      <c r="C15" s="4283"/>
      <c r="D15" s="4284"/>
      <c r="E15" s="4287"/>
      <c r="F15" s="4288"/>
      <c r="G15" s="1126">
        <v>2</v>
      </c>
      <c r="H15" s="1123" t="s">
        <v>672</v>
      </c>
      <c r="I15" s="1123" t="s">
        <v>673</v>
      </c>
      <c r="J15" s="1127">
        <v>4</v>
      </c>
      <c r="K15" s="1128">
        <v>4</v>
      </c>
      <c r="L15" s="3785"/>
      <c r="M15" s="4264"/>
      <c r="N15" s="3298"/>
      <c r="O15" s="1129">
        <f>+(T15)/P13</f>
        <v>0.19982543131465078</v>
      </c>
      <c r="P15" s="4272"/>
      <c r="Q15" s="3298"/>
      <c r="R15" s="3298"/>
      <c r="S15" s="1130" t="s">
        <v>674</v>
      </c>
      <c r="T15" s="1119">
        <v>26900000</v>
      </c>
      <c r="U15" s="1124">
        <v>26900000</v>
      </c>
      <c r="V15" s="1124">
        <v>22385000</v>
      </c>
      <c r="W15" s="1125">
        <v>20</v>
      </c>
      <c r="X15" s="1121" t="s">
        <v>124</v>
      </c>
      <c r="Y15" s="4269"/>
      <c r="Z15" s="4270"/>
      <c r="AA15" s="4264"/>
      <c r="AB15" s="4256"/>
      <c r="AC15" s="4264"/>
      <c r="AD15" s="4256"/>
      <c r="AE15" s="4264"/>
      <c r="AF15" s="4256"/>
      <c r="AG15" s="4264"/>
      <c r="AH15" s="4256"/>
      <c r="AI15" s="4264"/>
      <c r="AJ15" s="4256"/>
      <c r="AK15" s="4264"/>
      <c r="AL15" s="4256"/>
      <c r="AM15" s="4264"/>
      <c r="AN15" s="4256"/>
      <c r="AO15" s="4264"/>
      <c r="AP15" s="4256"/>
      <c r="AQ15" s="4264"/>
      <c r="AR15" s="4256"/>
      <c r="AS15" s="4264"/>
      <c r="AT15" s="4256"/>
      <c r="AU15" s="4264"/>
      <c r="AV15" s="4256"/>
      <c r="AW15" s="4264"/>
      <c r="AX15" s="4256"/>
      <c r="AY15" s="4264"/>
      <c r="AZ15" s="4256"/>
      <c r="BA15" s="4264"/>
      <c r="BB15" s="4256"/>
      <c r="BC15" s="4264"/>
      <c r="BD15" s="4256"/>
      <c r="BE15" s="4256"/>
      <c r="BF15" s="4245"/>
      <c r="BG15" s="4245"/>
      <c r="BH15" s="4268"/>
      <c r="BI15" s="4256"/>
      <c r="BJ15" s="4256"/>
      <c r="BK15" s="3622"/>
      <c r="BL15" s="3622"/>
      <c r="BM15" s="3640"/>
      <c r="BN15" s="3622"/>
      <c r="BO15" s="4255"/>
    </row>
    <row r="16" spans="1:73" s="1122" customFormat="1" ht="76.5" customHeight="1" x14ac:dyDescent="0.25">
      <c r="A16" s="4277"/>
      <c r="B16" s="4278"/>
      <c r="C16" s="4283"/>
      <c r="D16" s="4284"/>
      <c r="E16" s="4287"/>
      <c r="F16" s="4288"/>
      <c r="G16" s="1126">
        <v>3</v>
      </c>
      <c r="H16" s="1123" t="s">
        <v>675</v>
      </c>
      <c r="I16" s="1123" t="s">
        <v>676</v>
      </c>
      <c r="J16" s="1127">
        <v>1</v>
      </c>
      <c r="K16" s="1131">
        <v>1</v>
      </c>
      <c r="L16" s="3785"/>
      <c r="M16" s="4264"/>
      <c r="N16" s="3298"/>
      <c r="O16" s="1129">
        <f>+(T16)/P13</f>
        <v>0.15228332126209446</v>
      </c>
      <c r="P16" s="4272"/>
      <c r="Q16" s="3298"/>
      <c r="R16" s="4254" t="s">
        <v>677</v>
      </c>
      <c r="S16" s="1130" t="s">
        <v>678</v>
      </c>
      <c r="T16" s="1124">
        <v>20500000</v>
      </c>
      <c r="U16" s="1124">
        <v>20500000</v>
      </c>
      <c r="V16" s="1124">
        <v>14980000</v>
      </c>
      <c r="W16" s="1132">
        <v>20</v>
      </c>
      <c r="X16" s="1121" t="s">
        <v>124</v>
      </c>
      <c r="Y16" s="4269"/>
      <c r="Z16" s="4270"/>
      <c r="AA16" s="4264"/>
      <c r="AB16" s="4256"/>
      <c r="AC16" s="4264"/>
      <c r="AD16" s="4256"/>
      <c r="AE16" s="4264"/>
      <c r="AF16" s="4256"/>
      <c r="AG16" s="4264"/>
      <c r="AH16" s="4256"/>
      <c r="AI16" s="4264"/>
      <c r="AJ16" s="4256"/>
      <c r="AK16" s="4264"/>
      <c r="AL16" s="4256"/>
      <c r="AM16" s="4264"/>
      <c r="AN16" s="4256"/>
      <c r="AO16" s="4264"/>
      <c r="AP16" s="4256"/>
      <c r="AQ16" s="4264"/>
      <c r="AR16" s="4256"/>
      <c r="AS16" s="4264"/>
      <c r="AT16" s="4256"/>
      <c r="AU16" s="4264"/>
      <c r="AV16" s="4256"/>
      <c r="AW16" s="4264"/>
      <c r="AX16" s="4256"/>
      <c r="AY16" s="4264"/>
      <c r="AZ16" s="4256"/>
      <c r="BA16" s="4264"/>
      <c r="BB16" s="4256"/>
      <c r="BC16" s="4264"/>
      <c r="BD16" s="4256"/>
      <c r="BE16" s="4256"/>
      <c r="BF16" s="4245"/>
      <c r="BG16" s="4245"/>
      <c r="BH16" s="4268"/>
      <c r="BI16" s="4256"/>
      <c r="BJ16" s="4256"/>
      <c r="BK16" s="3622"/>
      <c r="BL16" s="3622"/>
      <c r="BM16" s="3640"/>
      <c r="BN16" s="3622"/>
      <c r="BO16" s="4255"/>
    </row>
    <row r="17" spans="1:67" s="1122" customFormat="1" ht="80.25" customHeight="1" x14ac:dyDescent="0.25">
      <c r="A17" s="4277"/>
      <c r="B17" s="4278"/>
      <c r="C17" s="4283"/>
      <c r="D17" s="4284"/>
      <c r="E17" s="4287"/>
      <c r="F17" s="4288"/>
      <c r="G17" s="1126">
        <v>4</v>
      </c>
      <c r="H17" s="1123" t="s">
        <v>679</v>
      </c>
      <c r="I17" s="1123" t="s">
        <v>680</v>
      </c>
      <c r="J17" s="1127">
        <v>1</v>
      </c>
      <c r="K17" s="1128">
        <v>0.5</v>
      </c>
      <c r="L17" s="3785"/>
      <c r="M17" s="4264"/>
      <c r="N17" s="3298"/>
      <c r="O17" s="1129">
        <f>+(T17)/P13</f>
        <v>0.49399223726484298</v>
      </c>
      <c r="P17" s="4272"/>
      <c r="Q17" s="3298"/>
      <c r="R17" s="4254"/>
      <c r="S17" s="1130" t="s">
        <v>681</v>
      </c>
      <c r="T17" s="1124">
        <v>66500000</v>
      </c>
      <c r="U17" s="1124">
        <v>55005969</v>
      </c>
      <c r="V17" s="1124">
        <v>19210239</v>
      </c>
      <c r="W17" s="1132">
        <v>20</v>
      </c>
      <c r="X17" s="1121" t="s">
        <v>124</v>
      </c>
      <c r="Y17" s="4269"/>
      <c r="Z17" s="4270"/>
      <c r="AA17" s="4264"/>
      <c r="AB17" s="4256"/>
      <c r="AC17" s="4264"/>
      <c r="AD17" s="4256"/>
      <c r="AE17" s="4264"/>
      <c r="AF17" s="4256"/>
      <c r="AG17" s="4264"/>
      <c r="AH17" s="4256"/>
      <c r="AI17" s="4264"/>
      <c r="AJ17" s="4256"/>
      <c r="AK17" s="4264"/>
      <c r="AL17" s="4256"/>
      <c r="AM17" s="4264"/>
      <c r="AN17" s="4256"/>
      <c r="AO17" s="4264"/>
      <c r="AP17" s="4256"/>
      <c r="AQ17" s="4264"/>
      <c r="AR17" s="4256"/>
      <c r="AS17" s="4264"/>
      <c r="AT17" s="4256"/>
      <c r="AU17" s="4264"/>
      <c r="AV17" s="4256"/>
      <c r="AW17" s="4264"/>
      <c r="AX17" s="4256"/>
      <c r="AY17" s="4264"/>
      <c r="AZ17" s="4256"/>
      <c r="BA17" s="4264"/>
      <c r="BB17" s="4256"/>
      <c r="BC17" s="4264"/>
      <c r="BD17" s="4256"/>
      <c r="BE17" s="4256"/>
      <c r="BF17" s="4245"/>
      <c r="BG17" s="4245"/>
      <c r="BH17" s="4268"/>
      <c r="BI17" s="4256"/>
      <c r="BJ17" s="4256"/>
      <c r="BK17" s="3622"/>
      <c r="BL17" s="3622"/>
      <c r="BM17" s="3640"/>
      <c r="BN17" s="3622"/>
      <c r="BO17" s="4255"/>
    </row>
    <row r="18" spans="1:67" s="1122" customFormat="1" ht="85.5" customHeight="1" x14ac:dyDescent="0.25">
      <c r="A18" s="4277"/>
      <c r="B18" s="4278"/>
      <c r="C18" s="4283"/>
      <c r="D18" s="4284"/>
      <c r="E18" s="4289"/>
      <c r="F18" s="4290"/>
      <c r="G18" s="1121">
        <v>6</v>
      </c>
      <c r="H18" s="1118" t="s">
        <v>682</v>
      </c>
      <c r="I18" s="1118" t="s">
        <v>683</v>
      </c>
      <c r="J18" s="1127">
        <v>12</v>
      </c>
      <c r="K18" s="1133">
        <v>12</v>
      </c>
      <c r="L18" s="3296"/>
      <c r="M18" s="4257"/>
      <c r="N18" s="3290"/>
      <c r="O18" s="1129">
        <f>+T18/P13</f>
        <v>8.3328690549148515E-2</v>
      </c>
      <c r="P18" s="4244"/>
      <c r="Q18" s="3298"/>
      <c r="R18" s="3297"/>
      <c r="S18" s="1134" t="s">
        <v>684</v>
      </c>
      <c r="T18" s="1135">
        <v>11217500</v>
      </c>
      <c r="U18" s="1135">
        <v>11217000</v>
      </c>
      <c r="V18" s="1135">
        <v>11217000</v>
      </c>
      <c r="W18" s="1136">
        <v>20</v>
      </c>
      <c r="X18" s="1121" t="s">
        <v>124</v>
      </c>
      <c r="Y18" s="4261"/>
      <c r="Z18" s="4262"/>
      <c r="AA18" s="4257"/>
      <c r="AB18" s="4258"/>
      <c r="AC18" s="4257"/>
      <c r="AD18" s="4258"/>
      <c r="AE18" s="4257"/>
      <c r="AF18" s="4258"/>
      <c r="AG18" s="4257"/>
      <c r="AH18" s="4258"/>
      <c r="AI18" s="4257"/>
      <c r="AJ18" s="4258"/>
      <c r="AK18" s="4257"/>
      <c r="AL18" s="4258"/>
      <c r="AM18" s="4257"/>
      <c r="AN18" s="4258"/>
      <c r="AO18" s="4257"/>
      <c r="AP18" s="4258"/>
      <c r="AQ18" s="4257"/>
      <c r="AR18" s="4258"/>
      <c r="AS18" s="4257"/>
      <c r="AT18" s="4258"/>
      <c r="AU18" s="4257"/>
      <c r="AV18" s="4258"/>
      <c r="AW18" s="4257"/>
      <c r="AX18" s="4258"/>
      <c r="AY18" s="4257"/>
      <c r="AZ18" s="4258"/>
      <c r="BA18" s="4257"/>
      <c r="BB18" s="4258"/>
      <c r="BC18" s="4257"/>
      <c r="BD18" s="4258"/>
      <c r="BE18" s="4258"/>
      <c r="BF18" s="4245"/>
      <c r="BG18" s="4245"/>
      <c r="BH18" s="4268"/>
      <c r="BI18" s="4256"/>
      <c r="BJ18" s="4256"/>
      <c r="BK18" s="3817"/>
      <c r="BL18" s="3817"/>
      <c r="BM18" s="3641"/>
      <c r="BN18" s="3817"/>
      <c r="BO18" s="4235"/>
    </row>
    <row r="19" spans="1:67" s="1087" customFormat="1" ht="24" customHeight="1" x14ac:dyDescent="0.25">
      <c r="A19" s="4277"/>
      <c r="B19" s="4278"/>
      <c r="C19" s="4283"/>
      <c r="D19" s="4284"/>
      <c r="E19" s="1138">
        <v>2</v>
      </c>
      <c r="F19" s="4265" t="s">
        <v>685</v>
      </c>
      <c r="G19" s="4266"/>
      <c r="H19" s="4266"/>
      <c r="I19" s="4267"/>
      <c r="J19" s="1139"/>
      <c r="K19" s="361"/>
      <c r="L19" s="1139"/>
      <c r="M19" s="1139"/>
      <c r="N19" s="1140"/>
      <c r="O19" s="1141"/>
      <c r="P19" s="1142"/>
      <c r="Q19" s="1140"/>
      <c r="R19" s="1140"/>
      <c r="S19" s="1140"/>
      <c r="T19" s="1143"/>
      <c r="U19" s="1143"/>
      <c r="V19" s="1143"/>
      <c r="W19" s="1144"/>
      <c r="X19" s="361"/>
      <c r="Y19" s="1145"/>
      <c r="Z19" s="1145"/>
      <c r="AA19" s="1146"/>
      <c r="AB19" s="1146"/>
      <c r="AC19" s="1146"/>
      <c r="AD19" s="1146"/>
      <c r="AE19" s="1146"/>
      <c r="AF19" s="1146"/>
      <c r="AG19" s="1146"/>
      <c r="AH19" s="1146"/>
      <c r="AI19" s="1146"/>
      <c r="AJ19" s="1146"/>
      <c r="AK19" s="1147"/>
      <c r="AL19" s="1147"/>
      <c r="AM19" s="1147"/>
      <c r="AN19" s="1147"/>
      <c r="AO19" s="1147"/>
      <c r="AP19" s="1147"/>
      <c r="AQ19" s="1148"/>
      <c r="AR19" s="1148"/>
      <c r="AS19" s="1148"/>
      <c r="AT19" s="1148"/>
      <c r="AU19" s="1148"/>
      <c r="AV19" s="1148"/>
      <c r="AW19" s="1147"/>
      <c r="AX19" s="1147"/>
      <c r="AY19" s="1147"/>
      <c r="AZ19" s="1147"/>
      <c r="BA19" s="1146"/>
      <c r="BB19" s="1146"/>
      <c r="BC19" s="1149"/>
      <c r="BD19" s="1149"/>
      <c r="BE19" s="1149"/>
      <c r="BF19" s="1149"/>
      <c r="BG19" s="1149"/>
      <c r="BH19" s="1149"/>
      <c r="BI19" s="1149"/>
      <c r="BJ19" s="1149"/>
      <c r="BK19" s="1150"/>
      <c r="BL19" s="1150"/>
      <c r="BM19" s="1150"/>
      <c r="BN19" s="1150"/>
      <c r="BO19" s="1151"/>
    </row>
    <row r="20" spans="1:67" s="1122" customFormat="1" ht="39.75" customHeight="1" x14ac:dyDescent="0.25">
      <c r="A20" s="4277"/>
      <c r="B20" s="4278"/>
      <c r="C20" s="4283"/>
      <c r="D20" s="4284"/>
      <c r="E20" s="3785"/>
      <c r="F20" s="3785"/>
      <c r="G20" s="1137">
        <v>7</v>
      </c>
      <c r="H20" s="1118" t="s">
        <v>686</v>
      </c>
      <c r="I20" s="1152" t="s">
        <v>687</v>
      </c>
      <c r="J20" s="1127">
        <v>1</v>
      </c>
      <c r="K20" s="1153">
        <v>0.39</v>
      </c>
      <c r="L20" s="3785" t="s">
        <v>688</v>
      </c>
      <c r="M20" s="3296" t="s">
        <v>689</v>
      </c>
      <c r="N20" s="3297" t="s">
        <v>690</v>
      </c>
      <c r="O20" s="1154">
        <f>+T20/P20</f>
        <v>0.79984028770363513</v>
      </c>
      <c r="P20" s="4244">
        <v>158373529</v>
      </c>
      <c r="Q20" s="4259" t="s">
        <v>691</v>
      </c>
      <c r="R20" s="4259" t="s">
        <v>692</v>
      </c>
      <c r="S20" s="1152" t="s">
        <v>693</v>
      </c>
      <c r="T20" s="1135">
        <v>126673529</v>
      </c>
      <c r="U20" s="1119">
        <v>107337974</v>
      </c>
      <c r="V20" s="1119">
        <v>48991501</v>
      </c>
      <c r="W20" s="1136">
        <v>20</v>
      </c>
      <c r="X20" s="1121" t="s">
        <v>124</v>
      </c>
      <c r="Y20" s="4261">
        <v>252568</v>
      </c>
      <c r="Z20" s="4261"/>
      <c r="AA20" s="4257">
        <v>243650</v>
      </c>
      <c r="AB20" s="4257"/>
      <c r="AC20" s="4257">
        <v>97896</v>
      </c>
      <c r="AD20" s="4257"/>
      <c r="AE20" s="4257">
        <v>53351</v>
      </c>
      <c r="AF20" s="4257"/>
      <c r="AG20" s="4257">
        <v>140316</v>
      </c>
      <c r="AH20" s="4257"/>
      <c r="AI20" s="4257">
        <v>30825</v>
      </c>
      <c r="AJ20" s="4257"/>
      <c r="AK20" s="4257"/>
      <c r="AL20" s="4257"/>
      <c r="AM20" s="4257"/>
      <c r="AN20" s="4257"/>
      <c r="AO20" s="4257"/>
      <c r="AP20" s="4257"/>
      <c r="AQ20" s="4257"/>
      <c r="AR20" s="4257"/>
      <c r="AS20" s="4257"/>
      <c r="AT20" s="4257"/>
      <c r="AU20" s="4257"/>
      <c r="AV20" s="4257"/>
      <c r="AW20" s="4257"/>
      <c r="AX20" s="4257"/>
      <c r="AY20" s="4257"/>
      <c r="AZ20" s="4257"/>
      <c r="BA20" s="4257"/>
      <c r="BB20" s="4257"/>
      <c r="BC20" s="4257">
        <f>Y20+AA20</f>
        <v>496218</v>
      </c>
      <c r="BD20" s="4257"/>
      <c r="BE20" s="4256">
        <v>12</v>
      </c>
      <c r="BF20" s="4245">
        <v>138987500</v>
      </c>
      <c r="BG20" s="4245">
        <v>65792501</v>
      </c>
      <c r="BH20" s="4248">
        <f>BH23</f>
        <v>0.74865065785592066</v>
      </c>
      <c r="BI20" s="4256" t="s">
        <v>668</v>
      </c>
      <c r="BJ20" s="4256" t="s">
        <v>669</v>
      </c>
      <c r="BK20" s="3616">
        <v>43466</v>
      </c>
      <c r="BL20" s="4243">
        <v>43482</v>
      </c>
      <c r="BM20" s="3818">
        <v>43829</v>
      </c>
      <c r="BN20" s="3818">
        <v>43809</v>
      </c>
      <c r="BO20" s="4247" t="s">
        <v>670</v>
      </c>
    </row>
    <row r="21" spans="1:67" s="1122" customFormat="1" ht="57" x14ac:dyDescent="0.25">
      <c r="A21" s="4277"/>
      <c r="B21" s="4278"/>
      <c r="C21" s="4283"/>
      <c r="D21" s="4284"/>
      <c r="E21" s="3785"/>
      <c r="F21" s="3785"/>
      <c r="G21" s="1155">
        <v>8</v>
      </c>
      <c r="H21" s="1123" t="s">
        <v>694</v>
      </c>
      <c r="I21" s="1123" t="s">
        <v>695</v>
      </c>
      <c r="J21" s="1127">
        <v>1</v>
      </c>
      <c r="K21" s="1153">
        <v>0.8</v>
      </c>
      <c r="L21" s="3785"/>
      <c r="M21" s="3288"/>
      <c r="N21" s="3290"/>
      <c r="O21" s="1129">
        <f>+T21/P20</f>
        <v>0.20015971229636487</v>
      </c>
      <c r="P21" s="4246"/>
      <c r="Q21" s="4260"/>
      <c r="R21" s="4260"/>
      <c r="S21" s="1123" t="s">
        <v>696</v>
      </c>
      <c r="T21" s="1156">
        <v>31700000</v>
      </c>
      <c r="U21" s="1119">
        <v>31649526</v>
      </c>
      <c r="V21" s="1119">
        <v>16801000</v>
      </c>
      <c r="W21" s="1157">
        <v>20</v>
      </c>
      <c r="X21" s="1121" t="s">
        <v>124</v>
      </c>
      <c r="Y21" s="4262"/>
      <c r="Z21" s="4262"/>
      <c r="AA21" s="4258"/>
      <c r="AB21" s="4258"/>
      <c r="AC21" s="4258"/>
      <c r="AD21" s="4258"/>
      <c r="AE21" s="4258"/>
      <c r="AF21" s="4258"/>
      <c r="AG21" s="4258"/>
      <c r="AH21" s="4258"/>
      <c r="AI21" s="4258"/>
      <c r="AJ21" s="4258"/>
      <c r="AK21" s="4258"/>
      <c r="AL21" s="4258"/>
      <c r="AM21" s="4258"/>
      <c r="AN21" s="4258"/>
      <c r="AO21" s="4258"/>
      <c r="AP21" s="4258"/>
      <c r="AQ21" s="4258"/>
      <c r="AR21" s="4258"/>
      <c r="AS21" s="4258"/>
      <c r="AT21" s="4258"/>
      <c r="AU21" s="4258"/>
      <c r="AV21" s="4258"/>
      <c r="AW21" s="4258"/>
      <c r="AX21" s="4258"/>
      <c r="AY21" s="4258"/>
      <c r="AZ21" s="4258"/>
      <c r="BA21" s="4258"/>
      <c r="BB21" s="4258"/>
      <c r="BC21" s="4258"/>
      <c r="BD21" s="4258"/>
      <c r="BE21" s="4258"/>
      <c r="BF21" s="4245"/>
      <c r="BG21" s="4245"/>
      <c r="BH21" s="4248"/>
      <c r="BI21" s="4256"/>
      <c r="BJ21" s="4256"/>
      <c r="BK21" s="3618"/>
      <c r="BL21" s="3817"/>
      <c r="BM21" s="3818"/>
      <c r="BN21" s="3818"/>
      <c r="BO21" s="4235"/>
    </row>
    <row r="22" spans="1:67" ht="15" x14ac:dyDescent="0.25">
      <c r="A22" s="4277"/>
      <c r="B22" s="4278"/>
      <c r="C22" s="4283"/>
      <c r="D22" s="4284"/>
      <c r="E22" s="941">
        <v>3</v>
      </c>
      <c r="F22" s="939" t="s">
        <v>697</v>
      </c>
      <c r="G22" s="1158"/>
      <c r="H22" s="1159"/>
      <c r="I22" s="1160"/>
      <c r="J22" s="1160"/>
      <c r="K22" s="1158"/>
      <c r="L22" s="1161"/>
      <c r="M22" s="1158"/>
      <c r="N22" s="1159"/>
      <c r="O22" s="1162"/>
      <c r="P22" s="1163"/>
      <c r="Q22" s="1164"/>
      <c r="R22" s="1164"/>
      <c r="S22" s="1164"/>
      <c r="T22" s="1165"/>
      <c r="U22" s="1165"/>
      <c r="V22" s="1165"/>
      <c r="W22" s="1166"/>
      <c r="X22" s="1158"/>
      <c r="Y22" s="1160"/>
      <c r="Z22" s="1160"/>
      <c r="AA22" s="1160"/>
      <c r="AB22" s="1160"/>
      <c r="AC22" s="1160"/>
      <c r="AD22" s="1160"/>
      <c r="AE22" s="1160"/>
      <c r="AF22" s="1160"/>
      <c r="AG22" s="1160"/>
      <c r="AH22" s="1160"/>
      <c r="AI22" s="1160"/>
      <c r="AJ22" s="1160"/>
      <c r="AK22" s="1160"/>
      <c r="AL22" s="1160"/>
      <c r="AM22" s="1160"/>
      <c r="AN22" s="1160"/>
      <c r="AO22" s="1160"/>
      <c r="AP22" s="1160"/>
      <c r="AQ22" s="1160"/>
      <c r="AR22" s="1160"/>
      <c r="AS22" s="1160"/>
      <c r="AT22" s="1160"/>
      <c r="AU22" s="1160"/>
      <c r="AV22" s="1160"/>
      <c r="AW22" s="1160"/>
      <c r="AX22" s="1160"/>
      <c r="AY22" s="1160"/>
      <c r="AZ22" s="1160"/>
      <c r="BA22" s="1160"/>
      <c r="BB22" s="1160"/>
      <c r="BC22" s="1160"/>
      <c r="BD22" s="1160"/>
      <c r="BE22" s="1160"/>
      <c r="BF22" s="1160"/>
      <c r="BG22" s="1160"/>
      <c r="BH22" s="1160"/>
      <c r="BI22" s="1160"/>
      <c r="BJ22" s="1160"/>
      <c r="BK22" s="1167"/>
      <c r="BL22" s="1167"/>
      <c r="BM22" s="1167"/>
      <c r="BN22" s="1167"/>
      <c r="BO22" s="1168"/>
    </row>
    <row r="23" spans="1:67" s="1122" customFormat="1" ht="36" customHeight="1" x14ac:dyDescent="0.25">
      <c r="A23" s="4277"/>
      <c r="B23" s="4278"/>
      <c r="C23" s="4283"/>
      <c r="D23" s="4284"/>
      <c r="E23" s="4252"/>
      <c r="F23" s="3800"/>
      <c r="G23" s="3637">
        <v>14</v>
      </c>
      <c r="H23" s="4254" t="s">
        <v>698</v>
      </c>
      <c r="I23" s="3297" t="s">
        <v>699</v>
      </c>
      <c r="J23" s="4235">
        <v>6</v>
      </c>
      <c r="K23" s="4255">
        <v>4</v>
      </c>
      <c r="L23" s="3296" t="s">
        <v>700</v>
      </c>
      <c r="M23" s="3296" t="s">
        <v>701</v>
      </c>
      <c r="N23" s="3296" t="s">
        <v>702</v>
      </c>
      <c r="O23" s="4250">
        <f>+(T23+T24+T25)/P23</f>
        <v>0.38825006035582049</v>
      </c>
      <c r="P23" s="4251">
        <v>817514361</v>
      </c>
      <c r="Q23" s="3297" t="s">
        <v>703</v>
      </c>
      <c r="R23" s="3297" t="s">
        <v>666</v>
      </c>
      <c r="S23" s="3219" t="s">
        <v>704</v>
      </c>
      <c r="T23" s="1156">
        <v>133700000</v>
      </c>
      <c r="U23" s="399">
        <v>127117500</v>
      </c>
      <c r="V23" s="1156">
        <v>120000000</v>
      </c>
      <c r="W23" s="1157">
        <v>20</v>
      </c>
      <c r="X23" s="1121" t="s">
        <v>124</v>
      </c>
      <c r="Y23" s="3639">
        <v>35373</v>
      </c>
      <c r="Z23" s="3639"/>
      <c r="AA23" s="3639">
        <v>33985</v>
      </c>
      <c r="AB23" s="1169"/>
      <c r="AC23" s="3639">
        <v>16632</v>
      </c>
      <c r="AD23" s="3639"/>
      <c r="AE23" s="3639">
        <v>3361</v>
      </c>
      <c r="AF23" s="3639"/>
      <c r="AG23" s="3639">
        <v>39432</v>
      </c>
      <c r="AH23" s="3639"/>
      <c r="AI23" s="3639">
        <v>9933</v>
      </c>
      <c r="AJ23" s="3639"/>
      <c r="AK23" s="3639"/>
      <c r="AL23" s="3639"/>
      <c r="AM23" s="3639"/>
      <c r="AN23" s="3639"/>
      <c r="AO23" s="3639"/>
      <c r="AP23" s="3639"/>
      <c r="AQ23" s="3639"/>
      <c r="AR23" s="3639"/>
      <c r="AS23" s="3639"/>
      <c r="AT23" s="3639"/>
      <c r="AU23" s="3639"/>
      <c r="AV23" s="3639"/>
      <c r="AW23" s="3639"/>
      <c r="AX23" s="3639"/>
      <c r="AY23" s="3639"/>
      <c r="AZ23" s="3639"/>
      <c r="BA23" s="3639"/>
      <c r="BB23" s="3639"/>
      <c r="BC23" s="3639">
        <f>Y23+AA23</f>
        <v>69358</v>
      </c>
      <c r="BD23" s="3639"/>
      <c r="BE23" s="3639">
        <v>33</v>
      </c>
      <c r="BF23" s="4245">
        <v>254235000</v>
      </c>
      <c r="BG23" s="4245">
        <v>190333200</v>
      </c>
      <c r="BH23" s="4248">
        <f>BG23/BF23</f>
        <v>0.74865065785592066</v>
      </c>
      <c r="BI23" s="3639" t="s">
        <v>668</v>
      </c>
      <c r="BJ23" s="3296" t="s">
        <v>669</v>
      </c>
      <c r="BK23" s="3817">
        <v>43466</v>
      </c>
      <c r="BL23" s="3817">
        <v>43489</v>
      </c>
      <c r="BM23" s="3817">
        <v>43830</v>
      </c>
      <c r="BN23" s="3817">
        <v>43809</v>
      </c>
      <c r="BO23" s="4235" t="s">
        <v>670</v>
      </c>
    </row>
    <row r="24" spans="1:67" s="1122" customFormat="1" ht="36" customHeight="1" x14ac:dyDescent="0.25">
      <c r="A24" s="4277"/>
      <c r="B24" s="4278"/>
      <c r="C24" s="4283"/>
      <c r="D24" s="4284"/>
      <c r="E24" s="4253"/>
      <c r="F24" s="3801"/>
      <c r="G24" s="3637"/>
      <c r="H24" s="4254"/>
      <c r="I24" s="3298"/>
      <c r="J24" s="4236"/>
      <c r="K24" s="4255"/>
      <c r="L24" s="3287"/>
      <c r="M24" s="3287"/>
      <c r="N24" s="3287"/>
      <c r="O24" s="4250"/>
      <c r="P24" s="4251"/>
      <c r="Q24" s="3298"/>
      <c r="R24" s="3298"/>
      <c r="S24" s="3220"/>
      <c r="T24" s="1156">
        <f>0+50000000</f>
        <v>50000000</v>
      </c>
      <c r="U24" s="1156">
        <v>0</v>
      </c>
      <c r="V24" s="1170"/>
      <c r="W24" s="1157">
        <v>88</v>
      </c>
      <c r="X24" s="1121" t="s">
        <v>865</v>
      </c>
      <c r="Y24" s="3640"/>
      <c r="Z24" s="3640"/>
      <c r="AA24" s="3640"/>
      <c r="AB24" s="1171"/>
      <c r="AC24" s="3640"/>
      <c r="AD24" s="3640"/>
      <c r="AE24" s="3640"/>
      <c r="AF24" s="3640"/>
      <c r="AG24" s="3640"/>
      <c r="AH24" s="3640"/>
      <c r="AI24" s="3640"/>
      <c r="AJ24" s="3640"/>
      <c r="AK24" s="3640"/>
      <c r="AL24" s="3640"/>
      <c r="AM24" s="3640"/>
      <c r="AN24" s="3640"/>
      <c r="AO24" s="3640"/>
      <c r="AP24" s="3640"/>
      <c r="AQ24" s="3640"/>
      <c r="AR24" s="3640"/>
      <c r="AS24" s="3640"/>
      <c r="AT24" s="3640"/>
      <c r="AU24" s="3640"/>
      <c r="AV24" s="3640"/>
      <c r="AW24" s="3640"/>
      <c r="AX24" s="3640"/>
      <c r="AY24" s="3640"/>
      <c r="AZ24" s="3640"/>
      <c r="BA24" s="3640"/>
      <c r="BB24" s="3640"/>
      <c r="BC24" s="3640"/>
      <c r="BD24" s="3640"/>
      <c r="BE24" s="3640"/>
      <c r="BF24" s="4245"/>
      <c r="BG24" s="4245"/>
      <c r="BH24" s="4248"/>
      <c r="BI24" s="3640"/>
      <c r="BJ24" s="3287"/>
      <c r="BK24" s="3818"/>
      <c r="BL24" s="3818"/>
      <c r="BM24" s="3818"/>
      <c r="BN24" s="3818"/>
      <c r="BO24" s="4236"/>
    </row>
    <row r="25" spans="1:67" s="1122" customFormat="1" ht="46.5" customHeight="1" x14ac:dyDescent="0.25">
      <c r="A25" s="4277"/>
      <c r="B25" s="4278"/>
      <c r="C25" s="4283"/>
      <c r="D25" s="4284"/>
      <c r="E25" s="4253"/>
      <c r="F25" s="3801"/>
      <c r="G25" s="3637"/>
      <c r="H25" s="4254"/>
      <c r="I25" s="3290"/>
      <c r="J25" s="4247"/>
      <c r="K25" s="4255"/>
      <c r="L25" s="3287"/>
      <c r="M25" s="3287"/>
      <c r="N25" s="3287"/>
      <c r="O25" s="4250"/>
      <c r="P25" s="4251"/>
      <c r="Q25" s="3298"/>
      <c r="R25" s="3298"/>
      <c r="S25" s="1123" t="s">
        <v>705</v>
      </c>
      <c r="T25" s="1156">
        <v>133700000</v>
      </c>
      <c r="U25" s="1156">
        <v>127117500</v>
      </c>
      <c r="V25" s="1156">
        <v>70333200</v>
      </c>
      <c r="W25" s="1157">
        <v>20</v>
      </c>
      <c r="X25" s="1121" t="s">
        <v>124</v>
      </c>
      <c r="Y25" s="3640"/>
      <c r="Z25" s="3640"/>
      <c r="AA25" s="3640"/>
      <c r="AB25" s="1171"/>
      <c r="AC25" s="3640"/>
      <c r="AD25" s="3640"/>
      <c r="AE25" s="3640"/>
      <c r="AF25" s="3640"/>
      <c r="AG25" s="3640"/>
      <c r="AH25" s="3640"/>
      <c r="AI25" s="3640"/>
      <c r="AJ25" s="3640"/>
      <c r="AK25" s="3640"/>
      <c r="AL25" s="3640"/>
      <c r="AM25" s="3640"/>
      <c r="AN25" s="3640"/>
      <c r="AO25" s="3640"/>
      <c r="AP25" s="3640"/>
      <c r="AQ25" s="3640"/>
      <c r="AR25" s="3640"/>
      <c r="AS25" s="3640"/>
      <c r="AT25" s="3640"/>
      <c r="AU25" s="3640"/>
      <c r="AV25" s="3640"/>
      <c r="AW25" s="3640"/>
      <c r="AX25" s="3640"/>
      <c r="AY25" s="3640"/>
      <c r="AZ25" s="3640"/>
      <c r="BA25" s="3640"/>
      <c r="BB25" s="3640"/>
      <c r="BC25" s="3640"/>
      <c r="BD25" s="3640"/>
      <c r="BE25" s="3640"/>
      <c r="BF25" s="4245"/>
      <c r="BG25" s="4245"/>
      <c r="BH25" s="4248"/>
      <c r="BI25" s="3640"/>
      <c r="BJ25" s="3287"/>
      <c r="BK25" s="3818"/>
      <c r="BL25" s="3818"/>
      <c r="BM25" s="3818"/>
      <c r="BN25" s="3818"/>
      <c r="BO25" s="4236"/>
    </row>
    <row r="26" spans="1:67" s="1122" customFormat="1" ht="71.25" customHeight="1" x14ac:dyDescent="0.25">
      <c r="A26" s="4277"/>
      <c r="B26" s="4278"/>
      <c r="C26" s="4283"/>
      <c r="D26" s="4284"/>
      <c r="E26" s="4253"/>
      <c r="F26" s="3801"/>
      <c r="G26" s="3639">
        <v>17</v>
      </c>
      <c r="H26" s="3297" t="s">
        <v>706</v>
      </c>
      <c r="I26" s="3297" t="s">
        <v>707</v>
      </c>
      <c r="J26" s="4235">
        <v>270</v>
      </c>
      <c r="K26" s="4236">
        <v>0</v>
      </c>
      <c r="L26" s="3287"/>
      <c r="M26" s="3287"/>
      <c r="N26" s="3287"/>
      <c r="O26" s="4209">
        <v>0.38825006035582049</v>
      </c>
      <c r="P26" s="3715">
        <v>876000000</v>
      </c>
      <c r="Q26" s="3298"/>
      <c r="R26" s="3298"/>
      <c r="S26" s="3297" t="s">
        <v>708</v>
      </c>
      <c r="T26" s="1156">
        <v>550114361</v>
      </c>
      <c r="U26" s="1156">
        <v>0</v>
      </c>
      <c r="V26" s="1156">
        <v>0</v>
      </c>
      <c r="W26" s="1157">
        <v>20</v>
      </c>
      <c r="X26" s="1121" t="s">
        <v>124</v>
      </c>
      <c r="Y26" s="3640"/>
      <c r="Z26" s="3640"/>
      <c r="AA26" s="3640"/>
      <c r="AB26" s="1171"/>
      <c r="AC26" s="3640"/>
      <c r="AD26" s="3640"/>
      <c r="AE26" s="3640"/>
      <c r="AF26" s="3640"/>
      <c r="AG26" s="3640"/>
      <c r="AH26" s="3640"/>
      <c r="AI26" s="3640"/>
      <c r="AJ26" s="3640"/>
      <c r="AK26" s="3640"/>
      <c r="AL26" s="3640"/>
      <c r="AM26" s="3640"/>
      <c r="AN26" s="3640"/>
      <c r="AO26" s="3640"/>
      <c r="AP26" s="3640"/>
      <c r="AQ26" s="3640"/>
      <c r="AR26" s="3640"/>
      <c r="AS26" s="3640"/>
      <c r="AT26" s="3640"/>
      <c r="AU26" s="3640"/>
      <c r="AV26" s="3640"/>
      <c r="AW26" s="3640"/>
      <c r="AX26" s="3640"/>
      <c r="AY26" s="3640"/>
      <c r="AZ26" s="3640"/>
      <c r="BA26" s="3640"/>
      <c r="BB26" s="3640"/>
      <c r="BC26" s="3640"/>
      <c r="BD26" s="3640"/>
      <c r="BE26" s="3640"/>
      <c r="BF26" s="4245"/>
      <c r="BG26" s="4245"/>
      <c r="BH26" s="4248"/>
      <c r="BI26" s="3640"/>
      <c r="BJ26" s="3287"/>
      <c r="BK26" s="3818"/>
      <c r="BL26" s="3818"/>
      <c r="BM26" s="3818"/>
      <c r="BN26" s="3818"/>
      <c r="BO26" s="4236"/>
    </row>
    <row r="27" spans="1:67" s="1122" customFormat="1" ht="35.25" customHeight="1" x14ac:dyDescent="0.25">
      <c r="A27" s="4277"/>
      <c r="B27" s="4278"/>
      <c r="C27" s="4283"/>
      <c r="D27" s="4284"/>
      <c r="E27" s="4253"/>
      <c r="F27" s="3801"/>
      <c r="G27" s="3641"/>
      <c r="H27" s="3290"/>
      <c r="I27" s="3290"/>
      <c r="J27" s="4247"/>
      <c r="K27" s="4247"/>
      <c r="L27" s="3288"/>
      <c r="M27" s="3288"/>
      <c r="N27" s="3288"/>
      <c r="O27" s="4210"/>
      <c r="P27" s="3717"/>
      <c r="Q27" s="3290"/>
      <c r="R27" s="3290"/>
      <c r="S27" s="3290"/>
      <c r="T27" s="1156">
        <v>826000000</v>
      </c>
      <c r="U27" s="1156">
        <v>0</v>
      </c>
      <c r="V27" s="1156">
        <v>0</v>
      </c>
      <c r="W27" s="1157">
        <v>88</v>
      </c>
      <c r="X27" s="1121" t="s">
        <v>865</v>
      </c>
      <c r="Y27" s="3641"/>
      <c r="Z27" s="3641"/>
      <c r="AA27" s="3641"/>
      <c r="AB27" s="1172"/>
      <c r="AC27" s="3641"/>
      <c r="AD27" s="3641"/>
      <c r="AE27" s="3641"/>
      <c r="AF27" s="3641"/>
      <c r="AG27" s="3641"/>
      <c r="AH27" s="3641"/>
      <c r="AI27" s="3641"/>
      <c r="AJ27" s="3641"/>
      <c r="AK27" s="3641"/>
      <c r="AL27" s="3641"/>
      <c r="AM27" s="3641"/>
      <c r="AN27" s="3641"/>
      <c r="AO27" s="3641"/>
      <c r="AP27" s="3641"/>
      <c r="AQ27" s="3641"/>
      <c r="AR27" s="3641"/>
      <c r="AS27" s="3641"/>
      <c r="AT27" s="3641"/>
      <c r="AU27" s="3641"/>
      <c r="AV27" s="3641"/>
      <c r="AW27" s="3641"/>
      <c r="AX27" s="3641"/>
      <c r="AY27" s="3641"/>
      <c r="AZ27" s="3641"/>
      <c r="BA27" s="3641"/>
      <c r="BB27" s="3641"/>
      <c r="BC27" s="3641"/>
      <c r="BD27" s="3641"/>
      <c r="BE27" s="3641"/>
      <c r="BF27" s="4246"/>
      <c r="BG27" s="4246"/>
      <c r="BH27" s="4249"/>
      <c r="BI27" s="3641"/>
      <c r="BJ27" s="3288"/>
      <c r="BK27" s="4243"/>
      <c r="BL27" s="4243"/>
      <c r="BM27" s="4243"/>
      <c r="BN27" s="4243"/>
      <c r="BO27" s="4247"/>
    </row>
    <row r="28" spans="1:67" s="1122" customFormat="1" ht="68.25" customHeight="1" x14ac:dyDescent="0.25">
      <c r="A28" s="4277"/>
      <c r="B28" s="4278"/>
      <c r="C28" s="4283"/>
      <c r="D28" s="4284"/>
      <c r="E28" s="4253"/>
      <c r="F28" s="3801"/>
      <c r="G28" s="1155">
        <v>15</v>
      </c>
      <c r="H28" s="1123" t="s">
        <v>709</v>
      </c>
      <c r="I28" s="1123" t="s">
        <v>710</v>
      </c>
      <c r="J28" s="1173">
        <v>2</v>
      </c>
      <c r="K28" s="1174">
        <v>1</v>
      </c>
      <c r="L28" s="3296" t="s">
        <v>711</v>
      </c>
      <c r="M28" s="3296" t="s">
        <v>712</v>
      </c>
      <c r="N28" s="3219" t="s">
        <v>713</v>
      </c>
      <c r="O28" s="1175">
        <f>T28/P28</f>
        <v>0.28450497361810312</v>
      </c>
      <c r="P28" s="3715">
        <f>SUM(T28:T32)</f>
        <v>63061235</v>
      </c>
      <c r="Q28" s="3297" t="s">
        <v>714</v>
      </c>
      <c r="R28" s="3297" t="s">
        <v>715</v>
      </c>
      <c r="S28" s="1176" t="s">
        <v>716</v>
      </c>
      <c r="T28" s="1170">
        <v>17941235</v>
      </c>
      <c r="U28" s="1170">
        <v>10080000</v>
      </c>
      <c r="V28" s="1170">
        <v>0</v>
      </c>
      <c r="W28" s="1157">
        <v>20</v>
      </c>
      <c r="X28" s="1121" t="s">
        <v>124</v>
      </c>
      <c r="Y28" s="3639">
        <v>40906</v>
      </c>
      <c r="Z28" s="3639"/>
      <c r="AA28" s="3639">
        <v>37728</v>
      </c>
      <c r="AB28" s="3639"/>
      <c r="AC28" s="3639">
        <v>16790</v>
      </c>
      <c r="AD28" s="3639"/>
      <c r="AE28" s="3639">
        <v>8871</v>
      </c>
      <c r="AF28" s="3639"/>
      <c r="AG28" s="3639">
        <v>46240</v>
      </c>
      <c r="AH28" s="3639"/>
      <c r="AI28" s="3639">
        <v>10814</v>
      </c>
      <c r="AJ28" s="3639"/>
      <c r="AK28" s="3639"/>
      <c r="AL28" s="3639"/>
      <c r="AM28" s="3639"/>
      <c r="AN28" s="3639"/>
      <c r="AO28" s="3639"/>
      <c r="AP28" s="3639"/>
      <c r="AQ28" s="3639"/>
      <c r="AR28" s="3639"/>
      <c r="AS28" s="3639"/>
      <c r="AT28" s="3639"/>
      <c r="AU28" s="3639"/>
      <c r="AV28" s="3639"/>
      <c r="AW28" s="3639"/>
      <c r="AX28" s="3639"/>
      <c r="AY28" s="3639"/>
      <c r="AZ28" s="3639"/>
      <c r="BA28" s="3639"/>
      <c r="BB28" s="3639"/>
      <c r="BC28" s="3639">
        <f>Y28+AA28</f>
        <v>78634</v>
      </c>
      <c r="BD28" s="3639"/>
      <c r="BE28" s="3639">
        <v>4</v>
      </c>
      <c r="BF28" s="4244">
        <v>51491080</v>
      </c>
      <c r="BG28" s="4244">
        <v>31196080</v>
      </c>
      <c r="BH28" s="4209">
        <f>BG28/BF28</f>
        <v>0.60585406249004681</v>
      </c>
      <c r="BI28" s="3639" t="s">
        <v>668</v>
      </c>
      <c r="BJ28" s="3296" t="s">
        <v>669</v>
      </c>
      <c r="BK28" s="3817">
        <v>43466</v>
      </c>
      <c r="BL28" s="3817">
        <v>43515</v>
      </c>
      <c r="BM28" s="3817" t="s">
        <v>717</v>
      </c>
      <c r="BN28" s="3817">
        <v>43809</v>
      </c>
      <c r="BO28" s="4235" t="s">
        <v>670</v>
      </c>
    </row>
    <row r="29" spans="1:67" s="1122" customFormat="1" ht="57" x14ac:dyDescent="0.25">
      <c r="A29" s="4277"/>
      <c r="B29" s="4278"/>
      <c r="C29" s="4283"/>
      <c r="D29" s="4284"/>
      <c r="E29" s="4253"/>
      <c r="F29" s="3801"/>
      <c r="G29" s="1155">
        <v>16</v>
      </c>
      <c r="H29" s="1123" t="s">
        <v>718</v>
      </c>
      <c r="I29" s="1123" t="s">
        <v>719</v>
      </c>
      <c r="J29" s="1127">
        <v>5</v>
      </c>
      <c r="K29" s="1128">
        <v>3.5</v>
      </c>
      <c r="L29" s="3287"/>
      <c r="M29" s="3287"/>
      <c r="N29" s="4229"/>
      <c r="O29" s="1175">
        <f>T29/P28</f>
        <v>0.15064722408306783</v>
      </c>
      <c r="P29" s="3716"/>
      <c r="Q29" s="3298"/>
      <c r="R29" s="3298"/>
      <c r="S29" s="1123" t="s">
        <v>720</v>
      </c>
      <c r="T29" s="1170">
        <v>9500000</v>
      </c>
      <c r="U29" s="1170">
        <v>5801000</v>
      </c>
      <c r="V29" s="1170">
        <v>5801000</v>
      </c>
      <c r="W29" s="1157">
        <v>20</v>
      </c>
      <c r="X29" s="1121" t="s">
        <v>124</v>
      </c>
      <c r="Y29" s="3640"/>
      <c r="Z29" s="3640"/>
      <c r="AA29" s="3640"/>
      <c r="AB29" s="3640"/>
      <c r="AC29" s="3640"/>
      <c r="AD29" s="3640"/>
      <c r="AE29" s="3640"/>
      <c r="AF29" s="3640"/>
      <c r="AG29" s="3640"/>
      <c r="AH29" s="3640"/>
      <c r="AI29" s="3640"/>
      <c r="AJ29" s="3640"/>
      <c r="AK29" s="3640"/>
      <c r="AL29" s="3640"/>
      <c r="AM29" s="3640"/>
      <c r="AN29" s="3640"/>
      <c r="AO29" s="3640"/>
      <c r="AP29" s="3640"/>
      <c r="AQ29" s="3640"/>
      <c r="AR29" s="3640"/>
      <c r="AS29" s="3640"/>
      <c r="AT29" s="3640"/>
      <c r="AU29" s="3640"/>
      <c r="AV29" s="3640"/>
      <c r="AW29" s="3640"/>
      <c r="AX29" s="3640"/>
      <c r="AY29" s="3640"/>
      <c r="AZ29" s="3640"/>
      <c r="BA29" s="3640"/>
      <c r="BB29" s="3640"/>
      <c r="BC29" s="3640"/>
      <c r="BD29" s="3640"/>
      <c r="BE29" s="3640"/>
      <c r="BF29" s="4245"/>
      <c r="BG29" s="4245"/>
      <c r="BH29" s="4215"/>
      <c r="BI29" s="3640"/>
      <c r="BJ29" s="3287"/>
      <c r="BK29" s="3818"/>
      <c r="BL29" s="3818"/>
      <c r="BM29" s="3818"/>
      <c r="BN29" s="3818"/>
      <c r="BO29" s="4236"/>
    </row>
    <row r="30" spans="1:67" s="1122" customFormat="1" ht="28.5" x14ac:dyDescent="0.25">
      <c r="A30" s="4277"/>
      <c r="B30" s="4278"/>
      <c r="C30" s="4283"/>
      <c r="D30" s="4284"/>
      <c r="E30" s="4253"/>
      <c r="F30" s="3801"/>
      <c r="G30" s="1155">
        <v>18</v>
      </c>
      <c r="H30" s="1123" t="s">
        <v>721</v>
      </c>
      <c r="I30" s="1123" t="s">
        <v>722</v>
      </c>
      <c r="J30" s="1127">
        <v>10</v>
      </c>
      <c r="K30" s="1177">
        <v>7</v>
      </c>
      <c r="L30" s="3287"/>
      <c r="M30" s="3287"/>
      <c r="N30" s="4229"/>
      <c r="O30" s="1175">
        <f>T30/P28</f>
        <v>0.21598054652751408</v>
      </c>
      <c r="P30" s="3716"/>
      <c r="Q30" s="3298"/>
      <c r="R30" s="3298"/>
      <c r="S30" s="1123" t="s">
        <v>723</v>
      </c>
      <c r="T30" s="1170">
        <v>13620000</v>
      </c>
      <c r="U30" s="1170">
        <v>13620000</v>
      </c>
      <c r="V30" s="1170">
        <v>3405000</v>
      </c>
      <c r="W30" s="1157">
        <v>20</v>
      </c>
      <c r="X30" s="1121" t="s">
        <v>124</v>
      </c>
      <c r="Y30" s="3640"/>
      <c r="Z30" s="3640"/>
      <c r="AA30" s="3640"/>
      <c r="AB30" s="3640"/>
      <c r="AC30" s="3640"/>
      <c r="AD30" s="3640"/>
      <c r="AE30" s="3640"/>
      <c r="AF30" s="3640"/>
      <c r="AG30" s="3640"/>
      <c r="AH30" s="3640"/>
      <c r="AI30" s="3640"/>
      <c r="AJ30" s="3640"/>
      <c r="AK30" s="3640"/>
      <c r="AL30" s="3640"/>
      <c r="AM30" s="3640"/>
      <c r="AN30" s="3640"/>
      <c r="AO30" s="3640"/>
      <c r="AP30" s="3640"/>
      <c r="AQ30" s="3640"/>
      <c r="AR30" s="3640"/>
      <c r="AS30" s="3640"/>
      <c r="AT30" s="3640"/>
      <c r="AU30" s="3640"/>
      <c r="AV30" s="3640"/>
      <c r="AW30" s="3640"/>
      <c r="AX30" s="3640"/>
      <c r="AY30" s="3640"/>
      <c r="AZ30" s="3640"/>
      <c r="BA30" s="3640"/>
      <c r="BB30" s="3640"/>
      <c r="BC30" s="3640"/>
      <c r="BD30" s="3640"/>
      <c r="BE30" s="3640"/>
      <c r="BF30" s="4245"/>
      <c r="BG30" s="4245"/>
      <c r="BH30" s="4215"/>
      <c r="BI30" s="3640"/>
      <c r="BJ30" s="3287"/>
      <c r="BK30" s="3818"/>
      <c r="BL30" s="3818"/>
      <c r="BM30" s="3818"/>
      <c r="BN30" s="3818"/>
      <c r="BO30" s="4236"/>
    </row>
    <row r="31" spans="1:67" s="1122" customFormat="1" ht="57" x14ac:dyDescent="0.25">
      <c r="A31" s="4277"/>
      <c r="B31" s="4278"/>
      <c r="C31" s="4283"/>
      <c r="D31" s="4284"/>
      <c r="E31" s="4253"/>
      <c r="F31" s="3801"/>
      <c r="G31" s="1155">
        <v>19</v>
      </c>
      <c r="H31" s="1123" t="s">
        <v>724</v>
      </c>
      <c r="I31" s="1123" t="s">
        <v>725</v>
      </c>
      <c r="J31" s="1127">
        <v>8</v>
      </c>
      <c r="K31" s="1177">
        <v>8</v>
      </c>
      <c r="L31" s="3287"/>
      <c r="M31" s="3287"/>
      <c r="N31" s="4229"/>
      <c r="O31" s="1175">
        <f>T31/P28</f>
        <v>0.1744336278856575</v>
      </c>
      <c r="P31" s="3716"/>
      <c r="Q31" s="3298"/>
      <c r="R31" s="3298"/>
      <c r="S31" s="1178" t="s">
        <v>726</v>
      </c>
      <c r="T31" s="1170">
        <v>11000000</v>
      </c>
      <c r="U31" s="1170">
        <v>10990080</v>
      </c>
      <c r="V31" s="1170">
        <v>10990080</v>
      </c>
      <c r="W31" s="1157">
        <v>20</v>
      </c>
      <c r="X31" s="1121" t="s">
        <v>124</v>
      </c>
      <c r="Y31" s="3640"/>
      <c r="Z31" s="3640"/>
      <c r="AA31" s="3640"/>
      <c r="AB31" s="3640"/>
      <c r="AC31" s="3640"/>
      <c r="AD31" s="3640"/>
      <c r="AE31" s="3640"/>
      <c r="AF31" s="3640"/>
      <c r="AG31" s="3640"/>
      <c r="AH31" s="3640"/>
      <c r="AI31" s="3640"/>
      <c r="AJ31" s="3640"/>
      <c r="AK31" s="3640"/>
      <c r="AL31" s="3640"/>
      <c r="AM31" s="3640"/>
      <c r="AN31" s="3640"/>
      <c r="AO31" s="3640"/>
      <c r="AP31" s="3640"/>
      <c r="AQ31" s="3640"/>
      <c r="AR31" s="3640"/>
      <c r="AS31" s="3640"/>
      <c r="AT31" s="3640"/>
      <c r="AU31" s="3640"/>
      <c r="AV31" s="3640"/>
      <c r="AW31" s="3640"/>
      <c r="AX31" s="3640"/>
      <c r="AY31" s="3640"/>
      <c r="AZ31" s="3640"/>
      <c r="BA31" s="3640"/>
      <c r="BB31" s="3640"/>
      <c r="BC31" s="3640"/>
      <c r="BD31" s="3640"/>
      <c r="BE31" s="3640"/>
      <c r="BF31" s="4245"/>
      <c r="BG31" s="4245"/>
      <c r="BH31" s="4215"/>
      <c r="BI31" s="3640"/>
      <c r="BJ31" s="3287"/>
      <c r="BK31" s="3818"/>
      <c r="BL31" s="3818"/>
      <c r="BM31" s="3818"/>
      <c r="BN31" s="3818"/>
      <c r="BO31" s="4236"/>
    </row>
    <row r="32" spans="1:67" s="1122" customFormat="1" ht="60" x14ac:dyDescent="0.25">
      <c r="A32" s="4279"/>
      <c r="B32" s="4280"/>
      <c r="C32" s="4283"/>
      <c r="D32" s="4284"/>
      <c r="E32" s="4253"/>
      <c r="F32" s="3801"/>
      <c r="G32" s="1179">
        <v>20</v>
      </c>
      <c r="H32" s="1180" t="s">
        <v>727</v>
      </c>
      <c r="I32" s="1118" t="s">
        <v>728</v>
      </c>
      <c r="J32" s="1127">
        <v>60</v>
      </c>
      <c r="K32" s="1177">
        <v>60</v>
      </c>
      <c r="L32" s="3287"/>
      <c r="M32" s="3287"/>
      <c r="N32" s="3220"/>
      <c r="O32" s="1181">
        <f>T32/P28</f>
        <v>0.1744336278856575</v>
      </c>
      <c r="P32" s="3716"/>
      <c r="Q32" s="3298"/>
      <c r="R32" s="3298"/>
      <c r="S32" s="1118" t="s">
        <v>729</v>
      </c>
      <c r="T32" s="1182">
        <v>11000000</v>
      </c>
      <c r="U32" s="1170">
        <v>11000000</v>
      </c>
      <c r="V32" s="1170">
        <v>11000000</v>
      </c>
      <c r="W32" s="1183">
        <v>20</v>
      </c>
      <c r="X32" s="1121" t="s">
        <v>124</v>
      </c>
      <c r="Y32" s="3640"/>
      <c r="Z32" s="3641"/>
      <c r="AA32" s="3640"/>
      <c r="AB32" s="3641"/>
      <c r="AC32" s="3640"/>
      <c r="AD32" s="3641"/>
      <c r="AE32" s="3640"/>
      <c r="AF32" s="3641"/>
      <c r="AG32" s="3640"/>
      <c r="AH32" s="3641"/>
      <c r="AI32" s="3640"/>
      <c r="AJ32" s="3641"/>
      <c r="AK32" s="3640"/>
      <c r="AL32" s="3641"/>
      <c r="AM32" s="3640"/>
      <c r="AN32" s="3641"/>
      <c r="AO32" s="3640"/>
      <c r="AP32" s="3641"/>
      <c r="AQ32" s="3640"/>
      <c r="AR32" s="3641"/>
      <c r="AS32" s="3640"/>
      <c r="AT32" s="3641"/>
      <c r="AU32" s="3640"/>
      <c r="AV32" s="3641"/>
      <c r="AW32" s="3640"/>
      <c r="AX32" s="3641"/>
      <c r="AY32" s="3640"/>
      <c r="AZ32" s="3641"/>
      <c r="BA32" s="3640"/>
      <c r="BB32" s="3641"/>
      <c r="BC32" s="3640"/>
      <c r="BD32" s="3641"/>
      <c r="BE32" s="3641"/>
      <c r="BF32" s="4246"/>
      <c r="BG32" s="4246"/>
      <c r="BH32" s="4215"/>
      <c r="BI32" s="3640"/>
      <c r="BJ32" s="3287"/>
      <c r="BK32" s="3818"/>
      <c r="BL32" s="3818"/>
      <c r="BM32" s="4243"/>
      <c r="BN32" s="4243"/>
      <c r="BO32" s="4236"/>
    </row>
    <row r="33" spans="1:67" ht="15" x14ac:dyDescent="0.25">
      <c r="A33" s="1184">
        <v>2</v>
      </c>
      <c r="B33" s="921" t="s">
        <v>334</v>
      </c>
      <c r="C33" s="1185"/>
      <c r="D33" s="1185"/>
      <c r="E33" s="1185"/>
      <c r="F33" s="1185"/>
      <c r="G33" s="1186"/>
      <c r="H33" s="1187"/>
      <c r="I33" s="1188"/>
      <c r="J33" s="1188"/>
      <c r="K33" s="1189"/>
      <c r="L33" s="1188"/>
      <c r="M33" s="1189"/>
      <c r="N33" s="1187"/>
      <c r="O33" s="1190"/>
      <c r="P33" s="1191"/>
      <c r="Q33" s="1187"/>
      <c r="R33" s="1187"/>
      <c r="S33" s="1187"/>
      <c r="T33" s="1192"/>
      <c r="U33" s="1192"/>
      <c r="V33" s="1192"/>
      <c r="W33" s="1193"/>
      <c r="X33" s="1189"/>
      <c r="Y33" s="1188"/>
      <c r="Z33" s="1188"/>
      <c r="AA33" s="1188"/>
      <c r="AB33" s="1188"/>
      <c r="AC33" s="1188"/>
      <c r="AD33" s="1188"/>
      <c r="AE33" s="1188"/>
      <c r="AF33" s="1188"/>
      <c r="AG33" s="1188"/>
      <c r="AH33" s="1188"/>
      <c r="AI33" s="1188"/>
      <c r="AJ33" s="1188"/>
      <c r="AK33" s="1188"/>
      <c r="AL33" s="1188"/>
      <c r="AM33" s="1188"/>
      <c r="AN33" s="1188"/>
      <c r="AO33" s="1188"/>
      <c r="AP33" s="1188"/>
      <c r="AQ33" s="1188"/>
      <c r="AR33" s="1188"/>
      <c r="AS33" s="1188"/>
      <c r="AT33" s="1188"/>
      <c r="AU33" s="1188"/>
      <c r="AV33" s="1188"/>
      <c r="AW33" s="1188"/>
      <c r="AX33" s="1188"/>
      <c r="AY33" s="1188"/>
      <c r="AZ33" s="1188"/>
      <c r="BA33" s="1188"/>
      <c r="BB33" s="1188"/>
      <c r="BC33" s="1188"/>
      <c r="BD33" s="1188"/>
      <c r="BE33" s="1188"/>
      <c r="BF33" s="1188"/>
      <c r="BG33" s="1188"/>
      <c r="BH33" s="1188"/>
      <c r="BI33" s="1188"/>
      <c r="BJ33" s="1188"/>
      <c r="BK33" s="1194"/>
      <c r="BL33" s="1194"/>
      <c r="BM33" s="1195"/>
      <c r="BN33" s="1195"/>
      <c r="BO33" s="1196"/>
    </row>
    <row r="34" spans="1:67" ht="15" x14ac:dyDescent="0.25">
      <c r="A34" s="4237"/>
      <c r="B34" s="4238"/>
      <c r="C34" s="1197">
        <v>2</v>
      </c>
      <c r="D34" s="1100" t="s">
        <v>335</v>
      </c>
      <c r="E34" s="1100"/>
      <c r="F34" s="1100"/>
      <c r="G34" s="1198"/>
      <c r="H34" s="1199"/>
      <c r="I34" s="1200"/>
      <c r="J34" s="1200"/>
      <c r="K34" s="1201"/>
      <c r="L34" s="1200"/>
      <c r="M34" s="1201"/>
      <c r="N34" s="1199"/>
      <c r="O34" s="1202"/>
      <c r="P34" s="1203"/>
      <c r="Q34" s="1199"/>
      <c r="R34" s="1199"/>
      <c r="S34" s="1199"/>
      <c r="T34" s="1204"/>
      <c r="U34" s="1204"/>
      <c r="V34" s="1204"/>
      <c r="W34" s="1205"/>
      <c r="X34" s="1201"/>
      <c r="Y34" s="1200"/>
      <c r="Z34" s="1200"/>
      <c r="AA34" s="1200"/>
      <c r="AB34" s="1200"/>
      <c r="AC34" s="1200"/>
      <c r="AD34" s="1200"/>
      <c r="AE34" s="1200"/>
      <c r="AF34" s="1200"/>
      <c r="AG34" s="1200"/>
      <c r="AH34" s="1200"/>
      <c r="AI34" s="1200"/>
      <c r="AJ34" s="1200"/>
      <c r="AK34" s="1200"/>
      <c r="AL34" s="1200"/>
      <c r="AM34" s="1200"/>
      <c r="AN34" s="1200"/>
      <c r="AO34" s="1200"/>
      <c r="AP34" s="1200"/>
      <c r="AQ34" s="1200"/>
      <c r="AR34" s="1200"/>
      <c r="AS34" s="1200"/>
      <c r="AT34" s="1200"/>
      <c r="AU34" s="1200"/>
      <c r="AV34" s="1200"/>
      <c r="AW34" s="1200"/>
      <c r="AX34" s="1200"/>
      <c r="AY34" s="1200"/>
      <c r="AZ34" s="1200"/>
      <c r="BA34" s="1200"/>
      <c r="BB34" s="1200"/>
      <c r="BC34" s="1200"/>
      <c r="BD34" s="1200"/>
      <c r="BE34" s="1200"/>
      <c r="BF34" s="1200"/>
      <c r="BG34" s="1200"/>
      <c r="BH34" s="1200"/>
      <c r="BI34" s="1200"/>
      <c r="BJ34" s="1200"/>
      <c r="BK34" s="1206"/>
      <c r="BL34" s="1206"/>
      <c r="BM34" s="1207"/>
      <c r="BN34" s="1207"/>
      <c r="BO34" s="1208"/>
    </row>
    <row r="35" spans="1:67" ht="15" x14ac:dyDescent="0.25">
      <c r="A35" s="4239"/>
      <c r="B35" s="4240"/>
      <c r="C35" s="4205"/>
      <c r="D35" s="4205"/>
      <c r="E35" s="941">
        <v>4</v>
      </c>
      <c r="F35" s="939" t="s">
        <v>730</v>
      </c>
      <c r="G35" s="939"/>
      <c r="H35" s="1209"/>
      <c r="I35" s="1109"/>
      <c r="J35" s="1109"/>
      <c r="K35" s="1110"/>
      <c r="L35" s="1109"/>
      <c r="M35" s="1109"/>
      <c r="N35" s="1210"/>
      <c r="O35" s="1211"/>
      <c r="P35" s="1212"/>
      <c r="Q35" s="1210"/>
      <c r="R35" s="1210"/>
      <c r="S35" s="1210"/>
      <c r="T35" s="1213"/>
      <c r="U35" s="1213"/>
      <c r="V35" s="1213"/>
      <c r="W35" s="1214"/>
      <c r="X35" s="1215"/>
      <c r="Y35" s="1216"/>
      <c r="Z35" s="1216"/>
      <c r="AA35" s="1216"/>
      <c r="AB35" s="1216"/>
      <c r="AC35" s="1216"/>
      <c r="AD35" s="1216"/>
      <c r="AE35" s="1216"/>
      <c r="AF35" s="1216"/>
      <c r="AG35" s="1216"/>
      <c r="AH35" s="1216"/>
      <c r="AI35" s="1216"/>
      <c r="AJ35" s="1216"/>
      <c r="AK35" s="1216"/>
      <c r="AL35" s="1216"/>
      <c r="AM35" s="1216"/>
      <c r="AN35" s="1216"/>
      <c r="AO35" s="1216"/>
      <c r="AP35" s="1216"/>
      <c r="AQ35" s="1216"/>
      <c r="AR35" s="1216"/>
      <c r="AS35" s="1216"/>
      <c r="AT35" s="1216"/>
      <c r="AU35" s="1216"/>
      <c r="AV35" s="1216"/>
      <c r="AW35" s="1216"/>
      <c r="AX35" s="1216"/>
      <c r="AY35" s="1216"/>
      <c r="AZ35" s="1216"/>
      <c r="BA35" s="1216"/>
      <c r="BB35" s="1216"/>
      <c r="BC35" s="1216"/>
      <c r="BD35" s="1216"/>
      <c r="BE35" s="1216"/>
      <c r="BF35" s="1216"/>
      <c r="BG35" s="1216"/>
      <c r="BH35" s="1216"/>
      <c r="BI35" s="1216"/>
      <c r="BJ35" s="1216"/>
      <c r="BK35" s="1217"/>
      <c r="BL35" s="1217"/>
      <c r="BM35" s="1218"/>
      <c r="BN35" s="1218"/>
      <c r="BO35" s="1219"/>
    </row>
    <row r="36" spans="1:67" ht="42.75" x14ac:dyDescent="0.25">
      <c r="A36" s="4239"/>
      <c r="B36" s="4240"/>
      <c r="C36" s="4205"/>
      <c r="D36" s="4205"/>
      <c r="E36" s="3624"/>
      <c r="F36" s="3624"/>
      <c r="G36" s="3636">
        <v>21</v>
      </c>
      <c r="H36" s="3973" t="s">
        <v>731</v>
      </c>
      <c r="I36" s="3930" t="s">
        <v>732</v>
      </c>
      <c r="J36" s="3691">
        <v>100</v>
      </c>
      <c r="K36" s="3691">
        <v>81</v>
      </c>
      <c r="L36" s="3624" t="s">
        <v>733</v>
      </c>
      <c r="M36" s="3624" t="s">
        <v>734</v>
      </c>
      <c r="N36" s="4231" t="s">
        <v>735</v>
      </c>
      <c r="O36" s="4234">
        <f>+(T36+T37)/P36</f>
        <v>0.19129239751796687</v>
      </c>
      <c r="P36" s="3749">
        <v>364259118</v>
      </c>
      <c r="Q36" s="3914" t="s">
        <v>736</v>
      </c>
      <c r="R36" s="3914" t="s">
        <v>737</v>
      </c>
      <c r="S36" s="1062" t="s">
        <v>738</v>
      </c>
      <c r="T36" s="1220">
        <v>54000000</v>
      </c>
      <c r="U36" s="1220">
        <v>40172000</v>
      </c>
      <c r="V36" s="1220">
        <v>29700000</v>
      </c>
      <c r="W36" s="1221">
        <v>20</v>
      </c>
      <c r="X36" s="1121" t="s">
        <v>124</v>
      </c>
      <c r="Y36" s="3637">
        <v>40</v>
      </c>
      <c r="Z36" s="3639">
        <v>59</v>
      </c>
      <c r="AA36" s="3637">
        <v>60</v>
      </c>
      <c r="AB36" s="3639">
        <v>22</v>
      </c>
      <c r="AC36" s="3639">
        <v>10</v>
      </c>
      <c r="AD36" s="3639"/>
      <c r="AE36" s="3639">
        <v>20</v>
      </c>
      <c r="AF36" s="3639">
        <v>8</v>
      </c>
      <c r="AG36" s="3639">
        <v>30</v>
      </c>
      <c r="AH36" s="3639">
        <v>58</v>
      </c>
      <c r="AI36" s="3639">
        <v>40</v>
      </c>
      <c r="AJ36" s="3639">
        <v>15</v>
      </c>
      <c r="AK36" s="3639">
        <v>5</v>
      </c>
      <c r="AL36" s="3639"/>
      <c r="AM36" s="3639"/>
      <c r="AN36" s="3639"/>
      <c r="AO36" s="3639"/>
      <c r="AP36" s="3639"/>
      <c r="AQ36" s="3639"/>
      <c r="AR36" s="3639"/>
      <c r="AS36" s="3639"/>
      <c r="AT36" s="3639"/>
      <c r="AU36" s="3639"/>
      <c r="AV36" s="3639"/>
      <c r="AW36" s="3639">
        <v>5</v>
      </c>
      <c r="AX36" s="3639"/>
      <c r="AY36" s="3639"/>
      <c r="AZ36" s="3639"/>
      <c r="BA36" s="3634"/>
      <c r="BB36" s="3634"/>
      <c r="BC36" s="3634">
        <f>Y36+AA36</f>
        <v>100</v>
      </c>
      <c r="BD36" s="3624">
        <f>Z36+AB36</f>
        <v>81</v>
      </c>
      <c r="BE36" s="3634">
        <v>21</v>
      </c>
      <c r="BF36" s="3625">
        <v>282122000</v>
      </c>
      <c r="BG36" s="3625">
        <v>200018333</v>
      </c>
      <c r="BH36" s="4202">
        <f>BG36/BF36</f>
        <v>0.70897814775168189</v>
      </c>
      <c r="BI36" s="3634" t="s">
        <v>668</v>
      </c>
      <c r="BJ36" s="4198" t="s">
        <v>739</v>
      </c>
      <c r="BK36" s="4195">
        <v>43466</v>
      </c>
      <c r="BL36" s="4195">
        <v>43482</v>
      </c>
      <c r="BM36" s="4195">
        <v>43829</v>
      </c>
      <c r="BN36" s="4195">
        <v>43809</v>
      </c>
      <c r="BO36" s="4198" t="s">
        <v>740</v>
      </c>
    </row>
    <row r="37" spans="1:67" ht="41.25" customHeight="1" x14ac:dyDescent="0.25">
      <c r="A37" s="4239"/>
      <c r="B37" s="4240"/>
      <c r="C37" s="4205"/>
      <c r="D37" s="4205"/>
      <c r="E37" s="3624"/>
      <c r="F37" s="3624"/>
      <c r="G37" s="3624"/>
      <c r="H37" s="3973"/>
      <c r="I37" s="3930"/>
      <c r="J37" s="3713"/>
      <c r="K37" s="3713"/>
      <c r="L37" s="3624"/>
      <c r="M37" s="3624"/>
      <c r="N37" s="4232"/>
      <c r="O37" s="4234"/>
      <c r="P37" s="3749"/>
      <c r="Q37" s="3915"/>
      <c r="R37" s="3915"/>
      <c r="S37" s="1064" t="s">
        <v>741</v>
      </c>
      <c r="T37" s="399">
        <v>15680000</v>
      </c>
      <c r="U37" s="399">
        <v>10550000</v>
      </c>
      <c r="V37" s="399">
        <v>4333333</v>
      </c>
      <c r="W37" s="1222">
        <v>20</v>
      </c>
      <c r="X37" s="1121" t="s">
        <v>124</v>
      </c>
      <c r="Y37" s="3637"/>
      <c r="Z37" s="3640"/>
      <c r="AA37" s="3637"/>
      <c r="AB37" s="3640"/>
      <c r="AC37" s="3640"/>
      <c r="AD37" s="3640"/>
      <c r="AE37" s="3640"/>
      <c r="AF37" s="3640"/>
      <c r="AG37" s="3640"/>
      <c r="AH37" s="3640"/>
      <c r="AI37" s="3640"/>
      <c r="AJ37" s="3640"/>
      <c r="AK37" s="3640"/>
      <c r="AL37" s="3640"/>
      <c r="AM37" s="3640"/>
      <c r="AN37" s="3640"/>
      <c r="AO37" s="3640"/>
      <c r="AP37" s="3640"/>
      <c r="AQ37" s="3640"/>
      <c r="AR37" s="3640"/>
      <c r="AS37" s="3640"/>
      <c r="AT37" s="3640"/>
      <c r="AU37" s="3640"/>
      <c r="AV37" s="3640"/>
      <c r="AW37" s="3640"/>
      <c r="AX37" s="3640"/>
      <c r="AY37" s="3640"/>
      <c r="AZ37" s="3640"/>
      <c r="BA37" s="3635"/>
      <c r="BB37" s="3635"/>
      <c r="BC37" s="3635"/>
      <c r="BD37" s="3624"/>
      <c r="BE37" s="3635"/>
      <c r="BF37" s="3626"/>
      <c r="BG37" s="3626"/>
      <c r="BH37" s="4203"/>
      <c r="BI37" s="3635"/>
      <c r="BJ37" s="4199"/>
      <c r="BK37" s="4196"/>
      <c r="BL37" s="4196"/>
      <c r="BM37" s="4196"/>
      <c r="BN37" s="4196"/>
      <c r="BO37" s="4199"/>
    </row>
    <row r="38" spans="1:67" ht="99" customHeight="1" x14ac:dyDescent="0.25">
      <c r="A38" s="4239"/>
      <c r="B38" s="4240"/>
      <c r="C38" s="4205"/>
      <c r="D38" s="4205"/>
      <c r="E38" s="3624"/>
      <c r="F38" s="3624"/>
      <c r="G38" s="3624">
        <v>22</v>
      </c>
      <c r="H38" s="3973" t="s">
        <v>742</v>
      </c>
      <c r="I38" s="3930" t="s">
        <v>743</v>
      </c>
      <c r="J38" s="3691">
        <v>3</v>
      </c>
      <c r="K38" s="3691">
        <v>2</v>
      </c>
      <c r="L38" s="3624"/>
      <c r="M38" s="3624"/>
      <c r="N38" s="4232"/>
      <c r="O38" s="4230">
        <f>+(T38+T39)/P36</f>
        <v>0.12161672230261096</v>
      </c>
      <c r="P38" s="3749"/>
      <c r="Q38" s="3915"/>
      <c r="R38" s="3915"/>
      <c r="S38" s="1064" t="s">
        <v>744</v>
      </c>
      <c r="T38" s="399">
        <v>30000000</v>
      </c>
      <c r="U38" s="399">
        <v>12500000</v>
      </c>
      <c r="V38" s="399">
        <v>8500000</v>
      </c>
      <c r="W38" s="1222">
        <v>20</v>
      </c>
      <c r="X38" s="1121" t="s">
        <v>124</v>
      </c>
      <c r="Y38" s="3637"/>
      <c r="Z38" s="3640"/>
      <c r="AA38" s="3637"/>
      <c r="AB38" s="3640"/>
      <c r="AC38" s="3640"/>
      <c r="AD38" s="3640"/>
      <c r="AE38" s="3640"/>
      <c r="AF38" s="3640"/>
      <c r="AG38" s="3640"/>
      <c r="AH38" s="3640"/>
      <c r="AI38" s="3640"/>
      <c r="AJ38" s="3640"/>
      <c r="AK38" s="3640"/>
      <c r="AL38" s="3640"/>
      <c r="AM38" s="3640"/>
      <c r="AN38" s="3640"/>
      <c r="AO38" s="3640"/>
      <c r="AP38" s="3640"/>
      <c r="AQ38" s="3640"/>
      <c r="AR38" s="3640"/>
      <c r="AS38" s="3640"/>
      <c r="AT38" s="3640"/>
      <c r="AU38" s="3640"/>
      <c r="AV38" s="3640"/>
      <c r="AW38" s="3640"/>
      <c r="AX38" s="3640"/>
      <c r="AY38" s="3640"/>
      <c r="AZ38" s="3640"/>
      <c r="BA38" s="3635"/>
      <c r="BB38" s="3635"/>
      <c r="BC38" s="3635"/>
      <c r="BD38" s="3624"/>
      <c r="BE38" s="3635"/>
      <c r="BF38" s="3626"/>
      <c r="BG38" s="3626"/>
      <c r="BH38" s="4203"/>
      <c r="BI38" s="3635"/>
      <c r="BJ38" s="4199"/>
      <c r="BK38" s="4196"/>
      <c r="BL38" s="4196"/>
      <c r="BM38" s="4196"/>
      <c r="BN38" s="4196"/>
      <c r="BO38" s="4199"/>
    </row>
    <row r="39" spans="1:67" ht="84" customHeight="1" x14ac:dyDescent="0.25">
      <c r="A39" s="4239"/>
      <c r="B39" s="4240"/>
      <c r="C39" s="4205"/>
      <c r="D39" s="4205"/>
      <c r="E39" s="3624"/>
      <c r="F39" s="3624"/>
      <c r="G39" s="3624"/>
      <c r="H39" s="3973"/>
      <c r="I39" s="3930"/>
      <c r="J39" s="3713"/>
      <c r="K39" s="3713"/>
      <c r="L39" s="3624"/>
      <c r="M39" s="3624"/>
      <c r="N39" s="4232"/>
      <c r="O39" s="4230"/>
      <c r="P39" s="3749"/>
      <c r="Q39" s="3915"/>
      <c r="R39" s="3960"/>
      <c r="S39" s="1064" t="s">
        <v>745</v>
      </c>
      <c r="T39" s="399">
        <v>14300000</v>
      </c>
      <c r="U39" s="399">
        <v>8000000</v>
      </c>
      <c r="V39" s="399">
        <v>4000000</v>
      </c>
      <c r="W39" s="1222">
        <v>20</v>
      </c>
      <c r="X39" s="1121" t="s">
        <v>124</v>
      </c>
      <c r="Y39" s="3637"/>
      <c r="Z39" s="3640"/>
      <c r="AA39" s="3637"/>
      <c r="AB39" s="3640"/>
      <c r="AC39" s="3640"/>
      <c r="AD39" s="3640"/>
      <c r="AE39" s="3640"/>
      <c r="AF39" s="3640"/>
      <c r="AG39" s="3640"/>
      <c r="AH39" s="3640"/>
      <c r="AI39" s="3640"/>
      <c r="AJ39" s="3640"/>
      <c r="AK39" s="3640"/>
      <c r="AL39" s="3640"/>
      <c r="AM39" s="3640"/>
      <c r="AN39" s="3640"/>
      <c r="AO39" s="3640"/>
      <c r="AP39" s="3640"/>
      <c r="AQ39" s="3640"/>
      <c r="AR39" s="3640"/>
      <c r="AS39" s="3640"/>
      <c r="AT39" s="3640"/>
      <c r="AU39" s="3640"/>
      <c r="AV39" s="3640"/>
      <c r="AW39" s="3640"/>
      <c r="AX39" s="3640"/>
      <c r="AY39" s="3640"/>
      <c r="AZ39" s="3640"/>
      <c r="BA39" s="3635"/>
      <c r="BB39" s="3635"/>
      <c r="BC39" s="3635"/>
      <c r="BD39" s="3624"/>
      <c r="BE39" s="3635"/>
      <c r="BF39" s="3626"/>
      <c r="BG39" s="3626"/>
      <c r="BH39" s="4203"/>
      <c r="BI39" s="3635"/>
      <c r="BJ39" s="4199"/>
      <c r="BK39" s="4196"/>
      <c r="BL39" s="4196"/>
      <c r="BM39" s="4196"/>
      <c r="BN39" s="4196"/>
      <c r="BO39" s="4199"/>
    </row>
    <row r="40" spans="1:67" ht="69.75" customHeight="1" x14ac:dyDescent="0.25">
      <c r="A40" s="4239"/>
      <c r="B40" s="4240"/>
      <c r="C40" s="4205"/>
      <c r="D40" s="4205"/>
      <c r="E40" s="3624"/>
      <c r="F40" s="3624"/>
      <c r="G40" s="3624">
        <v>23</v>
      </c>
      <c r="H40" s="3973" t="s">
        <v>746</v>
      </c>
      <c r="I40" s="3930" t="s">
        <v>747</v>
      </c>
      <c r="J40" s="3691">
        <v>1</v>
      </c>
      <c r="K40" s="3691">
        <v>1</v>
      </c>
      <c r="L40" s="3624"/>
      <c r="M40" s="3624"/>
      <c r="N40" s="4232"/>
      <c r="O40" s="4230">
        <f>+(T40+T41+T42)/P36</f>
        <v>0.19129239751796687</v>
      </c>
      <c r="P40" s="3749"/>
      <c r="Q40" s="3915"/>
      <c r="R40" s="3928" t="s">
        <v>748</v>
      </c>
      <c r="S40" s="1064" t="s">
        <v>749</v>
      </c>
      <c r="T40" s="399">
        <v>18000000</v>
      </c>
      <c r="U40" s="399">
        <v>18000000</v>
      </c>
      <c r="V40" s="399">
        <v>16500000</v>
      </c>
      <c r="W40" s="1222">
        <v>20</v>
      </c>
      <c r="X40" s="1121" t="s">
        <v>124</v>
      </c>
      <c r="Y40" s="3637"/>
      <c r="Z40" s="3640"/>
      <c r="AA40" s="3637"/>
      <c r="AB40" s="3640"/>
      <c r="AC40" s="3640"/>
      <c r="AD40" s="3640"/>
      <c r="AE40" s="3640"/>
      <c r="AF40" s="3640"/>
      <c r="AG40" s="3640"/>
      <c r="AH40" s="3640"/>
      <c r="AI40" s="3640"/>
      <c r="AJ40" s="3640"/>
      <c r="AK40" s="3640"/>
      <c r="AL40" s="3640"/>
      <c r="AM40" s="3640"/>
      <c r="AN40" s="3640"/>
      <c r="AO40" s="3640"/>
      <c r="AP40" s="3640"/>
      <c r="AQ40" s="3640"/>
      <c r="AR40" s="3640"/>
      <c r="AS40" s="3640"/>
      <c r="AT40" s="3640"/>
      <c r="AU40" s="3640"/>
      <c r="AV40" s="3640"/>
      <c r="AW40" s="3640"/>
      <c r="AX40" s="3640"/>
      <c r="AY40" s="3640"/>
      <c r="AZ40" s="3640"/>
      <c r="BA40" s="3635"/>
      <c r="BB40" s="3635"/>
      <c r="BC40" s="3635"/>
      <c r="BD40" s="3624"/>
      <c r="BE40" s="3635"/>
      <c r="BF40" s="3626"/>
      <c r="BG40" s="3626"/>
      <c r="BH40" s="4203"/>
      <c r="BI40" s="3635"/>
      <c r="BJ40" s="4199"/>
      <c r="BK40" s="4196"/>
      <c r="BL40" s="4196"/>
      <c r="BM40" s="4196"/>
      <c r="BN40" s="4196"/>
      <c r="BO40" s="4199"/>
    </row>
    <row r="41" spans="1:67" ht="66" customHeight="1" x14ac:dyDescent="0.25">
      <c r="A41" s="4239"/>
      <c r="B41" s="4240"/>
      <c r="C41" s="4205"/>
      <c r="D41" s="4205"/>
      <c r="E41" s="3624"/>
      <c r="F41" s="3624"/>
      <c r="G41" s="3624"/>
      <c r="H41" s="3973"/>
      <c r="I41" s="3930"/>
      <c r="J41" s="3712"/>
      <c r="K41" s="3712"/>
      <c r="L41" s="3624"/>
      <c r="M41" s="3624"/>
      <c r="N41" s="4232"/>
      <c r="O41" s="4230"/>
      <c r="P41" s="3749"/>
      <c r="Q41" s="3915"/>
      <c r="R41" s="3929"/>
      <c r="S41" s="1064" t="s">
        <v>750</v>
      </c>
      <c r="T41" s="399">
        <v>5000000</v>
      </c>
      <c r="U41" s="399">
        <v>4500000</v>
      </c>
      <c r="V41" s="399">
        <v>4000000</v>
      </c>
      <c r="W41" s="1222">
        <v>20</v>
      </c>
      <c r="X41" s="1121" t="s">
        <v>124</v>
      </c>
      <c r="Y41" s="3637"/>
      <c r="Z41" s="3640"/>
      <c r="AA41" s="3637"/>
      <c r="AB41" s="3640"/>
      <c r="AC41" s="3640"/>
      <c r="AD41" s="3640"/>
      <c r="AE41" s="3640"/>
      <c r="AF41" s="3640"/>
      <c r="AG41" s="3640"/>
      <c r="AH41" s="3640"/>
      <c r="AI41" s="3640"/>
      <c r="AJ41" s="3640"/>
      <c r="AK41" s="3640"/>
      <c r="AL41" s="3640"/>
      <c r="AM41" s="3640"/>
      <c r="AN41" s="3640"/>
      <c r="AO41" s="3640"/>
      <c r="AP41" s="3640"/>
      <c r="AQ41" s="3640"/>
      <c r="AR41" s="3640"/>
      <c r="AS41" s="3640"/>
      <c r="AT41" s="3640"/>
      <c r="AU41" s="3640"/>
      <c r="AV41" s="3640"/>
      <c r="AW41" s="3640"/>
      <c r="AX41" s="3640"/>
      <c r="AY41" s="3640"/>
      <c r="AZ41" s="3640"/>
      <c r="BA41" s="3635"/>
      <c r="BB41" s="3635"/>
      <c r="BC41" s="3635"/>
      <c r="BD41" s="3624"/>
      <c r="BE41" s="3635"/>
      <c r="BF41" s="3626"/>
      <c r="BG41" s="3626"/>
      <c r="BH41" s="4203"/>
      <c r="BI41" s="3635"/>
      <c r="BJ41" s="4199"/>
      <c r="BK41" s="4196"/>
      <c r="BL41" s="4196"/>
      <c r="BM41" s="4196"/>
      <c r="BN41" s="4196"/>
      <c r="BO41" s="4199"/>
    </row>
    <row r="42" spans="1:67" ht="48.75" customHeight="1" x14ac:dyDescent="0.25">
      <c r="A42" s="4239"/>
      <c r="B42" s="4240"/>
      <c r="C42" s="4205"/>
      <c r="D42" s="4205"/>
      <c r="E42" s="3624"/>
      <c r="F42" s="3624"/>
      <c r="G42" s="3624"/>
      <c r="H42" s="3973"/>
      <c r="I42" s="3930"/>
      <c r="J42" s="3713"/>
      <c r="K42" s="3713"/>
      <c r="L42" s="3624"/>
      <c r="M42" s="3624"/>
      <c r="N42" s="4232"/>
      <c r="O42" s="4230"/>
      <c r="P42" s="3749"/>
      <c r="Q42" s="3915"/>
      <c r="R42" s="3929"/>
      <c r="S42" s="1064" t="s">
        <v>751</v>
      </c>
      <c r="T42" s="399">
        <v>46680000</v>
      </c>
      <c r="U42" s="399">
        <v>25900000</v>
      </c>
      <c r="V42" s="399">
        <v>14815000</v>
      </c>
      <c r="W42" s="1222">
        <v>20</v>
      </c>
      <c r="X42" s="1121" t="s">
        <v>124</v>
      </c>
      <c r="Y42" s="3637"/>
      <c r="Z42" s="3640"/>
      <c r="AA42" s="3637"/>
      <c r="AB42" s="3640"/>
      <c r="AC42" s="3640"/>
      <c r="AD42" s="3640"/>
      <c r="AE42" s="3640"/>
      <c r="AF42" s="3640"/>
      <c r="AG42" s="3640"/>
      <c r="AH42" s="3640"/>
      <c r="AI42" s="3640"/>
      <c r="AJ42" s="3640"/>
      <c r="AK42" s="3640"/>
      <c r="AL42" s="3640"/>
      <c r="AM42" s="3640"/>
      <c r="AN42" s="3640"/>
      <c r="AO42" s="3640"/>
      <c r="AP42" s="3640"/>
      <c r="AQ42" s="3640"/>
      <c r="AR42" s="3640"/>
      <c r="AS42" s="3640"/>
      <c r="AT42" s="3640"/>
      <c r="AU42" s="3640"/>
      <c r="AV42" s="3640"/>
      <c r="AW42" s="3640"/>
      <c r="AX42" s="3640"/>
      <c r="AY42" s="3640"/>
      <c r="AZ42" s="3640"/>
      <c r="BA42" s="3635"/>
      <c r="BB42" s="3635"/>
      <c r="BC42" s="3635"/>
      <c r="BD42" s="3624"/>
      <c r="BE42" s="3635"/>
      <c r="BF42" s="3626"/>
      <c r="BG42" s="3626"/>
      <c r="BH42" s="4203"/>
      <c r="BI42" s="3635"/>
      <c r="BJ42" s="4199"/>
      <c r="BK42" s="4196"/>
      <c r="BL42" s="4196"/>
      <c r="BM42" s="4196"/>
      <c r="BN42" s="4196"/>
      <c r="BO42" s="4199"/>
    </row>
    <row r="43" spans="1:67" ht="42.75" x14ac:dyDescent="0.25">
      <c r="A43" s="4239"/>
      <c r="B43" s="4240"/>
      <c r="C43" s="4205"/>
      <c r="D43" s="4205"/>
      <c r="E43" s="3624"/>
      <c r="F43" s="3624"/>
      <c r="G43" s="1223">
        <v>24</v>
      </c>
      <c r="H43" s="1064" t="s">
        <v>752</v>
      </c>
      <c r="I43" s="1064" t="s">
        <v>753</v>
      </c>
      <c r="J43" s="1057">
        <v>1</v>
      </c>
      <c r="K43" s="1057">
        <v>2</v>
      </c>
      <c r="L43" s="3624"/>
      <c r="M43" s="3624"/>
      <c r="N43" s="4233"/>
      <c r="O43" s="1224">
        <f>T43/P36</f>
        <v>0.49579848266145532</v>
      </c>
      <c r="P43" s="3749"/>
      <c r="Q43" s="3960"/>
      <c r="R43" s="3943"/>
      <c r="S43" s="1064" t="s">
        <v>754</v>
      </c>
      <c r="T43" s="399">
        <v>180599118</v>
      </c>
      <c r="U43" s="399">
        <v>162500000</v>
      </c>
      <c r="V43" s="399">
        <v>118170000</v>
      </c>
      <c r="W43" s="1222">
        <v>20</v>
      </c>
      <c r="X43" s="1121" t="s">
        <v>124</v>
      </c>
      <c r="Y43" s="3637"/>
      <c r="Z43" s="3641"/>
      <c r="AA43" s="3637"/>
      <c r="AB43" s="3641"/>
      <c r="AC43" s="3641"/>
      <c r="AD43" s="3641"/>
      <c r="AE43" s="3641"/>
      <c r="AF43" s="3641"/>
      <c r="AG43" s="3641"/>
      <c r="AH43" s="3641"/>
      <c r="AI43" s="3641"/>
      <c r="AJ43" s="3641"/>
      <c r="AK43" s="3641"/>
      <c r="AL43" s="3641"/>
      <c r="AM43" s="3641"/>
      <c r="AN43" s="3641"/>
      <c r="AO43" s="3641"/>
      <c r="AP43" s="3641"/>
      <c r="AQ43" s="3641"/>
      <c r="AR43" s="3641"/>
      <c r="AS43" s="3641"/>
      <c r="AT43" s="3641"/>
      <c r="AU43" s="3641"/>
      <c r="AV43" s="3641"/>
      <c r="AW43" s="3641"/>
      <c r="AX43" s="3641"/>
      <c r="AY43" s="3641"/>
      <c r="AZ43" s="3641"/>
      <c r="BA43" s="3636"/>
      <c r="BB43" s="3636"/>
      <c r="BC43" s="3636"/>
      <c r="BD43" s="3624"/>
      <c r="BE43" s="3636"/>
      <c r="BF43" s="3627"/>
      <c r="BG43" s="3627"/>
      <c r="BH43" s="4204"/>
      <c r="BI43" s="3636"/>
      <c r="BJ43" s="4200"/>
      <c r="BK43" s="4197"/>
      <c r="BL43" s="4197"/>
      <c r="BM43" s="4197"/>
      <c r="BN43" s="4197"/>
      <c r="BO43" s="4200"/>
    </row>
    <row r="44" spans="1:67" ht="15" x14ac:dyDescent="0.25">
      <c r="A44" s="4239"/>
      <c r="B44" s="4240"/>
      <c r="C44" s="4205"/>
      <c r="D44" s="4205"/>
      <c r="E44" s="941">
        <v>5</v>
      </c>
      <c r="F44" s="939" t="s">
        <v>755</v>
      </c>
      <c r="G44" s="939"/>
      <c r="H44" s="1225"/>
      <c r="I44" s="1225"/>
      <c r="J44" s="1225"/>
      <c r="K44" s="1226"/>
      <c r="L44" s="1225"/>
      <c r="M44" s="1225"/>
      <c r="N44" s="1210"/>
      <c r="O44" s="1211"/>
      <c r="P44" s="1212"/>
      <c r="Q44" s="1210"/>
      <c r="R44" s="1210"/>
      <c r="S44" s="1210"/>
      <c r="T44" s="1213"/>
      <c r="U44" s="1213"/>
      <c r="V44" s="1213"/>
      <c r="W44" s="1214"/>
      <c r="X44" s="1215"/>
      <c r="Y44" s="1216"/>
      <c r="Z44" s="1216"/>
      <c r="AA44" s="1216"/>
      <c r="AB44" s="1216"/>
      <c r="AC44" s="1216"/>
      <c r="AD44" s="1216"/>
      <c r="AE44" s="1216"/>
      <c r="AF44" s="1216"/>
      <c r="AG44" s="1216"/>
      <c r="AH44" s="1216"/>
      <c r="AI44" s="1216"/>
      <c r="AJ44" s="1216"/>
      <c r="AK44" s="1216"/>
      <c r="AL44" s="1216"/>
      <c r="AM44" s="1216"/>
      <c r="AN44" s="1216"/>
      <c r="AO44" s="1216"/>
      <c r="AP44" s="1216"/>
      <c r="AQ44" s="1216"/>
      <c r="AR44" s="1216"/>
      <c r="AS44" s="1216"/>
      <c r="AT44" s="1216"/>
      <c r="AU44" s="1216"/>
      <c r="AV44" s="1216"/>
      <c r="AW44" s="1216"/>
      <c r="AX44" s="1216"/>
      <c r="AY44" s="1216"/>
      <c r="AZ44" s="1216"/>
      <c r="BA44" s="1216"/>
      <c r="BB44" s="1216"/>
      <c r="BC44" s="1216"/>
      <c r="BD44" s="1216"/>
      <c r="BE44" s="1216"/>
      <c r="BF44" s="1216"/>
      <c r="BG44" s="1216"/>
      <c r="BH44" s="1216"/>
      <c r="BI44" s="1216"/>
      <c r="BJ44" s="1216"/>
      <c r="BK44" s="1217"/>
      <c r="BL44" s="1217"/>
      <c r="BM44" s="1218"/>
      <c r="BN44" s="1218"/>
      <c r="BO44" s="1219"/>
    </row>
    <row r="45" spans="1:67" s="1122" customFormat="1" ht="43.5" customHeight="1" x14ac:dyDescent="0.25">
      <c r="A45" s="4239"/>
      <c r="B45" s="4240"/>
      <c r="C45" s="4205"/>
      <c r="D45" s="4205"/>
      <c r="E45" s="3637"/>
      <c r="F45" s="3637"/>
      <c r="G45" s="3639">
        <v>25</v>
      </c>
      <c r="H45" s="3297" t="s">
        <v>756</v>
      </c>
      <c r="I45" s="3296" t="s">
        <v>757</v>
      </c>
      <c r="J45" s="3639">
        <v>2</v>
      </c>
      <c r="K45" s="3637" t="s">
        <v>758</v>
      </c>
      <c r="L45" s="3296" t="s">
        <v>759</v>
      </c>
      <c r="M45" s="3639" t="s">
        <v>760</v>
      </c>
      <c r="N45" s="3297" t="s">
        <v>761</v>
      </c>
      <c r="O45" s="4209">
        <f>SUM(T45:T50)/P45</f>
        <v>0.21064074165230945</v>
      </c>
      <c r="P45" s="3715">
        <f>SUM(T45:T53)</f>
        <v>1365168000</v>
      </c>
      <c r="Q45" s="3297" t="s">
        <v>762</v>
      </c>
      <c r="R45" s="3297" t="s">
        <v>763</v>
      </c>
      <c r="S45" s="1123" t="s">
        <v>764</v>
      </c>
      <c r="T45" s="1227">
        <f>118780000-54780000</f>
        <v>64000000</v>
      </c>
      <c r="U45" s="1156">
        <v>64000000</v>
      </c>
      <c r="V45" s="1156">
        <v>30000000</v>
      </c>
      <c r="W45" s="1157">
        <v>20</v>
      </c>
      <c r="X45" s="1121" t="s">
        <v>124</v>
      </c>
      <c r="Y45" s="3639">
        <v>600</v>
      </c>
      <c r="Z45" s="3639">
        <v>67</v>
      </c>
      <c r="AA45" s="3639">
        <v>600</v>
      </c>
      <c r="AB45" s="3639">
        <v>265</v>
      </c>
      <c r="AC45" s="3639">
        <v>125</v>
      </c>
      <c r="AD45" s="3639"/>
      <c r="AE45" s="3639">
        <v>75</v>
      </c>
      <c r="AF45" s="3639">
        <v>1</v>
      </c>
      <c r="AG45" s="3639">
        <v>300</v>
      </c>
      <c r="AH45" s="3639">
        <f>83+176</f>
        <v>259</v>
      </c>
      <c r="AI45" s="3639">
        <v>700</v>
      </c>
      <c r="AJ45" s="3639">
        <v>36</v>
      </c>
      <c r="AK45" s="3639">
        <v>50</v>
      </c>
      <c r="AL45" s="3639"/>
      <c r="AM45" s="3639">
        <v>30</v>
      </c>
      <c r="AN45" s="3639"/>
      <c r="AO45" s="3639"/>
      <c r="AP45" s="3639"/>
      <c r="AQ45" s="3639"/>
      <c r="AR45" s="3639"/>
      <c r="AS45" s="3639"/>
      <c r="AT45" s="3639"/>
      <c r="AU45" s="3639"/>
      <c r="AV45" s="3639"/>
      <c r="AW45" s="3639"/>
      <c r="AX45" s="3639"/>
      <c r="AY45" s="3639">
        <v>10</v>
      </c>
      <c r="AZ45" s="3639"/>
      <c r="BA45" s="3639">
        <v>10</v>
      </c>
      <c r="BB45" s="3639"/>
      <c r="BC45" s="3639">
        <f>Y45+AA45</f>
        <v>1200</v>
      </c>
      <c r="BD45" s="3639">
        <f>122+192</f>
        <v>314</v>
      </c>
      <c r="BE45" s="3639">
        <v>36</v>
      </c>
      <c r="BF45" s="3715">
        <v>210116500</v>
      </c>
      <c r="BG45" s="3715">
        <v>98599667</v>
      </c>
      <c r="BH45" s="4209">
        <f>BG45/BF45</f>
        <v>0.46926189518671785</v>
      </c>
      <c r="BI45" s="3639" t="s">
        <v>668</v>
      </c>
      <c r="BJ45" s="3296" t="s">
        <v>765</v>
      </c>
      <c r="BK45" s="3616">
        <v>43466</v>
      </c>
      <c r="BL45" s="3616">
        <v>43671</v>
      </c>
      <c r="BM45" s="3616">
        <v>43830</v>
      </c>
      <c r="BN45" s="3616">
        <v>43809</v>
      </c>
      <c r="BO45" s="3296" t="s">
        <v>766</v>
      </c>
    </row>
    <row r="46" spans="1:67" s="1122" customFormat="1" ht="36.75" customHeight="1" x14ac:dyDescent="0.25">
      <c r="A46" s="4239"/>
      <c r="B46" s="4240"/>
      <c r="C46" s="4205"/>
      <c r="D46" s="4205"/>
      <c r="E46" s="3637"/>
      <c r="F46" s="3637"/>
      <c r="G46" s="3640"/>
      <c r="H46" s="3298"/>
      <c r="I46" s="3287"/>
      <c r="J46" s="3640"/>
      <c r="K46" s="3637"/>
      <c r="L46" s="3287"/>
      <c r="M46" s="3640"/>
      <c r="N46" s="3298"/>
      <c r="O46" s="4215"/>
      <c r="P46" s="3716"/>
      <c r="Q46" s="3298"/>
      <c r="R46" s="3298"/>
      <c r="S46" s="1118" t="s">
        <v>767</v>
      </c>
      <c r="T46" s="1227">
        <f>0+54780000</f>
        <v>54780000</v>
      </c>
      <c r="U46" s="1156">
        <v>10000000</v>
      </c>
      <c r="V46" s="1156"/>
      <c r="W46" s="1157">
        <v>20</v>
      </c>
      <c r="X46" s="1121" t="s">
        <v>124</v>
      </c>
      <c r="Y46" s="3640"/>
      <c r="Z46" s="3640"/>
      <c r="AA46" s="3640"/>
      <c r="AB46" s="3640"/>
      <c r="AC46" s="3640"/>
      <c r="AD46" s="3640"/>
      <c r="AE46" s="3640"/>
      <c r="AF46" s="3640"/>
      <c r="AG46" s="3640"/>
      <c r="AH46" s="3640"/>
      <c r="AI46" s="3640"/>
      <c r="AJ46" s="3640"/>
      <c r="AK46" s="3640"/>
      <c r="AL46" s="3640"/>
      <c r="AM46" s="3640"/>
      <c r="AN46" s="3640"/>
      <c r="AO46" s="3640"/>
      <c r="AP46" s="3640"/>
      <c r="AQ46" s="3640"/>
      <c r="AR46" s="3640"/>
      <c r="AS46" s="3640"/>
      <c r="AT46" s="3640"/>
      <c r="AU46" s="3640"/>
      <c r="AV46" s="3640"/>
      <c r="AW46" s="3640"/>
      <c r="AX46" s="3640"/>
      <c r="AY46" s="3640"/>
      <c r="AZ46" s="3640"/>
      <c r="BA46" s="3640"/>
      <c r="BB46" s="3640"/>
      <c r="BC46" s="3640"/>
      <c r="BD46" s="3640"/>
      <c r="BE46" s="3640"/>
      <c r="BF46" s="3716"/>
      <c r="BG46" s="3716"/>
      <c r="BH46" s="4215"/>
      <c r="BI46" s="3640"/>
      <c r="BJ46" s="3287"/>
      <c r="BK46" s="3617"/>
      <c r="BL46" s="3617"/>
      <c r="BM46" s="3617"/>
      <c r="BN46" s="3617"/>
      <c r="BO46" s="3287"/>
    </row>
    <row r="47" spans="1:67" s="1122" customFormat="1" ht="28.5" customHeight="1" x14ac:dyDescent="0.25">
      <c r="A47" s="4239"/>
      <c r="B47" s="4240"/>
      <c r="C47" s="4205"/>
      <c r="D47" s="4205"/>
      <c r="E47" s="3637"/>
      <c r="F47" s="3637"/>
      <c r="G47" s="3640"/>
      <c r="H47" s="3298"/>
      <c r="I47" s="3287"/>
      <c r="J47" s="3640"/>
      <c r="K47" s="3637"/>
      <c r="L47" s="3640"/>
      <c r="M47" s="3640"/>
      <c r="N47" s="3298"/>
      <c r="O47" s="4215"/>
      <c r="P47" s="3716"/>
      <c r="Q47" s="3298"/>
      <c r="R47" s="3298"/>
      <c r="S47" s="3219" t="s">
        <v>768</v>
      </c>
      <c r="T47" s="1227">
        <f>118780000-26739532</f>
        <v>92040468</v>
      </c>
      <c r="U47" s="1227">
        <v>92040468</v>
      </c>
      <c r="V47" s="1156">
        <v>49019667</v>
      </c>
      <c r="W47" s="1157">
        <v>20</v>
      </c>
      <c r="X47" s="1121" t="s">
        <v>124</v>
      </c>
      <c r="Y47" s="3640"/>
      <c r="Z47" s="3640"/>
      <c r="AA47" s="3640"/>
      <c r="AB47" s="3640"/>
      <c r="AC47" s="3640"/>
      <c r="AD47" s="3640"/>
      <c r="AE47" s="3640"/>
      <c r="AF47" s="3640"/>
      <c r="AG47" s="3640"/>
      <c r="AH47" s="3640"/>
      <c r="AI47" s="3640"/>
      <c r="AJ47" s="3640"/>
      <c r="AK47" s="3640"/>
      <c r="AL47" s="3640"/>
      <c r="AM47" s="3640"/>
      <c r="AN47" s="3640"/>
      <c r="AO47" s="3640"/>
      <c r="AP47" s="3640"/>
      <c r="AQ47" s="3640"/>
      <c r="AR47" s="3640"/>
      <c r="AS47" s="3640"/>
      <c r="AT47" s="3640"/>
      <c r="AU47" s="3640"/>
      <c r="AV47" s="3640"/>
      <c r="AW47" s="3640"/>
      <c r="AX47" s="3640"/>
      <c r="AY47" s="3640"/>
      <c r="AZ47" s="3640"/>
      <c r="BA47" s="3640"/>
      <c r="BB47" s="3640"/>
      <c r="BC47" s="3640"/>
      <c r="BD47" s="3640"/>
      <c r="BE47" s="3640"/>
      <c r="BF47" s="3716"/>
      <c r="BG47" s="3716"/>
      <c r="BH47" s="4215"/>
      <c r="BI47" s="3640"/>
      <c r="BJ47" s="3287"/>
      <c r="BK47" s="3617"/>
      <c r="BL47" s="3617"/>
      <c r="BM47" s="3617"/>
      <c r="BN47" s="3617"/>
      <c r="BO47" s="3287"/>
    </row>
    <row r="48" spans="1:67" s="1122" customFormat="1" ht="28.5" customHeight="1" x14ac:dyDescent="0.25">
      <c r="A48" s="4239"/>
      <c r="B48" s="4240"/>
      <c r="C48" s="4205"/>
      <c r="D48" s="4205"/>
      <c r="E48" s="3637"/>
      <c r="F48" s="3637"/>
      <c r="G48" s="3640"/>
      <c r="H48" s="3298"/>
      <c r="I48" s="3287"/>
      <c r="J48" s="3640"/>
      <c r="K48" s="3637"/>
      <c r="L48" s="3640"/>
      <c r="M48" s="3640"/>
      <c r="N48" s="3298"/>
      <c r="O48" s="4215"/>
      <c r="P48" s="3716"/>
      <c r="Q48" s="3298"/>
      <c r="R48" s="3298"/>
      <c r="S48" s="4229"/>
      <c r="T48" s="1227">
        <f>50000000-50000000</f>
        <v>0</v>
      </c>
      <c r="U48" s="1156">
        <v>0</v>
      </c>
      <c r="V48" s="1156">
        <v>0</v>
      </c>
      <c r="W48" s="1157">
        <v>88</v>
      </c>
      <c r="X48" s="1126" t="s">
        <v>301</v>
      </c>
      <c r="Y48" s="3640"/>
      <c r="Z48" s="3640"/>
      <c r="AA48" s="3640"/>
      <c r="AB48" s="3640"/>
      <c r="AC48" s="3640"/>
      <c r="AD48" s="3640"/>
      <c r="AE48" s="3640"/>
      <c r="AF48" s="3640"/>
      <c r="AG48" s="3640"/>
      <c r="AH48" s="3640"/>
      <c r="AI48" s="3640"/>
      <c r="AJ48" s="3640"/>
      <c r="AK48" s="3640"/>
      <c r="AL48" s="3640"/>
      <c r="AM48" s="3640"/>
      <c r="AN48" s="3640"/>
      <c r="AO48" s="3640"/>
      <c r="AP48" s="3640"/>
      <c r="AQ48" s="3640"/>
      <c r="AR48" s="3640"/>
      <c r="AS48" s="3640"/>
      <c r="AT48" s="3640"/>
      <c r="AU48" s="3640"/>
      <c r="AV48" s="3640"/>
      <c r="AW48" s="3640"/>
      <c r="AX48" s="3640"/>
      <c r="AY48" s="3640"/>
      <c r="AZ48" s="3640"/>
      <c r="BA48" s="3640"/>
      <c r="BB48" s="3640"/>
      <c r="BC48" s="3640"/>
      <c r="BD48" s="3640"/>
      <c r="BE48" s="3640"/>
      <c r="BF48" s="3716"/>
      <c r="BG48" s="3716"/>
      <c r="BH48" s="4215"/>
      <c r="BI48" s="3640"/>
      <c r="BJ48" s="3287"/>
      <c r="BK48" s="3617"/>
      <c r="BL48" s="3617"/>
      <c r="BM48" s="3617"/>
      <c r="BN48" s="3617"/>
      <c r="BO48" s="3287"/>
    </row>
    <row r="49" spans="1:67" s="1122" customFormat="1" ht="28.5" customHeight="1" x14ac:dyDescent="0.25">
      <c r="A49" s="4239"/>
      <c r="B49" s="4240"/>
      <c r="C49" s="4205"/>
      <c r="D49" s="4205"/>
      <c r="E49" s="3637"/>
      <c r="F49" s="3637"/>
      <c r="G49" s="3640"/>
      <c r="H49" s="3298"/>
      <c r="I49" s="3287"/>
      <c r="J49" s="3640"/>
      <c r="K49" s="3637"/>
      <c r="L49" s="3640"/>
      <c r="M49" s="3640"/>
      <c r="N49" s="3298"/>
      <c r="O49" s="4215"/>
      <c r="P49" s="3716"/>
      <c r="Q49" s="3298"/>
      <c r="R49" s="3289"/>
      <c r="S49" s="3259" t="s">
        <v>769</v>
      </c>
      <c r="T49" s="1228">
        <f>0+26739532</f>
        <v>26739532</v>
      </c>
      <c r="U49" s="1156">
        <v>4004032</v>
      </c>
      <c r="V49" s="1156">
        <v>0</v>
      </c>
      <c r="W49" s="1157">
        <v>20</v>
      </c>
      <c r="X49" s="1121" t="s">
        <v>124</v>
      </c>
      <c r="Y49" s="3640"/>
      <c r="Z49" s="3640"/>
      <c r="AA49" s="3640"/>
      <c r="AB49" s="3640"/>
      <c r="AC49" s="3640"/>
      <c r="AD49" s="3640"/>
      <c r="AE49" s="3640"/>
      <c r="AF49" s="3640"/>
      <c r="AG49" s="3640"/>
      <c r="AH49" s="3640"/>
      <c r="AI49" s="3640"/>
      <c r="AJ49" s="3640"/>
      <c r="AK49" s="3640"/>
      <c r="AL49" s="3640"/>
      <c r="AM49" s="3640"/>
      <c r="AN49" s="3640"/>
      <c r="AO49" s="3640"/>
      <c r="AP49" s="3640"/>
      <c r="AQ49" s="3640"/>
      <c r="AR49" s="3640"/>
      <c r="AS49" s="3640"/>
      <c r="AT49" s="3640"/>
      <c r="AU49" s="3640"/>
      <c r="AV49" s="3640"/>
      <c r="AW49" s="3640"/>
      <c r="AX49" s="3640"/>
      <c r="AY49" s="3640"/>
      <c r="AZ49" s="3640"/>
      <c r="BA49" s="3640"/>
      <c r="BB49" s="3640"/>
      <c r="BC49" s="3640"/>
      <c r="BD49" s="3640"/>
      <c r="BE49" s="3640"/>
      <c r="BF49" s="3716"/>
      <c r="BG49" s="3716"/>
      <c r="BH49" s="4215"/>
      <c r="BI49" s="3640"/>
      <c r="BJ49" s="3287"/>
      <c r="BK49" s="3617"/>
      <c r="BL49" s="3617"/>
      <c r="BM49" s="3617"/>
      <c r="BN49" s="3617"/>
      <c r="BO49" s="3287"/>
    </row>
    <row r="50" spans="1:67" s="1122" customFormat="1" ht="34.5" customHeight="1" x14ac:dyDescent="0.25">
      <c r="A50" s="4239"/>
      <c r="B50" s="4240"/>
      <c r="C50" s="4205"/>
      <c r="D50" s="4205"/>
      <c r="E50" s="3637"/>
      <c r="F50" s="3637"/>
      <c r="G50" s="3641"/>
      <c r="H50" s="3290"/>
      <c r="I50" s="3288"/>
      <c r="J50" s="3641"/>
      <c r="K50" s="3637"/>
      <c r="L50" s="3640"/>
      <c r="M50" s="3640"/>
      <c r="N50" s="3298"/>
      <c r="O50" s="4210"/>
      <c r="P50" s="3716"/>
      <c r="Q50" s="3298"/>
      <c r="R50" s="3289"/>
      <c r="S50" s="3259"/>
      <c r="T50" s="1229">
        <f>0+50000000</f>
        <v>50000000</v>
      </c>
      <c r="U50" s="1156">
        <v>0</v>
      </c>
      <c r="V50" s="1156">
        <v>0</v>
      </c>
      <c r="W50" s="1157">
        <v>88</v>
      </c>
      <c r="X50" s="1126" t="s">
        <v>301</v>
      </c>
      <c r="Y50" s="3640"/>
      <c r="Z50" s="3640"/>
      <c r="AA50" s="3640"/>
      <c r="AB50" s="3640"/>
      <c r="AC50" s="3640"/>
      <c r="AD50" s="3640"/>
      <c r="AE50" s="3640"/>
      <c r="AF50" s="3640"/>
      <c r="AG50" s="3640"/>
      <c r="AH50" s="3640"/>
      <c r="AI50" s="3640"/>
      <c r="AJ50" s="3640"/>
      <c r="AK50" s="3640"/>
      <c r="AL50" s="3640"/>
      <c r="AM50" s="3640"/>
      <c r="AN50" s="3640"/>
      <c r="AO50" s="3640"/>
      <c r="AP50" s="3640"/>
      <c r="AQ50" s="3640"/>
      <c r="AR50" s="3640"/>
      <c r="AS50" s="3640"/>
      <c r="AT50" s="3640"/>
      <c r="AU50" s="3640"/>
      <c r="AV50" s="3640"/>
      <c r="AW50" s="3640"/>
      <c r="AX50" s="3640"/>
      <c r="AY50" s="3640"/>
      <c r="AZ50" s="3640"/>
      <c r="BA50" s="3640"/>
      <c r="BB50" s="3640"/>
      <c r="BC50" s="3640"/>
      <c r="BD50" s="3640"/>
      <c r="BE50" s="3640"/>
      <c r="BF50" s="3716"/>
      <c r="BG50" s="3716"/>
      <c r="BH50" s="4215"/>
      <c r="BI50" s="3640"/>
      <c r="BJ50" s="3287"/>
      <c r="BK50" s="3617"/>
      <c r="BL50" s="3617"/>
      <c r="BM50" s="3617"/>
      <c r="BN50" s="3617"/>
      <c r="BO50" s="3287"/>
    </row>
    <row r="51" spans="1:67" s="1122" customFormat="1" ht="103.5" customHeight="1" x14ac:dyDescent="0.25">
      <c r="A51" s="4239"/>
      <c r="B51" s="4240"/>
      <c r="C51" s="4205"/>
      <c r="D51" s="4205"/>
      <c r="E51" s="3637"/>
      <c r="F51" s="3637"/>
      <c r="G51" s="1155">
        <v>26</v>
      </c>
      <c r="H51" s="1123" t="s">
        <v>770</v>
      </c>
      <c r="I51" s="1123" t="s">
        <v>771</v>
      </c>
      <c r="J51" s="1127">
        <v>2</v>
      </c>
      <c r="K51" s="1127">
        <v>2</v>
      </c>
      <c r="L51" s="3640"/>
      <c r="M51" s="3640"/>
      <c r="N51" s="3298"/>
      <c r="O51" s="1175">
        <f>T51/P45</f>
        <v>3.2486844110028952E-2</v>
      </c>
      <c r="P51" s="3716"/>
      <c r="Q51" s="3298"/>
      <c r="R51" s="3290"/>
      <c r="S51" s="1178" t="s">
        <v>772</v>
      </c>
      <c r="T51" s="1156">
        <v>44350000</v>
      </c>
      <c r="U51" s="1156">
        <v>30008000</v>
      </c>
      <c r="V51" s="1156">
        <v>14560000</v>
      </c>
      <c r="W51" s="1157">
        <v>20</v>
      </c>
      <c r="X51" s="1121" t="s">
        <v>124</v>
      </c>
      <c r="Y51" s="3640"/>
      <c r="Z51" s="3640"/>
      <c r="AA51" s="3640"/>
      <c r="AB51" s="3640"/>
      <c r="AC51" s="3640"/>
      <c r="AD51" s="3640"/>
      <c r="AE51" s="3640"/>
      <c r="AF51" s="3640"/>
      <c r="AG51" s="3640"/>
      <c r="AH51" s="3640"/>
      <c r="AI51" s="3640"/>
      <c r="AJ51" s="3640"/>
      <c r="AK51" s="3640"/>
      <c r="AL51" s="3640"/>
      <c r="AM51" s="3640"/>
      <c r="AN51" s="3640"/>
      <c r="AO51" s="3640"/>
      <c r="AP51" s="3640"/>
      <c r="AQ51" s="3640"/>
      <c r="AR51" s="3640"/>
      <c r="AS51" s="3640"/>
      <c r="AT51" s="3640"/>
      <c r="AU51" s="3640"/>
      <c r="AV51" s="3640"/>
      <c r="AW51" s="3640"/>
      <c r="AX51" s="3640"/>
      <c r="AY51" s="3640"/>
      <c r="AZ51" s="3640"/>
      <c r="BA51" s="3640"/>
      <c r="BB51" s="3640"/>
      <c r="BC51" s="3640"/>
      <c r="BD51" s="3640"/>
      <c r="BE51" s="3640"/>
      <c r="BF51" s="3716"/>
      <c r="BG51" s="3716"/>
      <c r="BH51" s="4215"/>
      <c r="BI51" s="3640"/>
      <c r="BJ51" s="3287"/>
      <c r="BK51" s="3617"/>
      <c r="BL51" s="3617"/>
      <c r="BM51" s="3617"/>
      <c r="BN51" s="3617"/>
      <c r="BO51" s="3287"/>
    </row>
    <row r="52" spans="1:67" s="1122" customFormat="1" ht="28.5" x14ac:dyDescent="0.25">
      <c r="A52" s="4239"/>
      <c r="B52" s="4240"/>
      <c r="C52" s="4205"/>
      <c r="D52" s="4205"/>
      <c r="E52" s="3637"/>
      <c r="F52" s="3637"/>
      <c r="G52" s="1155">
        <v>27</v>
      </c>
      <c r="H52" s="1123" t="s">
        <v>773</v>
      </c>
      <c r="I52" s="1123" t="s">
        <v>774</v>
      </c>
      <c r="J52" s="1230">
        <f>3+1.5</f>
        <v>4.5</v>
      </c>
      <c r="K52" s="1127">
        <v>0</v>
      </c>
      <c r="L52" s="3640"/>
      <c r="M52" s="3640"/>
      <c r="N52" s="3298"/>
      <c r="O52" s="1175">
        <f>T52/P45</f>
        <v>0.7325105774527384</v>
      </c>
      <c r="P52" s="3716"/>
      <c r="Q52" s="3298"/>
      <c r="R52" s="1123" t="s">
        <v>775</v>
      </c>
      <c r="S52" s="1123" t="s">
        <v>776</v>
      </c>
      <c r="T52" s="1156">
        <v>1000000000</v>
      </c>
      <c r="U52" s="1231">
        <v>0</v>
      </c>
      <c r="V52" s="1231">
        <v>0</v>
      </c>
      <c r="W52" s="1157">
        <v>46</v>
      </c>
      <c r="X52" s="1126" t="s">
        <v>866</v>
      </c>
      <c r="Y52" s="3640"/>
      <c r="Z52" s="3640"/>
      <c r="AA52" s="3640"/>
      <c r="AB52" s="3640"/>
      <c r="AC52" s="3640"/>
      <c r="AD52" s="3640"/>
      <c r="AE52" s="3640"/>
      <c r="AF52" s="3640"/>
      <c r="AG52" s="3640"/>
      <c r="AH52" s="3640"/>
      <c r="AI52" s="3640"/>
      <c r="AJ52" s="3640"/>
      <c r="AK52" s="3640"/>
      <c r="AL52" s="3640"/>
      <c r="AM52" s="3640"/>
      <c r="AN52" s="3640"/>
      <c r="AO52" s="3640"/>
      <c r="AP52" s="3640"/>
      <c r="AQ52" s="3640"/>
      <c r="AR52" s="3640"/>
      <c r="AS52" s="3640"/>
      <c r="AT52" s="3640"/>
      <c r="AU52" s="3640"/>
      <c r="AV52" s="3640"/>
      <c r="AW52" s="3640"/>
      <c r="AX52" s="3640"/>
      <c r="AY52" s="3640"/>
      <c r="AZ52" s="3640"/>
      <c r="BA52" s="3640"/>
      <c r="BB52" s="3640"/>
      <c r="BC52" s="3640"/>
      <c r="BD52" s="3640"/>
      <c r="BE52" s="3640"/>
      <c r="BF52" s="3716"/>
      <c r="BG52" s="3716"/>
      <c r="BH52" s="4215"/>
      <c r="BI52" s="3640"/>
      <c r="BJ52" s="3287"/>
      <c r="BK52" s="3617"/>
      <c r="BL52" s="3617"/>
      <c r="BM52" s="3617"/>
      <c r="BN52" s="3617"/>
      <c r="BO52" s="3287"/>
    </row>
    <row r="53" spans="1:67" s="1122" customFormat="1" ht="62.25" customHeight="1" x14ac:dyDescent="0.25">
      <c r="A53" s="4239"/>
      <c r="B53" s="4240"/>
      <c r="C53" s="4205"/>
      <c r="D53" s="4205"/>
      <c r="E53" s="3637"/>
      <c r="F53" s="3637"/>
      <c r="G53" s="1155">
        <v>28</v>
      </c>
      <c r="H53" s="1123" t="s">
        <v>777</v>
      </c>
      <c r="I53" s="1123" t="s">
        <v>778</v>
      </c>
      <c r="J53" s="1127">
        <v>2</v>
      </c>
      <c r="K53" s="1127">
        <v>2</v>
      </c>
      <c r="L53" s="3641"/>
      <c r="M53" s="3641"/>
      <c r="N53" s="3290"/>
      <c r="O53" s="1175">
        <f>T53/P45</f>
        <v>2.4361836784923173E-2</v>
      </c>
      <c r="P53" s="3717"/>
      <c r="Q53" s="3290"/>
      <c r="R53" s="1123" t="s">
        <v>779</v>
      </c>
      <c r="S53" s="1123" t="s">
        <v>780</v>
      </c>
      <c r="T53" s="1156">
        <v>33258000</v>
      </c>
      <c r="U53" s="1156">
        <v>10064000</v>
      </c>
      <c r="V53" s="1156">
        <v>5020000</v>
      </c>
      <c r="W53" s="1157">
        <v>20</v>
      </c>
      <c r="X53" s="1121" t="s">
        <v>124</v>
      </c>
      <c r="Y53" s="3641"/>
      <c r="Z53" s="3641"/>
      <c r="AA53" s="3641"/>
      <c r="AB53" s="3641"/>
      <c r="AC53" s="3641"/>
      <c r="AD53" s="3641"/>
      <c r="AE53" s="3641"/>
      <c r="AF53" s="3641"/>
      <c r="AG53" s="3641"/>
      <c r="AH53" s="3641"/>
      <c r="AI53" s="3641"/>
      <c r="AJ53" s="3641"/>
      <c r="AK53" s="3641"/>
      <c r="AL53" s="3641"/>
      <c r="AM53" s="3641"/>
      <c r="AN53" s="3641"/>
      <c r="AO53" s="3641"/>
      <c r="AP53" s="3641"/>
      <c r="AQ53" s="3641"/>
      <c r="AR53" s="3641"/>
      <c r="AS53" s="3641"/>
      <c r="AT53" s="3641"/>
      <c r="AU53" s="3641"/>
      <c r="AV53" s="3641"/>
      <c r="AW53" s="3641"/>
      <c r="AX53" s="3641"/>
      <c r="AY53" s="3641"/>
      <c r="AZ53" s="3641"/>
      <c r="BA53" s="3641"/>
      <c r="BB53" s="3641"/>
      <c r="BC53" s="3641"/>
      <c r="BD53" s="3641"/>
      <c r="BE53" s="3641"/>
      <c r="BF53" s="3717"/>
      <c r="BG53" s="3717"/>
      <c r="BH53" s="4210"/>
      <c r="BI53" s="3641"/>
      <c r="BJ53" s="3288"/>
      <c r="BK53" s="3618"/>
      <c r="BL53" s="3618"/>
      <c r="BM53" s="3618"/>
      <c r="BN53" s="3618"/>
      <c r="BO53" s="3288"/>
    </row>
    <row r="54" spans="1:67" s="1122" customFormat="1" ht="70.5" customHeight="1" x14ac:dyDescent="0.25">
      <c r="A54" s="4239"/>
      <c r="B54" s="4240"/>
      <c r="C54" s="4205"/>
      <c r="D54" s="4205"/>
      <c r="E54" s="3637"/>
      <c r="F54" s="3637"/>
      <c r="G54" s="3639">
        <v>29</v>
      </c>
      <c r="H54" s="3297" t="s">
        <v>781</v>
      </c>
      <c r="I54" s="3296" t="s">
        <v>782</v>
      </c>
      <c r="J54" s="3639">
        <v>1</v>
      </c>
      <c r="K54" s="3639">
        <v>0.5</v>
      </c>
      <c r="L54" s="1169" t="s">
        <v>783</v>
      </c>
      <c r="M54" s="3639" t="s">
        <v>784</v>
      </c>
      <c r="N54" s="3296" t="s">
        <v>785</v>
      </c>
      <c r="O54" s="4209">
        <f>SUM(T54:T56)/P54</f>
        <v>1</v>
      </c>
      <c r="P54" s="3715">
        <f>SUM(T54:T56)</f>
        <v>122170000</v>
      </c>
      <c r="Q54" s="3297" t="s">
        <v>786</v>
      </c>
      <c r="R54" s="4226" t="s">
        <v>787</v>
      </c>
      <c r="S54" s="1123" t="s">
        <v>788</v>
      </c>
      <c r="T54" s="1156">
        <v>15000000</v>
      </c>
      <c r="U54" s="1156">
        <v>13800000</v>
      </c>
      <c r="V54" s="1156">
        <v>13800000</v>
      </c>
      <c r="W54" s="1157">
        <v>20</v>
      </c>
      <c r="X54" s="1121" t="s">
        <v>124</v>
      </c>
      <c r="Y54" s="4223">
        <v>210</v>
      </c>
      <c r="Z54" s="4223"/>
      <c r="AA54" s="4223">
        <v>140</v>
      </c>
      <c r="AB54" s="4223"/>
      <c r="AC54" s="4223"/>
      <c r="AD54" s="4223"/>
      <c r="AE54" s="4223"/>
      <c r="AF54" s="4223"/>
      <c r="AG54" s="3639"/>
      <c r="AH54" s="4223"/>
      <c r="AI54" s="4223"/>
      <c r="AJ54" s="4223"/>
      <c r="AK54" s="4223"/>
      <c r="AL54" s="4223"/>
      <c r="AM54" s="4223"/>
      <c r="AN54" s="4223"/>
      <c r="AO54" s="4223"/>
      <c r="AP54" s="4223"/>
      <c r="AQ54" s="4223"/>
      <c r="AR54" s="4223"/>
      <c r="AS54" s="4223"/>
      <c r="AT54" s="4223"/>
      <c r="AU54" s="4223"/>
      <c r="AV54" s="4223"/>
      <c r="AW54" s="4223"/>
      <c r="AX54" s="4223"/>
      <c r="AY54" s="4223"/>
      <c r="AZ54" s="4223"/>
      <c r="BA54" s="4223"/>
      <c r="BB54" s="4223"/>
      <c r="BC54" s="4223">
        <f>Y54+AA54</f>
        <v>350</v>
      </c>
      <c r="BD54" s="4223"/>
      <c r="BE54" s="4223">
        <v>1</v>
      </c>
      <c r="BF54" s="3715">
        <v>13800000</v>
      </c>
      <c r="BG54" s="3715">
        <v>13800000</v>
      </c>
      <c r="BH54" s="4209">
        <f>BG54/BF54</f>
        <v>1</v>
      </c>
      <c r="BI54" s="3639" t="s">
        <v>668</v>
      </c>
      <c r="BJ54" s="3296" t="s">
        <v>789</v>
      </c>
      <c r="BK54" s="3616">
        <v>43466</v>
      </c>
      <c r="BL54" s="3616" t="s">
        <v>790</v>
      </c>
      <c r="BM54" s="3616">
        <v>43830</v>
      </c>
      <c r="BN54" s="3616">
        <v>43626</v>
      </c>
      <c r="BO54" s="3296" t="s">
        <v>791</v>
      </c>
    </row>
    <row r="55" spans="1:67" s="1122" customFormat="1" ht="45.75" customHeight="1" x14ac:dyDescent="0.25">
      <c r="A55" s="4239"/>
      <c r="B55" s="4240"/>
      <c r="C55" s="4205"/>
      <c r="D55" s="4205"/>
      <c r="E55" s="3637"/>
      <c r="F55" s="3637"/>
      <c r="G55" s="3640"/>
      <c r="H55" s="3298"/>
      <c r="I55" s="3287"/>
      <c r="J55" s="3640"/>
      <c r="K55" s="3640"/>
      <c r="L55" s="1171" t="s">
        <v>792</v>
      </c>
      <c r="M55" s="3640"/>
      <c r="N55" s="3287"/>
      <c r="O55" s="4215"/>
      <c r="P55" s="3716"/>
      <c r="Q55" s="3298"/>
      <c r="R55" s="4227"/>
      <c r="S55" s="3296" t="s">
        <v>793</v>
      </c>
      <c r="T55" s="1156">
        <v>7170000</v>
      </c>
      <c r="U55" s="1156">
        <v>0</v>
      </c>
      <c r="V55" s="1156">
        <v>0</v>
      </c>
      <c r="W55" s="1157">
        <v>20</v>
      </c>
      <c r="X55" s="1121" t="s">
        <v>124</v>
      </c>
      <c r="Y55" s="4224"/>
      <c r="Z55" s="4224"/>
      <c r="AA55" s="4224"/>
      <c r="AB55" s="4224"/>
      <c r="AC55" s="4224"/>
      <c r="AD55" s="4224"/>
      <c r="AE55" s="4224"/>
      <c r="AF55" s="4224"/>
      <c r="AG55" s="3640"/>
      <c r="AH55" s="4224"/>
      <c r="AI55" s="4224"/>
      <c r="AJ55" s="4224"/>
      <c r="AK55" s="4224"/>
      <c r="AL55" s="4224"/>
      <c r="AM55" s="4224"/>
      <c r="AN55" s="4224"/>
      <c r="AO55" s="4224"/>
      <c r="AP55" s="4224"/>
      <c r="AQ55" s="4224"/>
      <c r="AR55" s="4224"/>
      <c r="AS55" s="4224"/>
      <c r="AT55" s="4224"/>
      <c r="AU55" s="4224"/>
      <c r="AV55" s="4224"/>
      <c r="AW55" s="4224"/>
      <c r="AX55" s="4224"/>
      <c r="AY55" s="4224"/>
      <c r="AZ55" s="4224"/>
      <c r="BA55" s="4224"/>
      <c r="BB55" s="4224"/>
      <c r="BC55" s="4224"/>
      <c r="BD55" s="4224"/>
      <c r="BE55" s="4224"/>
      <c r="BF55" s="3716"/>
      <c r="BG55" s="3716"/>
      <c r="BH55" s="4215"/>
      <c r="BI55" s="3640"/>
      <c r="BJ55" s="3287"/>
      <c r="BK55" s="3617"/>
      <c r="BL55" s="3617"/>
      <c r="BM55" s="3617"/>
      <c r="BN55" s="3617"/>
      <c r="BO55" s="3287"/>
    </row>
    <row r="56" spans="1:67" s="1122" customFormat="1" ht="45.75" customHeight="1" x14ac:dyDescent="0.25">
      <c r="A56" s="4239"/>
      <c r="B56" s="4240"/>
      <c r="C56" s="4205"/>
      <c r="D56" s="4205"/>
      <c r="E56" s="3637"/>
      <c r="F56" s="3637"/>
      <c r="G56" s="3641"/>
      <c r="H56" s="3290"/>
      <c r="I56" s="3288"/>
      <c r="J56" s="3641"/>
      <c r="K56" s="3641"/>
      <c r="L56" s="1172"/>
      <c r="M56" s="3641"/>
      <c r="N56" s="3288"/>
      <c r="O56" s="4210"/>
      <c r="P56" s="3717"/>
      <c r="Q56" s="3290"/>
      <c r="R56" s="4228"/>
      <c r="S56" s="3288"/>
      <c r="T56" s="1232">
        <v>100000000</v>
      </c>
      <c r="U56" s="1232"/>
      <c r="V56" s="1232"/>
      <c r="W56" s="1183">
        <v>88</v>
      </c>
      <c r="X56" s="1121" t="s">
        <v>124</v>
      </c>
      <c r="Y56" s="4225"/>
      <c r="Z56" s="4225"/>
      <c r="AA56" s="4225"/>
      <c r="AB56" s="4225"/>
      <c r="AC56" s="4225"/>
      <c r="AD56" s="4225"/>
      <c r="AE56" s="4225"/>
      <c r="AF56" s="4225"/>
      <c r="AG56" s="3641"/>
      <c r="AH56" s="4225"/>
      <c r="AI56" s="4225"/>
      <c r="AJ56" s="4225"/>
      <c r="AK56" s="4225"/>
      <c r="AL56" s="4225"/>
      <c r="AM56" s="4225"/>
      <c r="AN56" s="4225"/>
      <c r="AO56" s="4225"/>
      <c r="AP56" s="4225"/>
      <c r="AQ56" s="4225"/>
      <c r="AR56" s="4225"/>
      <c r="AS56" s="4225"/>
      <c r="AT56" s="4225"/>
      <c r="AU56" s="4225"/>
      <c r="AV56" s="4225"/>
      <c r="AW56" s="4225"/>
      <c r="AX56" s="4225"/>
      <c r="AY56" s="4225"/>
      <c r="AZ56" s="4225"/>
      <c r="BA56" s="4225"/>
      <c r="BB56" s="4225"/>
      <c r="BC56" s="4225"/>
      <c r="BD56" s="4225"/>
      <c r="BE56" s="4225"/>
      <c r="BF56" s="3717"/>
      <c r="BG56" s="3717"/>
      <c r="BH56" s="4210"/>
      <c r="BI56" s="3641"/>
      <c r="BJ56" s="3288"/>
      <c r="BK56" s="3618"/>
      <c r="BL56" s="3618"/>
      <c r="BM56" s="3618"/>
      <c r="BN56" s="3618"/>
      <c r="BO56" s="3288"/>
    </row>
    <row r="57" spans="1:67" s="1122" customFormat="1" ht="96.75" customHeight="1" x14ac:dyDescent="0.25">
      <c r="A57" s="4239"/>
      <c r="B57" s="4240"/>
      <c r="C57" s="4205"/>
      <c r="D57" s="4205"/>
      <c r="E57" s="3637"/>
      <c r="F57" s="3637"/>
      <c r="G57" s="3637">
        <v>30</v>
      </c>
      <c r="H57" s="3297" t="s">
        <v>794</v>
      </c>
      <c r="I57" s="3297" t="s">
        <v>795</v>
      </c>
      <c r="J57" s="3639">
        <v>1</v>
      </c>
      <c r="K57" s="3639">
        <v>1</v>
      </c>
      <c r="L57" s="3639" t="s">
        <v>796</v>
      </c>
      <c r="M57" s="3639" t="s">
        <v>797</v>
      </c>
      <c r="N57" s="3297" t="s">
        <v>798</v>
      </c>
      <c r="O57" s="4209">
        <f>T57/P57</f>
        <v>1</v>
      </c>
      <c r="P57" s="3715">
        <v>22169913</v>
      </c>
      <c r="Q57" s="3297" t="s">
        <v>799</v>
      </c>
      <c r="R57" s="1118" t="s">
        <v>800</v>
      </c>
      <c r="S57" s="4066" t="s">
        <v>801</v>
      </c>
      <c r="T57" s="4221">
        <v>22169913</v>
      </c>
      <c r="U57" s="3715">
        <v>22169913</v>
      </c>
      <c r="V57" s="3715">
        <v>21120553</v>
      </c>
      <c r="W57" s="3263">
        <v>20</v>
      </c>
      <c r="X57" s="3296" t="s">
        <v>124</v>
      </c>
      <c r="Y57" s="4216">
        <v>8</v>
      </c>
      <c r="Z57" s="4216"/>
      <c r="AA57" s="4216">
        <v>12</v>
      </c>
      <c r="AB57" s="4216"/>
      <c r="AC57" s="4216"/>
      <c r="AD57" s="4216"/>
      <c r="AE57" s="4216"/>
      <c r="AF57" s="4216"/>
      <c r="AG57" s="4216"/>
      <c r="AH57" s="4216"/>
      <c r="AI57" s="4216"/>
      <c r="AJ57" s="4216"/>
      <c r="AK57" s="4216"/>
      <c r="AL57" s="4216"/>
      <c r="AM57" s="4216"/>
      <c r="AN57" s="4216"/>
      <c r="AO57" s="4216"/>
      <c r="AP57" s="4216"/>
      <c r="AQ57" s="4216"/>
      <c r="AR57" s="4216"/>
      <c r="AS57" s="4216"/>
      <c r="AT57" s="4216"/>
      <c r="AU57" s="4216"/>
      <c r="AV57" s="4216"/>
      <c r="AW57" s="4216"/>
      <c r="AX57" s="4216"/>
      <c r="AY57" s="4216"/>
      <c r="AZ57" s="4216"/>
      <c r="BA57" s="4216"/>
      <c r="BB57" s="4216"/>
      <c r="BC57" s="4216">
        <f>+Y57+AA57</f>
        <v>20</v>
      </c>
      <c r="BD57" s="4216"/>
      <c r="BE57" s="4216">
        <v>4</v>
      </c>
      <c r="BF57" s="4218">
        <v>22169913</v>
      </c>
      <c r="BG57" s="4218">
        <v>21120553</v>
      </c>
      <c r="BH57" s="4209">
        <f>BG57/BF57</f>
        <v>0.95266738304295551</v>
      </c>
      <c r="BI57" s="3639" t="s">
        <v>668</v>
      </c>
      <c r="BJ57" s="3296" t="s">
        <v>669</v>
      </c>
      <c r="BK57" s="3616">
        <v>43101</v>
      </c>
      <c r="BL57" s="3616">
        <v>43482</v>
      </c>
      <c r="BM57" s="3616">
        <v>43465</v>
      </c>
      <c r="BN57" s="3616">
        <v>43785</v>
      </c>
      <c r="BO57" s="3296" t="s">
        <v>670</v>
      </c>
    </row>
    <row r="58" spans="1:67" s="1122" customFormat="1" ht="80.25" customHeight="1" x14ac:dyDescent="0.25">
      <c r="A58" s="4239"/>
      <c r="B58" s="4240"/>
      <c r="C58" s="4205"/>
      <c r="D58" s="4205"/>
      <c r="E58" s="3637"/>
      <c r="F58" s="3637"/>
      <c r="G58" s="3639"/>
      <c r="H58" s="3298"/>
      <c r="I58" s="3298"/>
      <c r="J58" s="3640"/>
      <c r="K58" s="3641"/>
      <c r="L58" s="3640"/>
      <c r="M58" s="3640"/>
      <c r="N58" s="3298"/>
      <c r="O58" s="4215"/>
      <c r="P58" s="3716"/>
      <c r="Q58" s="3298"/>
      <c r="R58" s="1118" t="s">
        <v>802</v>
      </c>
      <c r="S58" s="4067"/>
      <c r="T58" s="4222"/>
      <c r="U58" s="3717"/>
      <c r="V58" s="3717"/>
      <c r="W58" s="3292"/>
      <c r="X58" s="3288"/>
      <c r="Y58" s="4220"/>
      <c r="Z58" s="4217"/>
      <c r="AA58" s="4220"/>
      <c r="AB58" s="4217"/>
      <c r="AC58" s="4220"/>
      <c r="AD58" s="4217"/>
      <c r="AE58" s="4220"/>
      <c r="AF58" s="4217"/>
      <c r="AG58" s="4220"/>
      <c r="AH58" s="4217"/>
      <c r="AI58" s="4220"/>
      <c r="AJ58" s="4217"/>
      <c r="AK58" s="4220"/>
      <c r="AL58" s="4217"/>
      <c r="AM58" s="4220"/>
      <c r="AN58" s="4217"/>
      <c r="AO58" s="4220"/>
      <c r="AP58" s="4217"/>
      <c r="AQ58" s="4220"/>
      <c r="AR58" s="4217"/>
      <c r="AS58" s="4220"/>
      <c r="AT58" s="4217"/>
      <c r="AU58" s="4220"/>
      <c r="AV58" s="4217"/>
      <c r="AW58" s="4220"/>
      <c r="AX58" s="4217"/>
      <c r="AY58" s="4220"/>
      <c r="AZ58" s="4217"/>
      <c r="BA58" s="4220"/>
      <c r="BB58" s="4217"/>
      <c r="BC58" s="4220"/>
      <c r="BD58" s="4217"/>
      <c r="BE58" s="4217"/>
      <c r="BF58" s="4219"/>
      <c r="BG58" s="4219"/>
      <c r="BH58" s="4215"/>
      <c r="BI58" s="3640"/>
      <c r="BJ58" s="3287"/>
      <c r="BK58" s="3617"/>
      <c r="BL58" s="3618"/>
      <c r="BM58" s="3617"/>
      <c r="BN58" s="3618"/>
      <c r="BO58" s="3287"/>
    </row>
    <row r="59" spans="1:67" ht="15.75" thickBot="1" x14ac:dyDescent="0.3">
      <c r="A59" s="4239"/>
      <c r="B59" s="4240"/>
      <c r="C59" s="4205"/>
      <c r="D59" s="4205"/>
      <c r="E59" s="941">
        <v>6</v>
      </c>
      <c r="F59" s="1233" t="s">
        <v>803</v>
      </c>
      <c r="G59" s="1209"/>
      <c r="H59" s="1209"/>
      <c r="I59" s="1209"/>
      <c r="J59" s="1209"/>
      <c r="K59" s="1209"/>
      <c r="L59" s="1209"/>
      <c r="M59" s="1209"/>
      <c r="N59" s="1209"/>
      <c r="O59" s="1209"/>
      <c r="P59" s="1234"/>
      <c r="Q59" s="1209"/>
      <c r="R59" s="1209"/>
      <c r="S59" s="1209"/>
      <c r="T59" s="1234"/>
      <c r="U59" s="1234"/>
      <c r="V59" s="1234"/>
      <c r="W59" s="1209"/>
      <c r="X59" s="1209"/>
      <c r="Y59" s="1209"/>
      <c r="Z59" s="1209"/>
      <c r="AA59" s="1209"/>
      <c r="AB59" s="1209"/>
      <c r="AC59" s="1209"/>
      <c r="AD59" s="1209"/>
      <c r="AE59" s="1209"/>
      <c r="AF59" s="1209"/>
      <c r="AG59" s="1209"/>
      <c r="AH59" s="1209"/>
      <c r="AI59" s="1209"/>
      <c r="AJ59" s="1209"/>
      <c r="AK59" s="1209"/>
      <c r="AL59" s="1209"/>
      <c r="AM59" s="1209"/>
      <c r="AN59" s="1209"/>
      <c r="AO59" s="1209"/>
      <c r="AP59" s="1209"/>
      <c r="AQ59" s="1209"/>
      <c r="AR59" s="1209"/>
      <c r="AS59" s="1209"/>
      <c r="AT59" s="1209"/>
      <c r="AU59" s="1209"/>
      <c r="AV59" s="1209"/>
      <c r="AW59" s="1209"/>
      <c r="AX59" s="1209"/>
      <c r="AY59" s="1209"/>
      <c r="AZ59" s="1209"/>
      <c r="BA59" s="1209"/>
      <c r="BB59" s="1209"/>
      <c r="BC59" s="1209"/>
      <c r="BD59" s="1209"/>
      <c r="BE59" s="1209"/>
      <c r="BF59" s="1209"/>
      <c r="BG59" s="1209"/>
      <c r="BH59" s="1209"/>
      <c r="BI59" s="1209"/>
      <c r="BJ59" s="1209"/>
      <c r="BK59" s="1209"/>
      <c r="BL59" s="1209"/>
      <c r="BM59" s="1209"/>
      <c r="BN59" s="1209"/>
      <c r="BO59" s="1235"/>
    </row>
    <row r="60" spans="1:67" s="1122" customFormat="1" ht="99.75" x14ac:dyDescent="0.25">
      <c r="A60" s="4239"/>
      <c r="B60" s="4240"/>
      <c r="C60" s="4205"/>
      <c r="D60" s="4205"/>
      <c r="E60" s="3637"/>
      <c r="F60" s="3637"/>
      <c r="G60" s="1155">
        <v>31</v>
      </c>
      <c r="H60" s="1123" t="s">
        <v>804</v>
      </c>
      <c r="I60" s="1066" t="s">
        <v>805</v>
      </c>
      <c r="J60" s="1236">
        <v>4</v>
      </c>
      <c r="K60" s="1127">
        <v>4</v>
      </c>
      <c r="L60" s="3639" t="s">
        <v>806</v>
      </c>
      <c r="M60" s="3639" t="s">
        <v>807</v>
      </c>
      <c r="N60" s="3297" t="s">
        <v>808</v>
      </c>
      <c r="O60" s="1175">
        <f>T60/P60</f>
        <v>0.34666567637771994</v>
      </c>
      <c r="P60" s="3715">
        <v>475120588</v>
      </c>
      <c r="Q60" s="3297" t="s">
        <v>809</v>
      </c>
      <c r="R60" s="1123" t="s">
        <v>810</v>
      </c>
      <c r="S60" s="1123" t="s">
        <v>811</v>
      </c>
      <c r="T60" s="1156">
        <v>164708000</v>
      </c>
      <c r="U60" s="1119">
        <v>104186333</v>
      </c>
      <c r="V60" s="1119">
        <v>47524000</v>
      </c>
      <c r="W60" s="1157">
        <v>20</v>
      </c>
      <c r="X60" s="1121" t="s">
        <v>124</v>
      </c>
      <c r="Y60" s="3639">
        <v>170</v>
      </c>
      <c r="Z60" s="3639">
        <v>1387</v>
      </c>
      <c r="AA60" s="3639">
        <v>200</v>
      </c>
      <c r="AB60" s="3639">
        <v>628</v>
      </c>
      <c r="AC60" s="3639"/>
      <c r="AD60" s="3639"/>
      <c r="AE60" s="3639"/>
      <c r="AF60" s="3639"/>
      <c r="AG60" s="3639">
        <v>300</v>
      </c>
      <c r="AH60" s="3639">
        <v>1154</v>
      </c>
      <c r="AI60" s="3639">
        <v>10</v>
      </c>
      <c r="AJ60" s="3639"/>
      <c r="AK60" s="3639"/>
      <c r="AL60" s="3639">
        <v>20</v>
      </c>
      <c r="AM60" s="3639"/>
      <c r="AN60" s="3639">
        <v>20</v>
      </c>
      <c r="AO60" s="3639"/>
      <c r="AP60" s="3639">
        <v>19</v>
      </c>
      <c r="AQ60" s="3639"/>
      <c r="AR60" s="3639">
        <v>20</v>
      </c>
      <c r="AS60" s="3639"/>
      <c r="AT60" s="3639"/>
      <c r="AU60" s="3639"/>
      <c r="AV60" s="3639"/>
      <c r="AW60" s="3639"/>
      <c r="AX60" s="3639">
        <v>20</v>
      </c>
      <c r="AY60" s="3639"/>
      <c r="AZ60" s="3639">
        <v>23</v>
      </c>
      <c r="BA60" s="3639"/>
      <c r="BB60" s="3639">
        <v>75</v>
      </c>
      <c r="BC60" s="3639">
        <f>Y60+AA60</f>
        <v>370</v>
      </c>
      <c r="BD60" s="3639">
        <v>2015</v>
      </c>
      <c r="BE60" s="3639">
        <v>17</v>
      </c>
      <c r="BF60" s="3716">
        <v>408117394</v>
      </c>
      <c r="BG60" s="3716">
        <v>202553776</v>
      </c>
      <c r="BH60" s="4209">
        <f>BG60/BF60</f>
        <v>0.49631252913469304</v>
      </c>
      <c r="BI60" s="3640" t="s">
        <v>668</v>
      </c>
      <c r="BJ60" s="3287" t="s">
        <v>789</v>
      </c>
      <c r="BK60" s="3617">
        <v>43641</v>
      </c>
      <c r="BL60" s="3617">
        <v>43724</v>
      </c>
      <c r="BM60" s="3617">
        <v>43782</v>
      </c>
      <c r="BN60" s="3617">
        <v>43809</v>
      </c>
      <c r="BO60" s="3296" t="s">
        <v>791</v>
      </c>
    </row>
    <row r="61" spans="1:67" s="1122" customFormat="1" ht="128.25" x14ac:dyDescent="0.25">
      <c r="A61" s="4239"/>
      <c r="B61" s="4240"/>
      <c r="C61" s="4205"/>
      <c r="D61" s="4205"/>
      <c r="E61" s="3637"/>
      <c r="F61" s="3637"/>
      <c r="G61" s="1155">
        <v>32</v>
      </c>
      <c r="H61" s="1123" t="s">
        <v>812</v>
      </c>
      <c r="I61" s="1066" t="s">
        <v>813</v>
      </c>
      <c r="J61" s="1127">
        <v>25</v>
      </c>
      <c r="K61" s="1127">
        <v>20</v>
      </c>
      <c r="L61" s="3640"/>
      <c r="M61" s="3640"/>
      <c r="N61" s="3298"/>
      <c r="O61" s="1175">
        <f>T61/P60</f>
        <v>0.52705059373263785</v>
      </c>
      <c r="P61" s="3716"/>
      <c r="Q61" s="3298"/>
      <c r="R61" s="1123" t="s">
        <v>814</v>
      </c>
      <c r="S61" s="1123" t="s">
        <v>815</v>
      </c>
      <c r="T61" s="1156">
        <v>250412588</v>
      </c>
      <c r="U61" s="1124">
        <v>247942061</v>
      </c>
      <c r="V61" s="1124">
        <v>123059776</v>
      </c>
      <c r="W61" s="1157">
        <v>20</v>
      </c>
      <c r="X61" s="1121" t="s">
        <v>124</v>
      </c>
      <c r="Y61" s="3640"/>
      <c r="Z61" s="3640"/>
      <c r="AA61" s="3640"/>
      <c r="AB61" s="3640"/>
      <c r="AC61" s="3640"/>
      <c r="AD61" s="3640"/>
      <c r="AE61" s="3640"/>
      <c r="AF61" s="3640"/>
      <c r="AG61" s="3640"/>
      <c r="AH61" s="3640"/>
      <c r="AI61" s="3640"/>
      <c r="AJ61" s="3640"/>
      <c r="AK61" s="3640"/>
      <c r="AL61" s="3640"/>
      <c r="AM61" s="3640"/>
      <c r="AN61" s="3640"/>
      <c r="AO61" s="3640"/>
      <c r="AP61" s="3640"/>
      <c r="AQ61" s="3640"/>
      <c r="AR61" s="3640"/>
      <c r="AS61" s="3640"/>
      <c r="AT61" s="3640"/>
      <c r="AU61" s="3640"/>
      <c r="AV61" s="3640"/>
      <c r="AW61" s="3640"/>
      <c r="AX61" s="3640"/>
      <c r="AY61" s="3640"/>
      <c r="AZ61" s="3640"/>
      <c r="BA61" s="3640"/>
      <c r="BB61" s="3640"/>
      <c r="BC61" s="3640"/>
      <c r="BD61" s="3640"/>
      <c r="BE61" s="3640"/>
      <c r="BF61" s="3716"/>
      <c r="BG61" s="3716"/>
      <c r="BH61" s="4215"/>
      <c r="BI61" s="3640"/>
      <c r="BJ61" s="3287"/>
      <c r="BK61" s="3617"/>
      <c r="BL61" s="3617"/>
      <c r="BM61" s="3617"/>
      <c r="BN61" s="3617"/>
      <c r="BO61" s="3287"/>
    </row>
    <row r="62" spans="1:67" s="1122" customFormat="1" ht="52.5" customHeight="1" x14ac:dyDescent="0.25">
      <c r="A62" s="4239"/>
      <c r="B62" s="4240"/>
      <c r="C62" s="4205"/>
      <c r="D62" s="4205"/>
      <c r="E62" s="3637"/>
      <c r="F62" s="3637"/>
      <c r="G62" s="1155">
        <v>33</v>
      </c>
      <c r="H62" s="1123" t="s">
        <v>816</v>
      </c>
      <c r="I62" s="1066" t="s">
        <v>817</v>
      </c>
      <c r="J62" s="1127">
        <v>200</v>
      </c>
      <c r="K62" s="1127">
        <v>200</v>
      </c>
      <c r="L62" s="3640"/>
      <c r="M62" s="3640"/>
      <c r="N62" s="3298"/>
      <c r="O62" s="1175">
        <f>T62/P60</f>
        <v>6.314186494482113E-2</v>
      </c>
      <c r="P62" s="3716"/>
      <c r="Q62" s="3298"/>
      <c r="R62" s="3297" t="s">
        <v>818</v>
      </c>
      <c r="S62" s="1123" t="s">
        <v>819</v>
      </c>
      <c r="T62" s="1156">
        <v>30000000</v>
      </c>
      <c r="U62" s="1124">
        <v>29367000</v>
      </c>
      <c r="V62" s="1124">
        <v>15245000</v>
      </c>
      <c r="W62" s="1157">
        <v>20</v>
      </c>
      <c r="X62" s="1121" t="s">
        <v>124</v>
      </c>
      <c r="Y62" s="3640"/>
      <c r="Z62" s="3640"/>
      <c r="AA62" s="3640"/>
      <c r="AB62" s="3640"/>
      <c r="AC62" s="3640"/>
      <c r="AD62" s="3640"/>
      <c r="AE62" s="3640"/>
      <c r="AF62" s="3640"/>
      <c r="AG62" s="3640"/>
      <c r="AH62" s="3640"/>
      <c r="AI62" s="3640"/>
      <c r="AJ62" s="3640"/>
      <c r="AK62" s="3640"/>
      <c r="AL62" s="3640"/>
      <c r="AM62" s="3640"/>
      <c r="AN62" s="3640"/>
      <c r="AO62" s="3640"/>
      <c r="AP62" s="3640"/>
      <c r="AQ62" s="3640"/>
      <c r="AR62" s="3640"/>
      <c r="AS62" s="3640"/>
      <c r="AT62" s="3640"/>
      <c r="AU62" s="3640"/>
      <c r="AV62" s="3640"/>
      <c r="AW62" s="3640"/>
      <c r="AX62" s="3640"/>
      <c r="AY62" s="3640"/>
      <c r="AZ62" s="3640"/>
      <c r="BA62" s="3640"/>
      <c r="BB62" s="3640"/>
      <c r="BC62" s="3640"/>
      <c r="BD62" s="3640"/>
      <c r="BE62" s="3640"/>
      <c r="BF62" s="3716"/>
      <c r="BG62" s="3716"/>
      <c r="BH62" s="4215"/>
      <c r="BI62" s="3640"/>
      <c r="BJ62" s="3287"/>
      <c r="BK62" s="3617"/>
      <c r="BL62" s="3617"/>
      <c r="BM62" s="3617"/>
      <c r="BN62" s="3617"/>
      <c r="BO62" s="3287"/>
    </row>
    <row r="63" spans="1:67" s="1122" customFormat="1" ht="113.25" customHeight="1" x14ac:dyDescent="0.25">
      <c r="A63" s="4239"/>
      <c r="B63" s="4240"/>
      <c r="C63" s="4205"/>
      <c r="D63" s="4205"/>
      <c r="E63" s="3637"/>
      <c r="F63" s="3637"/>
      <c r="G63" s="1179">
        <v>34</v>
      </c>
      <c r="H63" s="1118" t="s">
        <v>820</v>
      </c>
      <c r="I63" s="1065" t="s">
        <v>821</v>
      </c>
      <c r="J63" s="1127">
        <v>600</v>
      </c>
      <c r="K63" s="1127">
        <v>600</v>
      </c>
      <c r="L63" s="3640"/>
      <c r="M63" s="3640"/>
      <c r="N63" s="3290"/>
      <c r="O63" s="1181">
        <f>T63/P60</f>
        <v>6.314186494482113E-2</v>
      </c>
      <c r="P63" s="3716"/>
      <c r="Q63" s="3290"/>
      <c r="R63" s="3290"/>
      <c r="S63" s="1118" t="s">
        <v>822</v>
      </c>
      <c r="T63" s="1232">
        <v>30000000</v>
      </c>
      <c r="U63" s="1124">
        <v>26622000</v>
      </c>
      <c r="V63" s="1124">
        <v>16725000</v>
      </c>
      <c r="W63" s="1183">
        <v>20</v>
      </c>
      <c r="X63" s="1121" t="s">
        <v>124</v>
      </c>
      <c r="Y63" s="3640"/>
      <c r="Z63" s="3641"/>
      <c r="AA63" s="3640"/>
      <c r="AB63" s="3641"/>
      <c r="AC63" s="3640"/>
      <c r="AD63" s="3641"/>
      <c r="AE63" s="3640"/>
      <c r="AF63" s="3641"/>
      <c r="AG63" s="3640"/>
      <c r="AH63" s="3641"/>
      <c r="AI63" s="3640"/>
      <c r="AJ63" s="3641"/>
      <c r="AK63" s="3640"/>
      <c r="AL63" s="3641"/>
      <c r="AM63" s="3640"/>
      <c r="AN63" s="3641"/>
      <c r="AO63" s="3640"/>
      <c r="AP63" s="3641"/>
      <c r="AQ63" s="3640"/>
      <c r="AR63" s="3641"/>
      <c r="AS63" s="3640"/>
      <c r="AT63" s="3641"/>
      <c r="AU63" s="3640"/>
      <c r="AV63" s="3641"/>
      <c r="AW63" s="3640"/>
      <c r="AX63" s="3641"/>
      <c r="AY63" s="3640"/>
      <c r="AZ63" s="3641"/>
      <c r="BA63" s="3640"/>
      <c r="BB63" s="3641"/>
      <c r="BC63" s="3640"/>
      <c r="BD63" s="3641"/>
      <c r="BE63" s="3641"/>
      <c r="BF63" s="3716"/>
      <c r="BG63" s="3716"/>
      <c r="BH63" s="4210"/>
      <c r="BI63" s="3640"/>
      <c r="BJ63" s="3287"/>
      <c r="BK63" s="3617"/>
      <c r="BL63" s="3618"/>
      <c r="BM63" s="3618"/>
      <c r="BN63" s="3618"/>
      <c r="BO63" s="3288"/>
    </row>
    <row r="64" spans="1:67" ht="15" x14ac:dyDescent="0.25">
      <c r="A64" s="4239"/>
      <c r="B64" s="4240"/>
      <c r="C64" s="4205"/>
      <c r="D64" s="4205"/>
      <c r="E64" s="941">
        <v>7</v>
      </c>
      <c r="F64" s="939" t="s">
        <v>823</v>
      </c>
      <c r="G64" s="941"/>
      <c r="H64" s="1237"/>
      <c r="I64" s="1109"/>
      <c r="J64" s="1238"/>
      <c r="K64" s="1215"/>
      <c r="L64" s="1216"/>
      <c r="M64" s="1215"/>
      <c r="N64" s="362"/>
      <c r="O64" s="1211"/>
      <c r="P64" s="1212"/>
      <c r="Q64" s="1210"/>
      <c r="R64" s="1210"/>
      <c r="S64" s="1210"/>
      <c r="T64" s="1213"/>
      <c r="U64" s="1213"/>
      <c r="V64" s="1213"/>
      <c r="W64" s="1214"/>
      <c r="X64" s="1215"/>
      <c r="Y64" s="1216"/>
      <c r="Z64" s="1216"/>
      <c r="AA64" s="1216"/>
      <c r="AB64" s="1216"/>
      <c r="AC64" s="1216"/>
      <c r="AD64" s="1216"/>
      <c r="AE64" s="1216"/>
      <c r="AF64" s="1216"/>
      <c r="AG64" s="1216"/>
      <c r="AH64" s="1216"/>
      <c r="AI64" s="1216"/>
      <c r="AJ64" s="1216"/>
      <c r="AK64" s="1216"/>
      <c r="AL64" s="1216"/>
      <c r="AM64" s="1216"/>
      <c r="AN64" s="1216"/>
      <c r="AO64" s="1216"/>
      <c r="AP64" s="1216"/>
      <c r="AQ64" s="1216"/>
      <c r="AR64" s="1216"/>
      <c r="AS64" s="1216"/>
      <c r="AT64" s="1216"/>
      <c r="AU64" s="1216"/>
      <c r="AV64" s="1216"/>
      <c r="AW64" s="1216"/>
      <c r="AX64" s="1216"/>
      <c r="AY64" s="1216"/>
      <c r="AZ64" s="1216"/>
      <c r="BA64" s="1216"/>
      <c r="BB64" s="1216"/>
      <c r="BC64" s="1216"/>
      <c r="BD64" s="1216"/>
      <c r="BE64" s="1216"/>
      <c r="BF64" s="1216"/>
      <c r="BG64" s="1216"/>
      <c r="BH64" s="1216"/>
      <c r="BI64" s="1216"/>
      <c r="BJ64" s="1216"/>
      <c r="BK64" s="1217"/>
      <c r="BL64" s="1217"/>
      <c r="BM64" s="1218"/>
      <c r="BN64" s="1218"/>
      <c r="BO64" s="1219"/>
    </row>
    <row r="65" spans="1:67" s="1122" customFormat="1" ht="56.25" customHeight="1" x14ac:dyDescent="0.25">
      <c r="A65" s="4239"/>
      <c r="B65" s="4240"/>
      <c r="C65" s="4205"/>
      <c r="D65" s="4205"/>
      <c r="E65" s="4211"/>
      <c r="F65" s="4212"/>
      <c r="G65" s="1155">
        <v>35</v>
      </c>
      <c r="H65" s="1123" t="s">
        <v>824</v>
      </c>
      <c r="I65" s="1123" t="s">
        <v>771</v>
      </c>
      <c r="J65" s="1132">
        <v>5</v>
      </c>
      <c r="K65" s="1125">
        <v>4</v>
      </c>
      <c r="L65" s="3639" t="s">
        <v>825</v>
      </c>
      <c r="M65" s="3639" t="s">
        <v>826</v>
      </c>
      <c r="N65" s="3297" t="s">
        <v>827</v>
      </c>
      <c r="O65" s="1175">
        <f>T65/P65</f>
        <v>0.2509712330108983</v>
      </c>
      <c r="P65" s="3715">
        <v>197966912</v>
      </c>
      <c r="Q65" s="3297" t="s">
        <v>828</v>
      </c>
      <c r="R65" s="1239" t="s">
        <v>829</v>
      </c>
      <c r="S65" s="1239" t="s">
        <v>830</v>
      </c>
      <c r="T65" s="1170">
        <f>69684000-20000000</f>
        <v>49684000</v>
      </c>
      <c r="U65" s="1124">
        <v>36986667</v>
      </c>
      <c r="V65" s="1124">
        <v>4200000</v>
      </c>
      <c r="W65" s="1157">
        <v>20</v>
      </c>
      <c r="X65" s="1121" t="s">
        <v>124</v>
      </c>
      <c r="Y65" s="4207">
        <v>100</v>
      </c>
      <c r="Z65" s="4207"/>
      <c r="AA65" s="4207">
        <v>60</v>
      </c>
      <c r="AB65" s="4207"/>
      <c r="AC65" s="4207"/>
      <c r="AD65" s="4207"/>
      <c r="AE65" s="4207"/>
      <c r="AF65" s="4207"/>
      <c r="AG65" s="4207">
        <v>110</v>
      </c>
      <c r="AH65" s="4207"/>
      <c r="AI65" s="4207">
        <v>50</v>
      </c>
      <c r="AJ65" s="4207"/>
      <c r="AK65" s="4207"/>
      <c r="AL65" s="4207"/>
      <c r="AM65" s="4207"/>
      <c r="AN65" s="4207"/>
      <c r="AO65" s="4207"/>
      <c r="AP65" s="4207"/>
      <c r="AQ65" s="4207"/>
      <c r="AR65" s="4207"/>
      <c r="AS65" s="4207"/>
      <c r="AT65" s="4207"/>
      <c r="AU65" s="4207"/>
      <c r="AV65" s="4207"/>
      <c r="AW65" s="4207"/>
      <c r="AX65" s="4207"/>
      <c r="AY65" s="4207"/>
      <c r="AZ65" s="4207"/>
      <c r="BA65" s="4207"/>
      <c r="BB65" s="4207"/>
      <c r="BC65" s="4207">
        <f>Y65+AA65</f>
        <v>160</v>
      </c>
      <c r="BD65" s="4207"/>
      <c r="BE65" s="4207">
        <v>7</v>
      </c>
      <c r="BF65" s="3715">
        <v>180971467</v>
      </c>
      <c r="BG65" s="3715">
        <v>87520000</v>
      </c>
      <c r="BH65" s="4209">
        <f>BG65/BF65</f>
        <v>0.4836121486488254</v>
      </c>
      <c r="BI65" s="3639" t="s">
        <v>668</v>
      </c>
      <c r="BJ65" s="3296" t="s">
        <v>831</v>
      </c>
      <c r="BK65" s="3616">
        <v>43717</v>
      </c>
      <c r="BL65" s="3616">
        <v>43734</v>
      </c>
      <c r="BM65" s="3616">
        <v>43809</v>
      </c>
      <c r="BN65" s="3616">
        <v>43687</v>
      </c>
      <c r="BO65" s="3296" t="s">
        <v>791</v>
      </c>
    </row>
    <row r="66" spans="1:67" s="1122" customFormat="1" ht="42.75" x14ac:dyDescent="0.25">
      <c r="A66" s="4241"/>
      <c r="B66" s="4242"/>
      <c r="C66" s="4205"/>
      <c r="D66" s="4205"/>
      <c r="E66" s="4213"/>
      <c r="F66" s="4214"/>
      <c r="G66" s="1155">
        <v>37</v>
      </c>
      <c r="H66" s="1123" t="s">
        <v>832</v>
      </c>
      <c r="I66" s="1123" t="s">
        <v>833</v>
      </c>
      <c r="J66" s="1125">
        <v>1</v>
      </c>
      <c r="K66" s="1240">
        <v>0.85</v>
      </c>
      <c r="L66" s="3641"/>
      <c r="M66" s="3641"/>
      <c r="N66" s="3290"/>
      <c r="O66" s="1175">
        <f>T66/P65</f>
        <v>0.7490287669891017</v>
      </c>
      <c r="P66" s="3717"/>
      <c r="Q66" s="3290"/>
      <c r="R66" s="1123" t="s">
        <v>834</v>
      </c>
      <c r="S66" s="1239" t="s">
        <v>835</v>
      </c>
      <c r="T66" s="1170">
        <f>128282912+20000000</f>
        <v>148282912</v>
      </c>
      <c r="U66" s="1124">
        <v>143984800</v>
      </c>
      <c r="V66" s="1124">
        <v>83320000</v>
      </c>
      <c r="W66" s="1157">
        <v>20</v>
      </c>
      <c r="X66" s="1121" t="s">
        <v>124</v>
      </c>
      <c r="Y66" s="4208"/>
      <c r="Z66" s="4208"/>
      <c r="AA66" s="4208"/>
      <c r="AB66" s="4208"/>
      <c r="AC66" s="4208"/>
      <c r="AD66" s="4208"/>
      <c r="AE66" s="4208"/>
      <c r="AF66" s="4208"/>
      <c r="AG66" s="4208"/>
      <c r="AH66" s="4208"/>
      <c r="AI66" s="4208"/>
      <c r="AJ66" s="4208"/>
      <c r="AK66" s="4208"/>
      <c r="AL66" s="4208"/>
      <c r="AM66" s="4208"/>
      <c r="AN66" s="4208"/>
      <c r="AO66" s="4208"/>
      <c r="AP66" s="4208"/>
      <c r="AQ66" s="4208"/>
      <c r="AR66" s="4208"/>
      <c r="AS66" s="4208"/>
      <c r="AT66" s="4208"/>
      <c r="AU66" s="4208"/>
      <c r="AV66" s="4208"/>
      <c r="AW66" s="4208"/>
      <c r="AX66" s="4208"/>
      <c r="AY66" s="4208"/>
      <c r="AZ66" s="4208"/>
      <c r="BA66" s="4208"/>
      <c r="BB66" s="4208"/>
      <c r="BC66" s="4208"/>
      <c r="BD66" s="4208"/>
      <c r="BE66" s="4208"/>
      <c r="BF66" s="3717"/>
      <c r="BG66" s="3717"/>
      <c r="BH66" s="4210"/>
      <c r="BI66" s="3641"/>
      <c r="BJ66" s="3288"/>
      <c r="BK66" s="3618"/>
      <c r="BL66" s="3618"/>
      <c r="BM66" s="3618"/>
      <c r="BN66" s="3618"/>
      <c r="BO66" s="3288"/>
    </row>
    <row r="67" spans="1:67" ht="15" x14ac:dyDescent="0.25">
      <c r="A67" s="1241">
        <v>3</v>
      </c>
      <c r="B67" s="921" t="s">
        <v>836</v>
      </c>
      <c r="C67" s="1242"/>
      <c r="D67" s="1242"/>
      <c r="E67" s="1243"/>
      <c r="F67" s="1244"/>
      <c r="G67" s="1245"/>
      <c r="H67" s="1246"/>
      <c r="I67" s="1244"/>
      <c r="J67" s="1244"/>
      <c r="K67" s="1245"/>
      <c r="L67" s="1244"/>
      <c r="M67" s="1245"/>
      <c r="N67" s="1246"/>
      <c r="O67" s="1247"/>
      <c r="P67" s="1248"/>
      <c r="Q67" s="1246"/>
      <c r="R67" s="1246"/>
      <c r="S67" s="1246"/>
      <c r="T67" s="1249"/>
      <c r="U67" s="1249"/>
      <c r="V67" s="1249"/>
      <c r="W67" s="1250"/>
      <c r="X67" s="1245"/>
      <c r="Y67" s="1244"/>
      <c r="Z67" s="1244"/>
      <c r="AA67" s="1244"/>
      <c r="AB67" s="1244"/>
      <c r="AC67" s="1244"/>
      <c r="AD67" s="1244"/>
      <c r="AE67" s="1244"/>
      <c r="AF67" s="1244"/>
      <c r="AG67" s="1244"/>
      <c r="AH67" s="1244"/>
      <c r="AI67" s="1244"/>
      <c r="AJ67" s="1244"/>
      <c r="AK67" s="1244"/>
      <c r="AL67" s="1244"/>
      <c r="AM67" s="1244"/>
      <c r="AN67" s="1244"/>
      <c r="AO67" s="1244"/>
      <c r="AP67" s="1244"/>
      <c r="AQ67" s="1244"/>
      <c r="AR67" s="1244"/>
      <c r="AS67" s="1244"/>
      <c r="AT67" s="1244"/>
      <c r="AU67" s="1244"/>
      <c r="AV67" s="1244"/>
      <c r="AW67" s="1244"/>
      <c r="AX67" s="1244"/>
      <c r="AY67" s="1244"/>
      <c r="AZ67" s="1244"/>
      <c r="BA67" s="1244"/>
      <c r="BB67" s="1244"/>
      <c r="BC67" s="1244"/>
      <c r="BD67" s="1244"/>
      <c r="BE67" s="1244"/>
      <c r="BF67" s="1244"/>
      <c r="BG67" s="1244"/>
      <c r="BH67" s="1244"/>
      <c r="BI67" s="1244"/>
      <c r="BJ67" s="1244"/>
      <c r="BK67" s="1251"/>
      <c r="BL67" s="1251"/>
      <c r="BM67" s="1252"/>
      <c r="BN67" s="1252"/>
      <c r="BO67" s="1253"/>
    </row>
    <row r="68" spans="1:67" ht="21" customHeight="1" x14ac:dyDescent="0.25">
      <c r="A68" s="4205"/>
      <c r="B68" s="4205"/>
      <c r="C68" s="1254">
        <v>11</v>
      </c>
      <c r="D68" s="1255" t="s">
        <v>837</v>
      </c>
      <c r="E68" s="1256"/>
      <c r="F68" s="1255"/>
      <c r="G68" s="1257"/>
      <c r="H68" s="1258"/>
      <c r="I68" s="1259"/>
      <c r="J68" s="1259"/>
      <c r="K68" s="1257"/>
      <c r="L68" s="1259"/>
      <c r="M68" s="1257"/>
      <c r="N68" s="1258"/>
      <c r="O68" s="1260"/>
      <c r="P68" s="1261"/>
      <c r="Q68" s="1258"/>
      <c r="R68" s="1258"/>
      <c r="S68" s="1258"/>
      <c r="T68" s="1262"/>
      <c r="U68" s="1262"/>
      <c r="V68" s="1262"/>
      <c r="W68" s="1263"/>
      <c r="X68" s="1257"/>
      <c r="Y68" s="1259"/>
      <c r="Z68" s="1259"/>
      <c r="AA68" s="1259"/>
      <c r="AB68" s="1259"/>
      <c r="AC68" s="1259"/>
      <c r="AD68" s="1259"/>
      <c r="AE68" s="1259"/>
      <c r="AF68" s="1259"/>
      <c r="AG68" s="1259"/>
      <c r="AH68" s="1259"/>
      <c r="AI68" s="1259"/>
      <c r="AJ68" s="1259"/>
      <c r="AK68" s="1259"/>
      <c r="AL68" s="1259"/>
      <c r="AM68" s="1259"/>
      <c r="AN68" s="1259"/>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64"/>
      <c r="BL68" s="1264"/>
      <c r="BM68" s="1265"/>
      <c r="BN68" s="1265"/>
      <c r="BO68" s="1266"/>
    </row>
    <row r="69" spans="1:67" ht="22.5" customHeight="1" x14ac:dyDescent="0.25">
      <c r="A69" s="4205"/>
      <c r="B69" s="4205"/>
      <c r="C69" s="3624"/>
      <c r="D69" s="3624"/>
      <c r="E69" s="1267">
        <v>34</v>
      </c>
      <c r="F69" s="1109" t="s">
        <v>838</v>
      </c>
      <c r="G69" s="1215"/>
      <c r="H69" s="1210"/>
      <c r="I69" s="1216"/>
      <c r="J69" s="1216"/>
      <c r="K69" s="1215"/>
      <c r="L69" s="1216"/>
      <c r="M69" s="1215"/>
      <c r="N69" s="1210"/>
      <c r="O69" s="1211"/>
      <c r="P69" s="1212"/>
      <c r="Q69" s="1210"/>
      <c r="R69" s="1210"/>
      <c r="S69" s="1210"/>
      <c r="T69" s="1213"/>
      <c r="U69" s="1213"/>
      <c r="V69" s="1213"/>
      <c r="W69" s="1214"/>
      <c r="X69" s="1215"/>
      <c r="Y69" s="1216"/>
      <c r="Z69" s="1216"/>
      <c r="AA69" s="1216"/>
      <c r="AB69" s="1216"/>
      <c r="AC69" s="1216"/>
      <c r="AD69" s="1216"/>
      <c r="AE69" s="1216"/>
      <c r="AF69" s="1216"/>
      <c r="AG69" s="1216"/>
      <c r="AH69" s="1216"/>
      <c r="AI69" s="1216"/>
      <c r="AJ69" s="1216"/>
      <c r="AK69" s="1216"/>
      <c r="AL69" s="1216"/>
      <c r="AM69" s="1216"/>
      <c r="AN69" s="1216"/>
      <c r="AO69" s="1216"/>
      <c r="AP69" s="1216"/>
      <c r="AQ69" s="1216"/>
      <c r="AR69" s="1216"/>
      <c r="AS69" s="1216"/>
      <c r="AT69" s="1216"/>
      <c r="AU69" s="1216"/>
      <c r="AV69" s="1216"/>
      <c r="AW69" s="1216"/>
      <c r="AX69" s="1216"/>
      <c r="AY69" s="1216"/>
      <c r="AZ69" s="1216"/>
      <c r="BA69" s="1216"/>
      <c r="BB69" s="1216"/>
      <c r="BC69" s="1216"/>
      <c r="BD69" s="1216"/>
      <c r="BE69" s="1216"/>
      <c r="BF69" s="1216"/>
      <c r="BG69" s="1216"/>
      <c r="BH69" s="1216"/>
      <c r="BI69" s="1216"/>
      <c r="BJ69" s="1216"/>
      <c r="BK69" s="1217"/>
      <c r="BL69" s="1217"/>
      <c r="BM69" s="1218"/>
      <c r="BN69" s="1218"/>
      <c r="BO69" s="1219"/>
    </row>
    <row r="70" spans="1:67" ht="60" customHeight="1" x14ac:dyDescent="0.25">
      <c r="A70" s="4205"/>
      <c r="B70" s="4205"/>
      <c r="C70" s="3624"/>
      <c r="D70" s="3624"/>
      <c r="E70" s="3624"/>
      <c r="F70" s="3624"/>
      <c r="G70" s="1001">
        <v>122</v>
      </c>
      <c r="H70" s="1064" t="s">
        <v>839</v>
      </c>
      <c r="I70" s="1055" t="s">
        <v>840</v>
      </c>
      <c r="J70" s="1268">
        <v>1</v>
      </c>
      <c r="K70" s="1269">
        <v>1</v>
      </c>
      <c r="L70" s="4206" t="s">
        <v>841</v>
      </c>
      <c r="M70" s="4206" t="s">
        <v>842</v>
      </c>
      <c r="N70" s="3928" t="s">
        <v>843</v>
      </c>
      <c r="O70" s="1224">
        <f>T70/P70</f>
        <v>0.24602162822149062</v>
      </c>
      <c r="P70" s="3704">
        <v>168373530</v>
      </c>
      <c r="Q70" s="3928" t="s">
        <v>844</v>
      </c>
      <c r="R70" s="1055" t="s">
        <v>845</v>
      </c>
      <c r="S70" s="1064" t="s">
        <v>846</v>
      </c>
      <c r="T70" s="399">
        <v>41423530</v>
      </c>
      <c r="U70" s="399">
        <v>41423530</v>
      </c>
      <c r="V70" s="399">
        <v>39525000</v>
      </c>
      <c r="W70" s="1222">
        <v>20</v>
      </c>
      <c r="X70" s="1121" t="s">
        <v>124</v>
      </c>
      <c r="Y70" s="3634">
        <v>4608</v>
      </c>
      <c r="Z70" s="3634">
        <v>846</v>
      </c>
      <c r="AA70" s="3639">
        <v>4992</v>
      </c>
      <c r="AB70" s="3639">
        <v>809</v>
      </c>
      <c r="AC70" s="3639">
        <v>2714</v>
      </c>
      <c r="AD70" s="3639">
        <v>719</v>
      </c>
      <c r="AE70" s="3639">
        <v>765</v>
      </c>
      <c r="AF70" s="3639">
        <v>114</v>
      </c>
      <c r="AG70" s="3639">
        <v>5500</v>
      </c>
      <c r="AH70" s="3639">
        <v>656</v>
      </c>
      <c r="AI70" s="3639">
        <v>594</v>
      </c>
      <c r="AJ70" s="3639">
        <v>166</v>
      </c>
      <c r="AK70" s="3639">
        <v>40</v>
      </c>
      <c r="AL70" s="3639"/>
      <c r="AM70" s="3639">
        <v>50</v>
      </c>
      <c r="AN70" s="3639"/>
      <c r="AO70" s="3639"/>
      <c r="AP70" s="3639"/>
      <c r="AQ70" s="3639"/>
      <c r="AR70" s="3639"/>
      <c r="AS70" s="3634"/>
      <c r="AT70" s="3634"/>
      <c r="AU70" s="3634"/>
      <c r="AV70" s="3634"/>
      <c r="AW70" s="3634">
        <v>100</v>
      </c>
      <c r="AX70" s="3634"/>
      <c r="AY70" s="3634">
        <v>10</v>
      </c>
      <c r="AZ70" s="3634"/>
      <c r="BA70" s="3634"/>
      <c r="BB70" s="3634"/>
      <c r="BC70" s="3634">
        <f>Y70+AA70</f>
        <v>9600</v>
      </c>
      <c r="BD70" s="3634">
        <f>Z70+AB70</f>
        <v>1655</v>
      </c>
      <c r="BE70" s="3634">
        <v>26</v>
      </c>
      <c r="BF70" s="3625">
        <v>151607701</v>
      </c>
      <c r="BG70" s="3625">
        <v>97304426</v>
      </c>
      <c r="BH70" s="4202">
        <f>BG70/BF70</f>
        <v>0.64181717259863991</v>
      </c>
      <c r="BI70" s="3634" t="s">
        <v>668</v>
      </c>
      <c r="BJ70" s="4198" t="s">
        <v>847</v>
      </c>
      <c r="BK70" s="4195">
        <v>43466</v>
      </c>
      <c r="BL70" s="4195">
        <v>43671</v>
      </c>
      <c r="BM70" s="4195">
        <v>43830</v>
      </c>
      <c r="BN70" s="4195">
        <v>43809</v>
      </c>
      <c r="BO70" s="4198" t="s">
        <v>740</v>
      </c>
    </row>
    <row r="71" spans="1:67" ht="71.25" x14ac:dyDescent="0.25">
      <c r="A71" s="4205"/>
      <c r="B71" s="4205"/>
      <c r="C71" s="3624"/>
      <c r="D71" s="3624"/>
      <c r="E71" s="3624"/>
      <c r="F71" s="3624"/>
      <c r="G71" s="1001">
        <v>123</v>
      </c>
      <c r="H71" s="1064" t="s">
        <v>848</v>
      </c>
      <c r="I71" s="1056" t="s">
        <v>849</v>
      </c>
      <c r="J71" s="1063">
        <v>4</v>
      </c>
      <c r="K71" s="1270">
        <v>2.5</v>
      </c>
      <c r="L71" s="3938"/>
      <c r="M71" s="3938"/>
      <c r="N71" s="3929"/>
      <c r="O71" s="1224">
        <f>T71/P70</f>
        <v>0.11225042321082179</v>
      </c>
      <c r="P71" s="3644"/>
      <c r="Q71" s="3929"/>
      <c r="R71" s="1056" t="s">
        <v>850</v>
      </c>
      <c r="S71" s="1064" t="s">
        <v>851</v>
      </c>
      <c r="T71" s="399">
        <v>18900000</v>
      </c>
      <c r="U71" s="399">
        <v>9875000</v>
      </c>
      <c r="V71" s="399">
        <v>6875000</v>
      </c>
      <c r="W71" s="1222">
        <v>20</v>
      </c>
      <c r="X71" s="1121" t="s">
        <v>124</v>
      </c>
      <c r="Y71" s="3635"/>
      <c r="Z71" s="3635"/>
      <c r="AA71" s="3640"/>
      <c r="AB71" s="3640"/>
      <c r="AC71" s="3640"/>
      <c r="AD71" s="3640"/>
      <c r="AE71" s="3640"/>
      <c r="AF71" s="3640"/>
      <c r="AG71" s="3640"/>
      <c r="AH71" s="3640"/>
      <c r="AI71" s="3640"/>
      <c r="AJ71" s="3640"/>
      <c r="AK71" s="3640"/>
      <c r="AL71" s="3640"/>
      <c r="AM71" s="3640"/>
      <c r="AN71" s="3640"/>
      <c r="AO71" s="3640"/>
      <c r="AP71" s="3640"/>
      <c r="AQ71" s="3640"/>
      <c r="AR71" s="3640"/>
      <c r="AS71" s="3635"/>
      <c r="AT71" s="3635"/>
      <c r="AU71" s="3635"/>
      <c r="AV71" s="3635"/>
      <c r="AW71" s="3635"/>
      <c r="AX71" s="3635"/>
      <c r="AY71" s="3635"/>
      <c r="AZ71" s="3635"/>
      <c r="BA71" s="3635"/>
      <c r="BB71" s="3635"/>
      <c r="BC71" s="3635"/>
      <c r="BD71" s="3635"/>
      <c r="BE71" s="3635"/>
      <c r="BF71" s="3626"/>
      <c r="BG71" s="3626"/>
      <c r="BH71" s="4203"/>
      <c r="BI71" s="3635"/>
      <c r="BJ71" s="4199"/>
      <c r="BK71" s="4196"/>
      <c r="BL71" s="4196"/>
      <c r="BM71" s="4196"/>
      <c r="BN71" s="4196"/>
      <c r="BO71" s="4199"/>
    </row>
    <row r="72" spans="1:67" ht="60" x14ac:dyDescent="0.25">
      <c r="A72" s="4205"/>
      <c r="B72" s="4205"/>
      <c r="C72" s="3624"/>
      <c r="D72" s="3624"/>
      <c r="E72" s="3624"/>
      <c r="F72" s="3624"/>
      <c r="G72" s="1001">
        <v>124</v>
      </c>
      <c r="H72" s="1064" t="s">
        <v>852</v>
      </c>
      <c r="I72" s="1055" t="s">
        <v>853</v>
      </c>
      <c r="J72" s="1063">
        <v>150</v>
      </c>
      <c r="K72" s="1270">
        <v>49.8</v>
      </c>
      <c r="L72" s="3938"/>
      <c r="M72" s="3938"/>
      <c r="N72" s="3929"/>
      <c r="O72" s="1224">
        <f>T72/P70</f>
        <v>0.26340244811639929</v>
      </c>
      <c r="P72" s="3644"/>
      <c r="Q72" s="3929"/>
      <c r="R72" s="1055" t="s">
        <v>850</v>
      </c>
      <c r="S72" s="1064" t="s">
        <v>854</v>
      </c>
      <c r="T72" s="399">
        <v>44350000</v>
      </c>
      <c r="U72" s="399">
        <v>38986776</v>
      </c>
      <c r="V72" s="399">
        <v>15700000</v>
      </c>
      <c r="W72" s="1222">
        <v>20</v>
      </c>
      <c r="X72" s="1121" t="s">
        <v>124</v>
      </c>
      <c r="Y72" s="3635"/>
      <c r="Z72" s="3635"/>
      <c r="AA72" s="3640"/>
      <c r="AB72" s="3640"/>
      <c r="AC72" s="3640"/>
      <c r="AD72" s="3640"/>
      <c r="AE72" s="3640"/>
      <c r="AF72" s="3640"/>
      <c r="AG72" s="3640"/>
      <c r="AH72" s="3640"/>
      <c r="AI72" s="3640"/>
      <c r="AJ72" s="3640"/>
      <c r="AK72" s="3640"/>
      <c r="AL72" s="3640"/>
      <c r="AM72" s="3640"/>
      <c r="AN72" s="3640"/>
      <c r="AO72" s="3640"/>
      <c r="AP72" s="3640"/>
      <c r="AQ72" s="3640"/>
      <c r="AR72" s="3640"/>
      <c r="AS72" s="3635"/>
      <c r="AT72" s="3635"/>
      <c r="AU72" s="3635"/>
      <c r="AV72" s="3635"/>
      <c r="AW72" s="3635"/>
      <c r="AX72" s="3635"/>
      <c r="AY72" s="3635"/>
      <c r="AZ72" s="3635"/>
      <c r="BA72" s="3635"/>
      <c r="BB72" s="3635"/>
      <c r="BC72" s="3635"/>
      <c r="BD72" s="3635"/>
      <c r="BE72" s="3635"/>
      <c r="BF72" s="3626"/>
      <c r="BG72" s="3626"/>
      <c r="BH72" s="4203"/>
      <c r="BI72" s="3635"/>
      <c r="BJ72" s="4199"/>
      <c r="BK72" s="4196"/>
      <c r="BL72" s="4196"/>
      <c r="BM72" s="4196"/>
      <c r="BN72" s="4196"/>
      <c r="BO72" s="4199"/>
    </row>
    <row r="73" spans="1:67" ht="57" x14ac:dyDescent="0.25">
      <c r="A73" s="4205"/>
      <c r="B73" s="4205"/>
      <c r="C73" s="3624"/>
      <c r="D73" s="3624"/>
      <c r="E73" s="3624"/>
      <c r="F73" s="3624"/>
      <c r="G73" s="1001">
        <v>125</v>
      </c>
      <c r="H73" s="1064" t="s">
        <v>855</v>
      </c>
      <c r="I73" s="1056" t="s">
        <v>856</v>
      </c>
      <c r="J73" s="1222">
        <v>760</v>
      </c>
      <c r="K73" s="1222">
        <v>655</v>
      </c>
      <c r="L73" s="3938"/>
      <c r="M73" s="3938"/>
      <c r="N73" s="3929"/>
      <c r="O73" s="1224">
        <f>T73/P70</f>
        <v>0.2619176541585842</v>
      </c>
      <c r="P73" s="3644"/>
      <c r="Q73" s="3929"/>
      <c r="R73" s="1056" t="s">
        <v>857</v>
      </c>
      <c r="S73" s="1064" t="s">
        <v>858</v>
      </c>
      <c r="T73" s="399">
        <v>44100000</v>
      </c>
      <c r="U73" s="399">
        <v>41751302</v>
      </c>
      <c r="V73" s="399">
        <v>23433333</v>
      </c>
      <c r="W73" s="1222">
        <v>20</v>
      </c>
      <c r="X73" s="1121" t="s">
        <v>124</v>
      </c>
      <c r="Y73" s="3635"/>
      <c r="Z73" s="3635"/>
      <c r="AA73" s="3640"/>
      <c r="AB73" s="3640"/>
      <c r="AC73" s="3640"/>
      <c r="AD73" s="3640"/>
      <c r="AE73" s="3640"/>
      <c r="AF73" s="3640"/>
      <c r="AG73" s="3640"/>
      <c r="AH73" s="3640"/>
      <c r="AI73" s="3640"/>
      <c r="AJ73" s="3640"/>
      <c r="AK73" s="3640"/>
      <c r="AL73" s="3640"/>
      <c r="AM73" s="3640"/>
      <c r="AN73" s="3640"/>
      <c r="AO73" s="3640"/>
      <c r="AP73" s="3640"/>
      <c r="AQ73" s="3640"/>
      <c r="AR73" s="3640"/>
      <c r="AS73" s="3635"/>
      <c r="AT73" s="3635"/>
      <c r="AU73" s="3635"/>
      <c r="AV73" s="3635"/>
      <c r="AW73" s="3635"/>
      <c r="AX73" s="3635"/>
      <c r="AY73" s="3635"/>
      <c r="AZ73" s="3635"/>
      <c r="BA73" s="3635"/>
      <c r="BB73" s="3635"/>
      <c r="BC73" s="3635"/>
      <c r="BD73" s="3635"/>
      <c r="BE73" s="3635"/>
      <c r="BF73" s="3626"/>
      <c r="BG73" s="3626"/>
      <c r="BH73" s="4203"/>
      <c r="BI73" s="3635"/>
      <c r="BJ73" s="4199"/>
      <c r="BK73" s="4196"/>
      <c r="BL73" s="4196"/>
      <c r="BM73" s="4196"/>
      <c r="BN73" s="4196"/>
      <c r="BO73" s="4199"/>
    </row>
    <row r="74" spans="1:67" ht="60" x14ac:dyDescent="0.25">
      <c r="A74" s="4205"/>
      <c r="B74" s="4205"/>
      <c r="C74" s="3624"/>
      <c r="D74" s="3624"/>
      <c r="E74" s="3624"/>
      <c r="F74" s="3624"/>
      <c r="G74" s="1001">
        <v>126</v>
      </c>
      <c r="H74" s="1064" t="s">
        <v>859</v>
      </c>
      <c r="I74" s="1056" t="s">
        <v>860</v>
      </c>
      <c r="J74" s="1063">
        <v>3326</v>
      </c>
      <c r="K74" s="1063">
        <v>939</v>
      </c>
      <c r="L74" s="3939"/>
      <c r="M74" s="3939"/>
      <c r="N74" s="3943"/>
      <c r="O74" s="1224">
        <f>T74/P70</f>
        <v>0.11640784629270408</v>
      </c>
      <c r="P74" s="3645"/>
      <c r="Q74" s="3943"/>
      <c r="R74" s="1056" t="s">
        <v>861</v>
      </c>
      <c r="S74" s="1064" t="s">
        <v>862</v>
      </c>
      <c r="T74" s="399">
        <v>19600000</v>
      </c>
      <c r="U74" s="399">
        <v>19571093</v>
      </c>
      <c r="V74" s="399">
        <v>11771093</v>
      </c>
      <c r="W74" s="1222">
        <v>20</v>
      </c>
      <c r="X74" s="1121" t="s">
        <v>124</v>
      </c>
      <c r="Y74" s="3636"/>
      <c r="Z74" s="3636"/>
      <c r="AA74" s="3641"/>
      <c r="AB74" s="3641"/>
      <c r="AC74" s="3641"/>
      <c r="AD74" s="3641"/>
      <c r="AE74" s="3641"/>
      <c r="AF74" s="3641"/>
      <c r="AG74" s="3641"/>
      <c r="AH74" s="3641"/>
      <c r="AI74" s="3641"/>
      <c r="AJ74" s="3641"/>
      <c r="AK74" s="3641"/>
      <c r="AL74" s="3641"/>
      <c r="AM74" s="3641"/>
      <c r="AN74" s="3641"/>
      <c r="AO74" s="3641"/>
      <c r="AP74" s="3641"/>
      <c r="AQ74" s="3641"/>
      <c r="AR74" s="3641"/>
      <c r="AS74" s="3636"/>
      <c r="AT74" s="3636"/>
      <c r="AU74" s="3636"/>
      <c r="AV74" s="3636"/>
      <c r="AW74" s="3636"/>
      <c r="AX74" s="3636"/>
      <c r="AY74" s="3636"/>
      <c r="AZ74" s="3636"/>
      <c r="BA74" s="3636"/>
      <c r="BB74" s="3636"/>
      <c r="BC74" s="3636"/>
      <c r="BD74" s="3636"/>
      <c r="BE74" s="3636"/>
      <c r="BF74" s="3627"/>
      <c r="BG74" s="3627"/>
      <c r="BH74" s="4204"/>
      <c r="BI74" s="3636"/>
      <c r="BJ74" s="4200"/>
      <c r="BK74" s="4197"/>
      <c r="BL74" s="4197"/>
      <c r="BM74" s="4197"/>
      <c r="BN74" s="4197"/>
      <c r="BO74" s="4200"/>
    </row>
    <row r="75" spans="1:67" ht="32.25" customHeight="1" x14ac:dyDescent="0.25">
      <c r="A75" s="1271" t="s">
        <v>104</v>
      </c>
      <c r="B75" s="903"/>
      <c r="C75" s="903"/>
      <c r="D75" s="903"/>
      <c r="E75" s="903"/>
      <c r="F75" s="903"/>
      <c r="G75" s="1061"/>
      <c r="H75" s="1272"/>
      <c r="I75" s="1273"/>
      <c r="J75" s="1274"/>
      <c r="K75" s="1275"/>
      <c r="L75" s="1274"/>
      <c r="M75" s="1275"/>
      <c r="N75" s="1272"/>
      <c r="O75" s="1276"/>
      <c r="P75" s="1277">
        <f>SUM(P9:P74)</f>
        <v>4764794686</v>
      </c>
      <c r="Q75" s="1272"/>
      <c r="R75" s="1278"/>
      <c r="S75" s="1272"/>
      <c r="T75" s="1279">
        <f>SUM(T9:T74)</f>
        <v>4764794686</v>
      </c>
      <c r="U75" s="1279">
        <f>SUM(U9:U74)</f>
        <v>1836741524</v>
      </c>
      <c r="V75" s="1279">
        <f>SUM(V9:V74)</f>
        <v>1085530775</v>
      </c>
      <c r="W75" s="1280"/>
      <c r="X75" s="1275"/>
      <c r="Y75" s="1061"/>
      <c r="Z75" s="903"/>
      <c r="AA75" s="903"/>
      <c r="AB75" s="903"/>
      <c r="AC75" s="903"/>
      <c r="AD75" s="903"/>
      <c r="AE75" s="903"/>
      <c r="AF75" s="903"/>
      <c r="AG75" s="903"/>
      <c r="AH75" s="903"/>
      <c r="AI75" s="903"/>
      <c r="AJ75" s="903"/>
      <c r="AK75" s="903"/>
      <c r="AL75" s="903"/>
      <c r="AM75" s="903"/>
      <c r="AN75" s="903"/>
      <c r="AO75" s="903"/>
      <c r="AP75" s="903"/>
      <c r="AQ75" s="903"/>
      <c r="AR75" s="903"/>
      <c r="AS75" s="903"/>
      <c r="AT75" s="903"/>
      <c r="AU75" s="903"/>
      <c r="AV75" s="903"/>
      <c r="AW75" s="903"/>
      <c r="AX75" s="903"/>
      <c r="AY75" s="903"/>
      <c r="AZ75" s="903"/>
      <c r="BA75" s="903"/>
      <c r="BB75" s="903"/>
      <c r="BC75" s="903"/>
      <c r="BD75" s="903"/>
      <c r="BE75" s="903"/>
      <c r="BF75" s="1281">
        <f>SUM(BF9:BF74)</f>
        <v>1836741524</v>
      </c>
      <c r="BG75" s="1281">
        <f>SUM(BG9:BG74)</f>
        <v>1085530775</v>
      </c>
      <c r="BH75" s="1282"/>
      <c r="BI75" s="1283"/>
      <c r="BJ75" s="1284"/>
      <c r="BK75" s="1285"/>
      <c r="BL75" s="1285"/>
      <c r="BM75" s="1285"/>
      <c r="BN75" s="1285"/>
      <c r="BO75" s="1286"/>
    </row>
    <row r="76" spans="1:67" ht="15" x14ac:dyDescent="0.25">
      <c r="I76" s="1005"/>
      <c r="J76" s="1088"/>
      <c r="K76" s="1094"/>
      <c r="T76" s="1088"/>
      <c r="U76" s="1088"/>
      <c r="V76" s="1088"/>
      <c r="BI76" s="1289"/>
      <c r="BJ76" s="1290"/>
      <c r="BK76" s="1291"/>
      <c r="BL76" s="1291"/>
      <c r="BM76" s="1291"/>
      <c r="BN76" s="1291"/>
    </row>
    <row r="77" spans="1:67" ht="15" x14ac:dyDescent="0.25">
      <c r="I77" s="1005"/>
      <c r="BI77" s="1289"/>
      <c r="BJ77" s="1290"/>
      <c r="BK77" s="1291"/>
      <c r="BL77" s="1291"/>
      <c r="BM77" s="1291"/>
      <c r="BN77" s="1291"/>
    </row>
    <row r="78" spans="1:67" ht="36.75" customHeight="1" x14ac:dyDescent="0.25">
      <c r="H78" s="4040"/>
      <c r="I78" s="4040"/>
      <c r="J78" s="4040"/>
      <c r="K78" s="4040"/>
      <c r="L78" s="4040"/>
      <c r="M78" s="4040"/>
      <c r="N78" s="4040"/>
      <c r="O78" s="4040"/>
      <c r="AA78" s="1292"/>
      <c r="AB78" s="1292"/>
      <c r="AC78" s="1292"/>
      <c r="AD78" s="1292"/>
      <c r="AE78" s="1293"/>
      <c r="AF78" s="1293"/>
      <c r="AG78" s="1294"/>
      <c r="AH78" s="1294"/>
      <c r="AI78" s="1294"/>
      <c r="AJ78" s="1294"/>
      <c r="AK78" s="1294"/>
      <c r="AL78" s="1294"/>
      <c r="AM78" s="1294"/>
      <c r="AN78" s="1294"/>
      <c r="AO78" s="1294"/>
      <c r="AP78" s="1294"/>
      <c r="BI78" s="1289"/>
      <c r="BJ78" s="1290"/>
      <c r="BK78" s="1291"/>
      <c r="BL78" s="1291"/>
      <c r="BM78" s="1291"/>
      <c r="BN78" s="1291"/>
    </row>
    <row r="79" spans="1:67" ht="15" x14ac:dyDescent="0.25">
      <c r="I79" s="1005"/>
    </row>
    <row r="84" spans="8:11" ht="15" x14ac:dyDescent="0.25">
      <c r="H84" s="4201" t="s">
        <v>863</v>
      </c>
      <c r="I84" s="4201"/>
      <c r="J84" s="4201"/>
      <c r="K84" s="1296"/>
    </row>
    <row r="85" spans="8:11" x14ac:dyDescent="0.25">
      <c r="H85" s="1087" t="s">
        <v>864</v>
      </c>
    </row>
  </sheetData>
  <sheetProtection password="A60F" sheet="1" objects="1" scenarios="1"/>
  <mergeCells count="676">
    <mergeCell ref="Y6:BD6"/>
    <mergeCell ref="A1:BK4"/>
    <mergeCell ref="A5:J6"/>
    <mergeCell ref="L5:BO5"/>
    <mergeCell ref="A7:A9"/>
    <mergeCell ref="B7:B9"/>
    <mergeCell ref="C7:C9"/>
    <mergeCell ref="D7:D9"/>
    <mergeCell ref="E7:E9"/>
    <mergeCell ref="F7:F9"/>
    <mergeCell ref="N7:N9"/>
    <mergeCell ref="O7:O9"/>
    <mergeCell ref="P7:P9"/>
    <mergeCell ref="Q7:Q9"/>
    <mergeCell ref="R7:R9"/>
    <mergeCell ref="S7:S9"/>
    <mergeCell ref="G7:G9"/>
    <mergeCell ref="H7:H9"/>
    <mergeCell ref="I7:I9"/>
    <mergeCell ref="J7:K8"/>
    <mergeCell ref="L7:L9"/>
    <mergeCell ref="M7:M9"/>
    <mergeCell ref="Y8:Z8"/>
    <mergeCell ref="AA8:AB8"/>
    <mergeCell ref="AC8:AD8"/>
    <mergeCell ref="AE8:AF8"/>
    <mergeCell ref="AG8:AH8"/>
    <mergeCell ref="T7:V8"/>
    <mergeCell ref="X7:X9"/>
    <mergeCell ref="Y7:AB7"/>
    <mergeCell ref="AC7:AJ7"/>
    <mergeCell ref="AI8:AJ8"/>
    <mergeCell ref="AU8:AV8"/>
    <mergeCell ref="W7:W9"/>
    <mergeCell ref="AW8:AX8"/>
    <mergeCell ref="AY8:AZ8"/>
    <mergeCell ref="BA8:BB8"/>
    <mergeCell ref="BC7:BD7"/>
    <mergeCell ref="BE7:BJ7"/>
    <mergeCell ref="BK7:BL8"/>
    <mergeCell ref="BM7:BN8"/>
    <mergeCell ref="BO7:BO9"/>
    <mergeCell ref="AK7:AV7"/>
    <mergeCell ref="AW7:BB7"/>
    <mergeCell ref="AK8:AL8"/>
    <mergeCell ref="AM8:AN8"/>
    <mergeCell ref="AO8:AP8"/>
    <mergeCell ref="L13:L18"/>
    <mergeCell ref="M13:M18"/>
    <mergeCell ref="N13:N18"/>
    <mergeCell ref="O13:O14"/>
    <mergeCell ref="P13:P18"/>
    <mergeCell ref="Q13:Q18"/>
    <mergeCell ref="BJ8:BJ9"/>
    <mergeCell ref="B10:D10"/>
    <mergeCell ref="A11:B32"/>
    <mergeCell ref="C12:D32"/>
    <mergeCell ref="E13:F18"/>
    <mergeCell ref="G13:G14"/>
    <mergeCell ref="H13:H14"/>
    <mergeCell ref="I13:I14"/>
    <mergeCell ref="J13:J14"/>
    <mergeCell ref="K13:K14"/>
    <mergeCell ref="BC8:BD8"/>
    <mergeCell ref="BE8:BE9"/>
    <mergeCell ref="BF8:BF9"/>
    <mergeCell ref="BG8:BG9"/>
    <mergeCell ref="BH8:BH9"/>
    <mergeCell ref="BI8:BI9"/>
    <mergeCell ref="AQ8:AR8"/>
    <mergeCell ref="AS8:AT8"/>
    <mergeCell ref="AF13:AF18"/>
    <mergeCell ref="AG13:AG18"/>
    <mergeCell ref="AH13:AH18"/>
    <mergeCell ref="AI13:AI18"/>
    <mergeCell ref="R13:R15"/>
    <mergeCell ref="Y13:Y18"/>
    <mergeCell ref="Z13:Z18"/>
    <mergeCell ref="AA13:AA18"/>
    <mergeCell ref="AB13:AB18"/>
    <mergeCell ref="AC13:AC18"/>
    <mergeCell ref="F19:I19"/>
    <mergeCell ref="E20:F21"/>
    <mergeCell ref="L20:L21"/>
    <mergeCell ref="M20:M21"/>
    <mergeCell ref="N20:N21"/>
    <mergeCell ref="P20:P21"/>
    <mergeCell ref="Q20:Q21"/>
    <mergeCell ref="BH13:BH18"/>
    <mergeCell ref="BI13:BI18"/>
    <mergeCell ref="BB13:BB18"/>
    <mergeCell ref="BC13:BC18"/>
    <mergeCell ref="BD13:BD18"/>
    <mergeCell ref="BE13:BE18"/>
    <mergeCell ref="BF13:BF18"/>
    <mergeCell ref="BG13:BG18"/>
    <mergeCell ref="AV13:AV18"/>
    <mergeCell ref="AW13:AW18"/>
    <mergeCell ref="AX13:AX18"/>
    <mergeCell ref="AY13:AY18"/>
    <mergeCell ref="AZ13:AZ18"/>
    <mergeCell ref="BA13:BA18"/>
    <mergeCell ref="AP13:AP18"/>
    <mergeCell ref="AQ13:AQ18"/>
    <mergeCell ref="AR13:AR18"/>
    <mergeCell ref="R20:R21"/>
    <mergeCell ref="Y20:Y21"/>
    <mergeCell ref="Z20:Z21"/>
    <mergeCell ref="AA20:AA21"/>
    <mergeCell ref="AB20:AB21"/>
    <mergeCell ref="AC20:AC21"/>
    <mergeCell ref="BN13:BN18"/>
    <mergeCell ref="BO13:BO18"/>
    <mergeCell ref="R16:R18"/>
    <mergeCell ref="BJ13:BJ18"/>
    <mergeCell ref="BK13:BK18"/>
    <mergeCell ref="BL13:BL18"/>
    <mergeCell ref="BM13:BM18"/>
    <mergeCell ref="AS13:AS18"/>
    <mergeCell ref="AT13:AT18"/>
    <mergeCell ref="AU13:AU18"/>
    <mergeCell ref="AJ13:AJ18"/>
    <mergeCell ref="AK13:AK18"/>
    <mergeCell ref="AL13:AL18"/>
    <mergeCell ref="AM13:AM18"/>
    <mergeCell ref="AN13:AN18"/>
    <mergeCell ref="AO13:AO18"/>
    <mergeCell ref="AD13:AD18"/>
    <mergeCell ref="AE13:AE18"/>
    <mergeCell ref="AJ20:AJ21"/>
    <mergeCell ref="AK20:AK21"/>
    <mergeCell ref="AL20:AL21"/>
    <mergeCell ref="AM20:AM21"/>
    <mergeCell ref="AN20:AN21"/>
    <mergeCell ref="AO20:AO21"/>
    <mergeCell ref="AD20:AD21"/>
    <mergeCell ref="AE20:AE21"/>
    <mergeCell ref="AF20:AF21"/>
    <mergeCell ref="AG20:AG21"/>
    <mergeCell ref="AH20:AH21"/>
    <mergeCell ref="AI20:AI21"/>
    <mergeCell ref="AX20:AX21"/>
    <mergeCell ref="AY20:AY21"/>
    <mergeCell ref="AZ20:AZ21"/>
    <mergeCell ref="BA20:BA21"/>
    <mergeCell ref="AP20:AP21"/>
    <mergeCell ref="AQ20:AQ21"/>
    <mergeCell ref="AR20:AR21"/>
    <mergeCell ref="AS20:AS21"/>
    <mergeCell ref="AT20:AT21"/>
    <mergeCell ref="AU20:AU21"/>
    <mergeCell ref="BN20:BN21"/>
    <mergeCell ref="BO20:BO21"/>
    <mergeCell ref="E23:F32"/>
    <mergeCell ref="G23:G25"/>
    <mergeCell ref="H23:H25"/>
    <mergeCell ref="I23:I25"/>
    <mergeCell ref="J23:J25"/>
    <mergeCell ref="K23:K25"/>
    <mergeCell ref="L23:L27"/>
    <mergeCell ref="M23:M27"/>
    <mergeCell ref="BH20:BH21"/>
    <mergeCell ref="BI20:BI21"/>
    <mergeCell ref="BJ20:BJ21"/>
    <mergeCell ref="BK20:BK21"/>
    <mergeCell ref="BL20:BL21"/>
    <mergeCell ref="BM20:BM21"/>
    <mergeCell ref="BB20:BB21"/>
    <mergeCell ref="BC20:BC21"/>
    <mergeCell ref="BD20:BD21"/>
    <mergeCell ref="BE20:BE21"/>
    <mergeCell ref="BF20:BF21"/>
    <mergeCell ref="BG20:BG21"/>
    <mergeCell ref="AV20:AV21"/>
    <mergeCell ref="AW20:AW21"/>
    <mergeCell ref="Y23:Y27"/>
    <mergeCell ref="Z23:Z27"/>
    <mergeCell ref="AA23:AA27"/>
    <mergeCell ref="AC23:AC27"/>
    <mergeCell ref="AD23:AD27"/>
    <mergeCell ref="N23:N27"/>
    <mergeCell ref="O23:O25"/>
    <mergeCell ref="P23:P25"/>
    <mergeCell ref="Q23:Q27"/>
    <mergeCell ref="R23:R27"/>
    <mergeCell ref="S23:S24"/>
    <mergeCell ref="AK23:AK27"/>
    <mergeCell ref="AL23:AL27"/>
    <mergeCell ref="AM23:AM27"/>
    <mergeCell ref="AN23:AN27"/>
    <mergeCell ref="AO23:AO27"/>
    <mergeCell ref="AP23:AP27"/>
    <mergeCell ref="AE23:AE27"/>
    <mergeCell ref="AF23:AF27"/>
    <mergeCell ref="AG23:AG27"/>
    <mergeCell ref="AH23:AH27"/>
    <mergeCell ref="AI23:AI27"/>
    <mergeCell ref="AJ23:AJ27"/>
    <mergeCell ref="AZ23:AZ27"/>
    <mergeCell ref="BA23:BA27"/>
    <mergeCell ref="BB23:BB27"/>
    <mergeCell ref="AQ23:AQ27"/>
    <mergeCell ref="AR23:AR27"/>
    <mergeCell ref="AS23:AS27"/>
    <mergeCell ref="AT23:AT27"/>
    <mergeCell ref="AU23:AU27"/>
    <mergeCell ref="AV23:AV27"/>
    <mergeCell ref="BO23:BO27"/>
    <mergeCell ref="G26:G27"/>
    <mergeCell ref="H26:H27"/>
    <mergeCell ref="I26:I27"/>
    <mergeCell ref="J26:J27"/>
    <mergeCell ref="K26:K27"/>
    <mergeCell ref="O26:O27"/>
    <mergeCell ref="P26:P27"/>
    <mergeCell ref="S26:S27"/>
    <mergeCell ref="BI23:BI27"/>
    <mergeCell ref="BJ23:BJ27"/>
    <mergeCell ref="BK23:BK27"/>
    <mergeCell ref="BL23:BL27"/>
    <mergeCell ref="BM23:BM27"/>
    <mergeCell ref="BN23:BN27"/>
    <mergeCell ref="BC23:BC27"/>
    <mergeCell ref="BD23:BD27"/>
    <mergeCell ref="BE23:BE27"/>
    <mergeCell ref="BF23:BF27"/>
    <mergeCell ref="BG23:BG27"/>
    <mergeCell ref="BH23:BH27"/>
    <mergeCell ref="AW23:AW27"/>
    <mergeCell ref="AX23:AX27"/>
    <mergeCell ref="AY23:AY27"/>
    <mergeCell ref="Y28:Y32"/>
    <mergeCell ref="Z28:Z32"/>
    <mergeCell ref="AA28:AA32"/>
    <mergeCell ref="AB28:AB32"/>
    <mergeCell ref="AC28:AC32"/>
    <mergeCell ref="AD28:AD32"/>
    <mergeCell ref="L28:L32"/>
    <mergeCell ref="M28:M32"/>
    <mergeCell ref="N28:N32"/>
    <mergeCell ref="P28:P32"/>
    <mergeCell ref="Q28:Q32"/>
    <mergeCell ref="R28:R32"/>
    <mergeCell ref="AK28:AK32"/>
    <mergeCell ref="AL28:AL32"/>
    <mergeCell ref="AM28:AM32"/>
    <mergeCell ref="AN28:AN32"/>
    <mergeCell ref="AO28:AO32"/>
    <mergeCell ref="AP28:AP32"/>
    <mergeCell ref="AE28:AE32"/>
    <mergeCell ref="AF28:AF32"/>
    <mergeCell ref="AG28:AG32"/>
    <mergeCell ref="AH28:AH32"/>
    <mergeCell ref="AI28:AI32"/>
    <mergeCell ref="AJ28:AJ32"/>
    <mergeCell ref="AY28:AY32"/>
    <mergeCell ref="AZ28:AZ32"/>
    <mergeCell ref="BA28:BA32"/>
    <mergeCell ref="BB28:BB32"/>
    <mergeCell ref="AQ28:AQ32"/>
    <mergeCell ref="AR28:AR32"/>
    <mergeCell ref="AS28:AS32"/>
    <mergeCell ref="AT28:AT32"/>
    <mergeCell ref="AU28:AU32"/>
    <mergeCell ref="AV28:AV32"/>
    <mergeCell ref="BO28:BO32"/>
    <mergeCell ref="A34:B66"/>
    <mergeCell ref="C35:D66"/>
    <mergeCell ref="E36:F43"/>
    <mergeCell ref="G36:G37"/>
    <mergeCell ref="H36:H37"/>
    <mergeCell ref="I36:I37"/>
    <mergeCell ref="J36:J37"/>
    <mergeCell ref="K36:K37"/>
    <mergeCell ref="L36:L43"/>
    <mergeCell ref="BI28:BI32"/>
    <mergeCell ref="BJ28:BJ32"/>
    <mergeCell ref="BK28:BK32"/>
    <mergeCell ref="BL28:BL32"/>
    <mergeCell ref="BM28:BM32"/>
    <mergeCell ref="BN28:BN32"/>
    <mergeCell ref="BC28:BC32"/>
    <mergeCell ref="BD28:BD32"/>
    <mergeCell ref="BE28:BE32"/>
    <mergeCell ref="BF28:BF32"/>
    <mergeCell ref="BG28:BG32"/>
    <mergeCell ref="BH28:BH32"/>
    <mergeCell ref="AW28:AW32"/>
    <mergeCell ref="AX28:AX32"/>
    <mergeCell ref="Y36:Y43"/>
    <mergeCell ref="Z36:Z43"/>
    <mergeCell ref="AA36:AA43"/>
    <mergeCell ref="AB36:AB43"/>
    <mergeCell ref="AC36:AC43"/>
    <mergeCell ref="AD36:AD43"/>
    <mergeCell ref="M36:M43"/>
    <mergeCell ref="N36:N43"/>
    <mergeCell ref="O36:O37"/>
    <mergeCell ref="P36:P43"/>
    <mergeCell ref="Q36:Q43"/>
    <mergeCell ref="R36:R39"/>
    <mergeCell ref="AK36:AK43"/>
    <mergeCell ref="AL36:AL43"/>
    <mergeCell ref="AM36:AM43"/>
    <mergeCell ref="AN36:AN43"/>
    <mergeCell ref="AO36:AO43"/>
    <mergeCell ref="AP36:AP43"/>
    <mergeCell ref="AE36:AE43"/>
    <mergeCell ref="AF36:AF43"/>
    <mergeCell ref="AG36:AG43"/>
    <mergeCell ref="AH36:AH43"/>
    <mergeCell ref="AI36:AI43"/>
    <mergeCell ref="AJ36:AJ43"/>
    <mergeCell ref="AY36:AY43"/>
    <mergeCell ref="AZ36:AZ43"/>
    <mergeCell ref="BA36:BA43"/>
    <mergeCell ref="BB36:BB43"/>
    <mergeCell ref="AQ36:AQ43"/>
    <mergeCell ref="AR36:AR43"/>
    <mergeCell ref="AS36:AS43"/>
    <mergeCell ref="AT36:AT43"/>
    <mergeCell ref="AU36:AU43"/>
    <mergeCell ref="AV36:AV43"/>
    <mergeCell ref="BO36:BO43"/>
    <mergeCell ref="G38:G39"/>
    <mergeCell ref="H38:H39"/>
    <mergeCell ref="I38:I39"/>
    <mergeCell ref="J38:J39"/>
    <mergeCell ref="K38:K39"/>
    <mergeCell ref="O38:O39"/>
    <mergeCell ref="G40:G42"/>
    <mergeCell ref="H40:H42"/>
    <mergeCell ref="I40:I42"/>
    <mergeCell ref="BI36:BI43"/>
    <mergeCell ref="BJ36:BJ43"/>
    <mergeCell ref="BK36:BK43"/>
    <mergeCell ref="BL36:BL43"/>
    <mergeCell ref="BM36:BM43"/>
    <mergeCell ref="BN36:BN43"/>
    <mergeCell ref="BC36:BC43"/>
    <mergeCell ref="BD36:BD43"/>
    <mergeCell ref="BE36:BE43"/>
    <mergeCell ref="BF36:BF43"/>
    <mergeCell ref="BG36:BG43"/>
    <mergeCell ref="BH36:BH43"/>
    <mergeCell ref="AW36:AW43"/>
    <mergeCell ref="AX36:AX43"/>
    <mergeCell ref="J40:J42"/>
    <mergeCell ref="K40:K42"/>
    <mergeCell ref="O40:O42"/>
    <mergeCell ref="R40:R43"/>
    <mergeCell ref="E45:F58"/>
    <mergeCell ref="G45:G50"/>
    <mergeCell ref="H45:H50"/>
    <mergeCell ref="I45:I50"/>
    <mergeCell ref="J45:J50"/>
    <mergeCell ref="K45:K50"/>
    <mergeCell ref="R45:R51"/>
    <mergeCell ref="M57:M58"/>
    <mergeCell ref="N57:N58"/>
    <mergeCell ref="O57:O58"/>
    <mergeCell ref="P57:P58"/>
    <mergeCell ref="Q57:Q58"/>
    <mergeCell ref="Y45:Y53"/>
    <mergeCell ref="Z45:Z53"/>
    <mergeCell ref="AA45:AA53"/>
    <mergeCell ref="AB45:AB53"/>
    <mergeCell ref="AC45:AC53"/>
    <mergeCell ref="L45:L53"/>
    <mergeCell ref="M45:M53"/>
    <mergeCell ref="N45:N53"/>
    <mergeCell ref="O45:O50"/>
    <mergeCell ref="P45:P53"/>
    <mergeCell ref="Q45:Q53"/>
    <mergeCell ref="AJ45:AJ53"/>
    <mergeCell ref="AK45:AK53"/>
    <mergeCell ref="AL45:AL53"/>
    <mergeCell ref="AM45:AM53"/>
    <mergeCell ref="AN45:AN53"/>
    <mergeCell ref="AO45:AO53"/>
    <mergeCell ref="AD45:AD53"/>
    <mergeCell ref="AE45:AE53"/>
    <mergeCell ref="AF45:AF53"/>
    <mergeCell ref="AG45:AG53"/>
    <mergeCell ref="AH45:AH53"/>
    <mergeCell ref="AI45:AI53"/>
    <mergeCell ref="AX45:AX53"/>
    <mergeCell ref="AY45:AY53"/>
    <mergeCell ref="AZ45:AZ53"/>
    <mergeCell ref="BA45:BA53"/>
    <mergeCell ref="AP45:AP53"/>
    <mergeCell ref="AQ45:AQ53"/>
    <mergeCell ref="AR45:AR53"/>
    <mergeCell ref="AS45:AS53"/>
    <mergeCell ref="AT45:AT53"/>
    <mergeCell ref="AU45:AU53"/>
    <mergeCell ref="BN45:BN53"/>
    <mergeCell ref="BO45:BO53"/>
    <mergeCell ref="S47:S48"/>
    <mergeCell ref="S49:S50"/>
    <mergeCell ref="G54:G56"/>
    <mergeCell ref="H54:H56"/>
    <mergeCell ref="I54:I56"/>
    <mergeCell ref="J54:J56"/>
    <mergeCell ref="K54:K56"/>
    <mergeCell ref="M54:M56"/>
    <mergeCell ref="BH45:BH53"/>
    <mergeCell ref="BI45:BI53"/>
    <mergeCell ref="BJ45:BJ53"/>
    <mergeCell ref="BK45:BK53"/>
    <mergeCell ref="BL45:BL53"/>
    <mergeCell ref="BM45:BM53"/>
    <mergeCell ref="BB45:BB53"/>
    <mergeCell ref="BC45:BC53"/>
    <mergeCell ref="BD45:BD53"/>
    <mergeCell ref="BE45:BE53"/>
    <mergeCell ref="BF45:BF53"/>
    <mergeCell ref="BG45:BG53"/>
    <mergeCell ref="AV45:AV53"/>
    <mergeCell ref="AW45:AW53"/>
    <mergeCell ref="Z54:Z56"/>
    <mergeCell ref="AA54:AA56"/>
    <mergeCell ref="AB54:AB56"/>
    <mergeCell ref="AC54:AC56"/>
    <mergeCell ref="AD54:AD56"/>
    <mergeCell ref="AE54:AE56"/>
    <mergeCell ref="N54:N56"/>
    <mergeCell ref="O54:O56"/>
    <mergeCell ref="P54:P56"/>
    <mergeCell ref="Q54:Q56"/>
    <mergeCell ref="R54:R56"/>
    <mergeCell ref="Y54:Y56"/>
    <mergeCell ref="S55:S56"/>
    <mergeCell ref="AL54:AL56"/>
    <mergeCell ref="AM54:AM56"/>
    <mergeCell ref="AN54:AN56"/>
    <mergeCell ref="AO54:AO56"/>
    <mergeCell ref="AP54:AP56"/>
    <mergeCell ref="AQ54:AQ56"/>
    <mergeCell ref="AF54:AF56"/>
    <mergeCell ref="AG54:AG56"/>
    <mergeCell ref="AH54:AH56"/>
    <mergeCell ref="AI54:AI56"/>
    <mergeCell ref="AJ54:AJ56"/>
    <mergeCell ref="AK54:AK56"/>
    <mergeCell ref="AX54:AX56"/>
    <mergeCell ref="AY54:AY56"/>
    <mergeCell ref="AZ54:AZ56"/>
    <mergeCell ref="BA54:BA56"/>
    <mergeCell ref="BB54:BB56"/>
    <mergeCell ref="BC54:BC56"/>
    <mergeCell ref="AR54:AR56"/>
    <mergeCell ref="AS54:AS56"/>
    <mergeCell ref="AT54:AT56"/>
    <mergeCell ref="AU54:AU56"/>
    <mergeCell ref="AV54:AV56"/>
    <mergeCell ref="AW54:AW56"/>
    <mergeCell ref="BJ54:BJ56"/>
    <mergeCell ref="BK54:BK56"/>
    <mergeCell ref="BL54:BL56"/>
    <mergeCell ref="BM54:BM56"/>
    <mergeCell ref="BN54:BN56"/>
    <mergeCell ref="BO54:BO56"/>
    <mergeCell ref="BD54:BD56"/>
    <mergeCell ref="BE54:BE56"/>
    <mergeCell ref="BF54:BF56"/>
    <mergeCell ref="BG54:BG56"/>
    <mergeCell ref="BH54:BH56"/>
    <mergeCell ref="BI54:BI56"/>
    <mergeCell ref="S57:S58"/>
    <mergeCell ref="G57:G58"/>
    <mergeCell ref="H57:H58"/>
    <mergeCell ref="I57:I58"/>
    <mergeCell ref="J57:J58"/>
    <mergeCell ref="K57:K58"/>
    <mergeCell ref="L57:L58"/>
    <mergeCell ref="Z57:Z58"/>
    <mergeCell ref="AA57:AA58"/>
    <mergeCell ref="AB57:AB58"/>
    <mergeCell ref="AC57:AC58"/>
    <mergeCell ref="AD57:AD58"/>
    <mergeCell ref="AE57:AE58"/>
    <mergeCell ref="T57:T58"/>
    <mergeCell ref="U57:U58"/>
    <mergeCell ref="V57:V58"/>
    <mergeCell ref="W57:W58"/>
    <mergeCell ref="X57:X58"/>
    <mergeCell ref="Y57:Y58"/>
    <mergeCell ref="AL57:AL58"/>
    <mergeCell ref="AM57:AM58"/>
    <mergeCell ref="AN57:AN58"/>
    <mergeCell ref="AO57:AO58"/>
    <mergeCell ref="AP57:AP58"/>
    <mergeCell ref="AQ57:AQ58"/>
    <mergeCell ref="AF57:AF58"/>
    <mergeCell ref="AG57:AG58"/>
    <mergeCell ref="AH57:AH58"/>
    <mergeCell ref="AI57:AI58"/>
    <mergeCell ref="AJ57:AJ58"/>
    <mergeCell ref="AK57:AK58"/>
    <mergeCell ref="AX57:AX58"/>
    <mergeCell ref="AY57:AY58"/>
    <mergeCell ref="AZ57:AZ58"/>
    <mergeCell ref="BA57:BA58"/>
    <mergeCell ref="BB57:BB58"/>
    <mergeCell ref="BC57:BC58"/>
    <mergeCell ref="AR57:AR58"/>
    <mergeCell ref="AS57:AS58"/>
    <mergeCell ref="AT57:AT58"/>
    <mergeCell ref="AU57:AU58"/>
    <mergeCell ref="AV57:AV58"/>
    <mergeCell ref="AW57:AW58"/>
    <mergeCell ref="BJ57:BJ58"/>
    <mergeCell ref="BK57:BK58"/>
    <mergeCell ref="BL57:BL58"/>
    <mergeCell ref="BM57:BM58"/>
    <mergeCell ref="BN57:BN58"/>
    <mergeCell ref="BO57:BO58"/>
    <mergeCell ref="BD57:BD58"/>
    <mergeCell ref="BE57:BE58"/>
    <mergeCell ref="BF57:BF58"/>
    <mergeCell ref="BG57:BG58"/>
    <mergeCell ref="BH57:BH58"/>
    <mergeCell ref="BI57:BI58"/>
    <mergeCell ref="Y60:Y63"/>
    <mergeCell ref="Z60:Z63"/>
    <mergeCell ref="AA60:AA63"/>
    <mergeCell ref="AB60:AB63"/>
    <mergeCell ref="AC60:AC63"/>
    <mergeCell ref="AD60:AD63"/>
    <mergeCell ref="E60:F63"/>
    <mergeCell ref="L60:L63"/>
    <mergeCell ref="M60:M63"/>
    <mergeCell ref="N60:N63"/>
    <mergeCell ref="P60:P63"/>
    <mergeCell ref="Q60:Q63"/>
    <mergeCell ref="AK60:AK63"/>
    <mergeCell ref="AL60:AL63"/>
    <mergeCell ref="AM60:AM63"/>
    <mergeCell ref="AN60:AN63"/>
    <mergeCell ref="AO60:AO63"/>
    <mergeCell ref="AP60:AP63"/>
    <mergeCell ref="AE60:AE63"/>
    <mergeCell ref="AF60:AF63"/>
    <mergeCell ref="AG60:AG63"/>
    <mergeCell ref="AH60:AH63"/>
    <mergeCell ref="AI60:AI63"/>
    <mergeCell ref="AJ60:AJ63"/>
    <mergeCell ref="AY60:AY63"/>
    <mergeCell ref="AZ60:AZ63"/>
    <mergeCell ref="BA60:BA63"/>
    <mergeCell ref="BB60:BB63"/>
    <mergeCell ref="AQ60:AQ63"/>
    <mergeCell ref="AR60:AR63"/>
    <mergeCell ref="AS60:AS63"/>
    <mergeCell ref="AT60:AT63"/>
    <mergeCell ref="AU60:AU63"/>
    <mergeCell ref="AV60:AV63"/>
    <mergeCell ref="BO60:BO63"/>
    <mergeCell ref="R62:R63"/>
    <mergeCell ref="E65:F66"/>
    <mergeCell ref="L65:L66"/>
    <mergeCell ref="M65:M66"/>
    <mergeCell ref="N65:N66"/>
    <mergeCell ref="P65:P66"/>
    <mergeCell ref="Q65:Q66"/>
    <mergeCell ref="Y65:Y66"/>
    <mergeCell ref="Z65:Z66"/>
    <mergeCell ref="BI60:BI63"/>
    <mergeCell ref="BJ60:BJ63"/>
    <mergeCell ref="BK60:BK63"/>
    <mergeCell ref="BL60:BL63"/>
    <mergeCell ref="BM60:BM63"/>
    <mergeCell ref="BN60:BN63"/>
    <mergeCell ref="BC60:BC63"/>
    <mergeCell ref="BD60:BD63"/>
    <mergeCell ref="BE60:BE63"/>
    <mergeCell ref="BF60:BF63"/>
    <mergeCell ref="BG60:BG63"/>
    <mergeCell ref="BH60:BH63"/>
    <mergeCell ref="AW60:AW63"/>
    <mergeCell ref="AX60:AX63"/>
    <mergeCell ref="AG65:AG66"/>
    <mergeCell ref="AH65:AH66"/>
    <mergeCell ref="AI65:AI66"/>
    <mergeCell ref="AJ65:AJ66"/>
    <mergeCell ref="AK65:AK66"/>
    <mergeCell ref="AL65:AL66"/>
    <mergeCell ref="AA65:AA66"/>
    <mergeCell ref="AB65:AB66"/>
    <mergeCell ref="AC65:AC66"/>
    <mergeCell ref="AD65:AD66"/>
    <mergeCell ref="AE65:AE66"/>
    <mergeCell ref="AF65:AF66"/>
    <mergeCell ref="AU65:AU66"/>
    <mergeCell ref="AV65:AV66"/>
    <mergeCell ref="AW65:AW66"/>
    <mergeCell ref="AX65:AX66"/>
    <mergeCell ref="AM65:AM66"/>
    <mergeCell ref="AN65:AN66"/>
    <mergeCell ref="AO65:AO66"/>
    <mergeCell ref="AP65:AP66"/>
    <mergeCell ref="AQ65:AQ66"/>
    <mergeCell ref="AR65:AR66"/>
    <mergeCell ref="BK65:BK66"/>
    <mergeCell ref="BL65:BL66"/>
    <mergeCell ref="BM65:BM66"/>
    <mergeCell ref="BN65:BN66"/>
    <mergeCell ref="BO65:BO66"/>
    <mergeCell ref="A68:B74"/>
    <mergeCell ref="C69:D74"/>
    <mergeCell ref="E70:F74"/>
    <mergeCell ref="L70:L74"/>
    <mergeCell ref="M70:M74"/>
    <mergeCell ref="BE65:BE66"/>
    <mergeCell ref="BF65:BF66"/>
    <mergeCell ref="BG65:BG66"/>
    <mergeCell ref="BH65:BH66"/>
    <mergeCell ref="BI65:BI66"/>
    <mergeCell ref="BJ65:BJ66"/>
    <mergeCell ref="AY65:AY66"/>
    <mergeCell ref="AZ65:AZ66"/>
    <mergeCell ref="BA65:BA66"/>
    <mergeCell ref="BB65:BB66"/>
    <mergeCell ref="BC65:BC66"/>
    <mergeCell ref="BD65:BD66"/>
    <mergeCell ref="AS65:AS66"/>
    <mergeCell ref="AT65:AT66"/>
    <mergeCell ref="AB70:AB74"/>
    <mergeCell ref="AC70:AC74"/>
    <mergeCell ref="AD70:AD74"/>
    <mergeCell ref="AE70:AE74"/>
    <mergeCell ref="AF70:AF74"/>
    <mergeCell ref="AG70:AG74"/>
    <mergeCell ref="N70:N74"/>
    <mergeCell ref="P70:P74"/>
    <mergeCell ref="Q70:Q74"/>
    <mergeCell ref="Y70:Y74"/>
    <mergeCell ref="Z70:Z74"/>
    <mergeCell ref="AA70:AA74"/>
    <mergeCell ref="AN70:AN74"/>
    <mergeCell ref="AO70:AO74"/>
    <mergeCell ref="AP70:AP74"/>
    <mergeCell ref="AQ70:AQ74"/>
    <mergeCell ref="AR70:AR74"/>
    <mergeCell ref="AS70:AS74"/>
    <mergeCell ref="AH70:AH74"/>
    <mergeCell ref="AI70:AI74"/>
    <mergeCell ref="AJ70:AJ74"/>
    <mergeCell ref="AK70:AK74"/>
    <mergeCell ref="AL70:AL74"/>
    <mergeCell ref="AM70:AM74"/>
    <mergeCell ref="BL70:BL74"/>
    <mergeCell ref="BM70:BM74"/>
    <mergeCell ref="BN70:BN74"/>
    <mergeCell ref="BO70:BO74"/>
    <mergeCell ref="H78:O78"/>
    <mergeCell ref="H84:J84"/>
    <mergeCell ref="BF70:BF74"/>
    <mergeCell ref="BG70:BG74"/>
    <mergeCell ref="BH70:BH74"/>
    <mergeCell ref="BI70:BI74"/>
    <mergeCell ref="BJ70:BJ74"/>
    <mergeCell ref="BK70:BK74"/>
    <mergeCell ref="AZ70:AZ74"/>
    <mergeCell ref="BA70:BA74"/>
    <mergeCell ref="BB70:BB74"/>
    <mergeCell ref="BC70:BC74"/>
    <mergeCell ref="BD70:BD74"/>
    <mergeCell ref="BE70:BE74"/>
    <mergeCell ref="AT70:AT74"/>
    <mergeCell ref="AU70:AU74"/>
    <mergeCell ref="AV70:AV74"/>
    <mergeCell ref="AW70:AW74"/>
    <mergeCell ref="AX70:AX74"/>
    <mergeCell ref="AY70:AY74"/>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6"/>
  <sheetViews>
    <sheetView showGridLines="0" zoomScale="70" zoomScaleNormal="70" workbookViewId="0">
      <selection sqref="A1:BL4"/>
    </sheetView>
  </sheetViews>
  <sheetFormatPr baseColWidth="10" defaultColWidth="11.42578125" defaultRowHeight="15" x14ac:dyDescent="0.2"/>
  <cols>
    <col min="1" max="1" width="12.7109375" style="4" customWidth="1"/>
    <col min="2" max="2" width="8" style="4" customWidth="1"/>
    <col min="3" max="3" width="14.85546875" style="4" customWidth="1"/>
    <col min="4" max="4" width="15.7109375" style="4" customWidth="1"/>
    <col min="5" max="5" width="18.7109375" style="4" customWidth="1"/>
    <col min="6" max="6" width="16.5703125" style="4" customWidth="1"/>
    <col min="7" max="7" width="25.5703125" style="4" customWidth="1"/>
    <col min="8" max="8" width="18.85546875" style="4" customWidth="1"/>
    <col min="9" max="9" width="32.42578125" style="4" customWidth="1"/>
    <col min="10" max="10" width="26.7109375" style="4" customWidth="1"/>
    <col min="11" max="12" width="19.42578125" style="4" customWidth="1"/>
    <col min="13" max="13" width="43.140625" style="128" customWidth="1"/>
    <col min="14" max="14" width="23.42578125" style="4" customWidth="1"/>
    <col min="15" max="15" width="33.140625" style="4" customWidth="1"/>
    <col min="16" max="16" width="16.85546875" style="4" customWidth="1"/>
    <col min="17" max="17" width="27.140625" style="4" customWidth="1"/>
    <col min="18" max="18" width="34.42578125" style="4" customWidth="1"/>
    <col min="19" max="19" width="42.140625" style="4" customWidth="1"/>
    <col min="20" max="20" width="34.7109375" style="4" customWidth="1"/>
    <col min="21" max="23" width="27.85546875" style="122" customWidth="1"/>
    <col min="24" max="24" width="18.28515625" style="4" customWidth="1"/>
    <col min="25" max="25" width="28.140625" style="4" customWidth="1"/>
    <col min="26" max="26" width="15.7109375" style="4" customWidth="1"/>
    <col min="27" max="27" width="13.7109375" style="4" customWidth="1"/>
    <col min="28" max="28" width="15.7109375" style="4" customWidth="1"/>
    <col min="29" max="29" width="14.28515625" style="4" customWidth="1"/>
    <col min="30" max="30" width="15.7109375" style="4" customWidth="1"/>
    <col min="31" max="31" width="11.85546875" style="4" customWidth="1"/>
    <col min="32" max="32" width="15.7109375" style="4" customWidth="1"/>
    <col min="33" max="33" width="11.140625" style="4" customWidth="1"/>
    <col min="34" max="34" width="12.140625" style="4" customWidth="1"/>
    <col min="35" max="35" width="13.28515625" style="4" customWidth="1"/>
    <col min="36" max="36" width="10.5703125" style="4" customWidth="1"/>
    <col min="37" max="37" width="10.85546875" style="4" customWidth="1"/>
    <col min="38" max="55" width="10.42578125" style="4" customWidth="1"/>
    <col min="56" max="56" width="11.42578125" style="4" customWidth="1"/>
    <col min="57" max="57" width="12.5703125" style="4" customWidth="1"/>
    <col min="58" max="58" width="15.7109375" style="4" customWidth="1"/>
    <col min="59" max="59" width="19.5703125" style="4" customWidth="1"/>
    <col min="60" max="60" width="16.42578125" style="4" bestFit="1" customWidth="1"/>
    <col min="61" max="62" width="15.7109375" style="4" customWidth="1"/>
    <col min="63" max="63" width="30.140625" style="4" customWidth="1"/>
    <col min="64" max="64" width="16.85546875" style="4" customWidth="1"/>
    <col min="65" max="65" width="14.28515625" style="4" customWidth="1"/>
    <col min="66" max="66" width="19.5703125" style="4" customWidth="1"/>
    <col min="67" max="67" width="18.85546875" style="4" customWidth="1"/>
    <col min="68" max="68" width="22.140625" style="4" customWidth="1"/>
    <col min="69" max="81" width="14.85546875" style="4" customWidth="1"/>
    <col min="82" max="16384" width="11.42578125" style="4"/>
  </cols>
  <sheetData>
    <row r="1" spans="1:69" ht="15.75" customHeight="1" x14ac:dyDescent="0.25">
      <c r="A1" s="3310" t="s">
        <v>312</v>
      </c>
      <c r="B1" s="3310"/>
      <c r="C1" s="3310"/>
      <c r="D1" s="3310"/>
      <c r="E1" s="3310"/>
      <c r="F1" s="3310"/>
      <c r="G1" s="3310"/>
      <c r="H1" s="3310"/>
      <c r="I1" s="3310"/>
      <c r="J1" s="3310"/>
      <c r="K1" s="3310"/>
      <c r="L1" s="3310"/>
      <c r="M1" s="3310"/>
      <c r="N1" s="3310"/>
      <c r="O1" s="3310"/>
      <c r="P1" s="3310"/>
      <c r="Q1" s="3310"/>
      <c r="R1" s="3310"/>
      <c r="S1" s="3310"/>
      <c r="T1" s="3310"/>
      <c r="U1" s="3310"/>
      <c r="V1" s="3310"/>
      <c r="W1" s="3310"/>
      <c r="X1" s="3310"/>
      <c r="Y1" s="3310"/>
      <c r="Z1" s="3310"/>
      <c r="AA1" s="3310"/>
      <c r="AB1" s="3310"/>
      <c r="AC1" s="3310"/>
      <c r="AD1" s="3310"/>
      <c r="AE1" s="3310"/>
      <c r="AF1" s="3310"/>
      <c r="AG1" s="3310"/>
      <c r="AH1" s="3310"/>
      <c r="AI1" s="3310"/>
      <c r="AJ1" s="3310"/>
      <c r="AK1" s="3310"/>
      <c r="AL1" s="3310"/>
      <c r="AM1" s="3310"/>
      <c r="AN1" s="3310"/>
      <c r="AO1" s="3310"/>
      <c r="AP1" s="3310"/>
      <c r="AQ1" s="3310"/>
      <c r="AR1" s="3310"/>
      <c r="AS1" s="3310"/>
      <c r="AT1" s="3310"/>
      <c r="AU1" s="3310"/>
      <c r="AV1" s="3310"/>
      <c r="AW1" s="3310"/>
      <c r="AX1" s="3310"/>
      <c r="AY1" s="3310"/>
      <c r="AZ1" s="3310"/>
      <c r="BA1" s="3310"/>
      <c r="BB1" s="3310"/>
      <c r="BC1" s="3310"/>
      <c r="BD1" s="3310"/>
      <c r="BE1" s="3310"/>
      <c r="BF1" s="3310"/>
      <c r="BG1" s="3310"/>
      <c r="BH1" s="3310"/>
      <c r="BI1" s="3310"/>
      <c r="BJ1" s="3310"/>
      <c r="BK1" s="3310"/>
      <c r="BL1" s="3310"/>
      <c r="BM1" s="1"/>
      <c r="BN1" s="2"/>
      <c r="BO1" s="132" t="s">
        <v>0</v>
      </c>
      <c r="BP1" s="3" t="s">
        <v>1</v>
      </c>
    </row>
    <row r="2" spans="1:69" ht="15.75" customHeight="1" x14ac:dyDescent="0.25">
      <c r="A2" s="3310"/>
      <c r="B2" s="3310"/>
      <c r="C2" s="3310"/>
      <c r="D2" s="3310"/>
      <c r="E2" s="3310"/>
      <c r="F2" s="3310"/>
      <c r="G2" s="3310"/>
      <c r="H2" s="3310"/>
      <c r="I2" s="3310"/>
      <c r="J2" s="3310"/>
      <c r="K2" s="3310"/>
      <c r="L2" s="3310"/>
      <c r="M2" s="3310"/>
      <c r="N2" s="3310"/>
      <c r="O2" s="3310"/>
      <c r="P2" s="3310"/>
      <c r="Q2" s="3310"/>
      <c r="R2" s="3310"/>
      <c r="S2" s="3310"/>
      <c r="T2" s="3310"/>
      <c r="U2" s="3310"/>
      <c r="V2" s="3310"/>
      <c r="W2" s="3310"/>
      <c r="X2" s="3310"/>
      <c r="Y2" s="3310"/>
      <c r="Z2" s="3310"/>
      <c r="AA2" s="3310"/>
      <c r="AB2" s="3310"/>
      <c r="AC2" s="3310"/>
      <c r="AD2" s="3310"/>
      <c r="AE2" s="3310"/>
      <c r="AF2" s="3310"/>
      <c r="AG2" s="3310"/>
      <c r="AH2" s="3310"/>
      <c r="AI2" s="3310"/>
      <c r="AJ2" s="3310"/>
      <c r="AK2" s="3310"/>
      <c r="AL2" s="3310"/>
      <c r="AM2" s="3310"/>
      <c r="AN2" s="3310"/>
      <c r="AO2" s="3310"/>
      <c r="AP2" s="3310"/>
      <c r="AQ2" s="3310"/>
      <c r="AR2" s="3310"/>
      <c r="AS2" s="3310"/>
      <c r="AT2" s="3310"/>
      <c r="AU2" s="3310"/>
      <c r="AV2" s="3310"/>
      <c r="AW2" s="3310"/>
      <c r="AX2" s="3310"/>
      <c r="AY2" s="3310"/>
      <c r="AZ2" s="3310"/>
      <c r="BA2" s="3310"/>
      <c r="BB2" s="3310"/>
      <c r="BC2" s="3310"/>
      <c r="BD2" s="3310"/>
      <c r="BE2" s="3310"/>
      <c r="BF2" s="3310"/>
      <c r="BG2" s="3310"/>
      <c r="BH2" s="3310"/>
      <c r="BI2" s="3310"/>
      <c r="BJ2" s="3310"/>
      <c r="BK2" s="3310"/>
      <c r="BL2" s="3310"/>
      <c r="BM2" s="1"/>
      <c r="BN2" s="5"/>
      <c r="BO2" s="133" t="s">
        <v>2</v>
      </c>
      <c r="BP2" s="6">
        <v>6</v>
      </c>
    </row>
    <row r="3" spans="1:69" ht="15.75" customHeight="1" x14ac:dyDescent="0.25">
      <c r="A3" s="3310"/>
      <c r="B3" s="3310"/>
      <c r="C3" s="3310"/>
      <c r="D3" s="3310"/>
      <c r="E3" s="3310"/>
      <c r="F3" s="3310"/>
      <c r="G3" s="3310"/>
      <c r="H3" s="3310"/>
      <c r="I3" s="3310"/>
      <c r="J3" s="3310"/>
      <c r="K3" s="3310"/>
      <c r="L3" s="3310"/>
      <c r="M3" s="3310"/>
      <c r="N3" s="3310"/>
      <c r="O3" s="3310"/>
      <c r="P3" s="3310"/>
      <c r="Q3" s="3310"/>
      <c r="R3" s="3310"/>
      <c r="S3" s="3310"/>
      <c r="T3" s="3310"/>
      <c r="U3" s="3310"/>
      <c r="V3" s="3310"/>
      <c r="W3" s="3310"/>
      <c r="X3" s="3310"/>
      <c r="Y3" s="3310"/>
      <c r="Z3" s="3310"/>
      <c r="AA3" s="3310"/>
      <c r="AB3" s="3310"/>
      <c r="AC3" s="3310"/>
      <c r="AD3" s="3310"/>
      <c r="AE3" s="3310"/>
      <c r="AF3" s="3310"/>
      <c r="AG3" s="3310"/>
      <c r="AH3" s="3310"/>
      <c r="AI3" s="3310"/>
      <c r="AJ3" s="3310"/>
      <c r="AK3" s="3310"/>
      <c r="AL3" s="3310"/>
      <c r="AM3" s="3310"/>
      <c r="AN3" s="3310"/>
      <c r="AO3" s="3310"/>
      <c r="AP3" s="3310"/>
      <c r="AQ3" s="3310"/>
      <c r="AR3" s="3310"/>
      <c r="AS3" s="3310"/>
      <c r="AT3" s="3310"/>
      <c r="AU3" s="3310"/>
      <c r="AV3" s="3310"/>
      <c r="AW3" s="3310"/>
      <c r="AX3" s="3310"/>
      <c r="AY3" s="3310"/>
      <c r="AZ3" s="3310"/>
      <c r="BA3" s="3310"/>
      <c r="BB3" s="3310"/>
      <c r="BC3" s="3310"/>
      <c r="BD3" s="3310"/>
      <c r="BE3" s="3310"/>
      <c r="BF3" s="3310"/>
      <c r="BG3" s="3310"/>
      <c r="BH3" s="3310"/>
      <c r="BI3" s="3310"/>
      <c r="BJ3" s="3310"/>
      <c r="BK3" s="3310"/>
      <c r="BL3" s="3310"/>
      <c r="BM3" s="1"/>
      <c r="BN3" s="2"/>
      <c r="BO3" s="132" t="s">
        <v>3</v>
      </c>
      <c r="BP3" s="7" t="s">
        <v>4</v>
      </c>
    </row>
    <row r="4" spans="1:69" s="10" customFormat="1" ht="15.75" customHeight="1" x14ac:dyDescent="0.2">
      <c r="A4" s="3004"/>
      <c r="B4" s="3004"/>
      <c r="C4" s="3004"/>
      <c r="D4" s="3004"/>
      <c r="E4" s="3004"/>
      <c r="F4" s="3004"/>
      <c r="G4" s="3004"/>
      <c r="H4" s="3004"/>
      <c r="I4" s="3004"/>
      <c r="J4" s="3004"/>
      <c r="K4" s="3004"/>
      <c r="L4" s="3004"/>
      <c r="M4" s="3004"/>
      <c r="N4" s="3004"/>
      <c r="O4" s="3004"/>
      <c r="P4" s="3004"/>
      <c r="Q4" s="3004"/>
      <c r="R4" s="3004"/>
      <c r="S4" s="3004"/>
      <c r="T4" s="3004"/>
      <c r="U4" s="3004"/>
      <c r="V4" s="3004"/>
      <c r="W4" s="3004"/>
      <c r="X4" s="3004"/>
      <c r="Y4" s="3004"/>
      <c r="Z4" s="3004"/>
      <c r="AA4" s="3004"/>
      <c r="AB4" s="3004"/>
      <c r="AC4" s="3004"/>
      <c r="AD4" s="3004"/>
      <c r="AE4" s="3004"/>
      <c r="AF4" s="3004"/>
      <c r="AG4" s="3004"/>
      <c r="AH4" s="3004"/>
      <c r="AI4" s="3004"/>
      <c r="AJ4" s="3004"/>
      <c r="AK4" s="3004"/>
      <c r="AL4" s="3004"/>
      <c r="AM4" s="3004"/>
      <c r="AN4" s="3004"/>
      <c r="AO4" s="3004"/>
      <c r="AP4" s="3004"/>
      <c r="AQ4" s="3004"/>
      <c r="AR4" s="3004"/>
      <c r="AS4" s="3004"/>
      <c r="AT4" s="3004"/>
      <c r="AU4" s="3004"/>
      <c r="AV4" s="3004"/>
      <c r="AW4" s="3004"/>
      <c r="AX4" s="3004"/>
      <c r="AY4" s="3004"/>
      <c r="AZ4" s="3004"/>
      <c r="BA4" s="3004"/>
      <c r="BB4" s="3004"/>
      <c r="BC4" s="3004"/>
      <c r="BD4" s="3004"/>
      <c r="BE4" s="3004"/>
      <c r="BF4" s="3004"/>
      <c r="BG4" s="3004"/>
      <c r="BH4" s="3004"/>
      <c r="BI4" s="3004"/>
      <c r="BJ4" s="3004"/>
      <c r="BK4" s="3004"/>
      <c r="BL4" s="3004"/>
      <c r="BM4" s="8"/>
      <c r="BN4" s="8"/>
      <c r="BO4" s="132" t="s">
        <v>5</v>
      </c>
      <c r="BP4" s="9" t="s">
        <v>6</v>
      </c>
    </row>
    <row r="5" spans="1:69" s="131" customFormat="1" ht="16.5" customHeight="1" x14ac:dyDescent="0.25">
      <c r="A5" s="4335" t="s">
        <v>7</v>
      </c>
      <c r="B5" s="3007"/>
      <c r="C5" s="3007"/>
      <c r="D5" s="3007"/>
      <c r="E5" s="3007"/>
      <c r="F5" s="3007"/>
      <c r="G5" s="3007"/>
      <c r="H5" s="3007"/>
      <c r="I5" s="3007"/>
      <c r="J5" s="3007"/>
      <c r="K5" s="3007"/>
      <c r="L5" s="11"/>
      <c r="M5" s="12"/>
      <c r="N5" s="12"/>
      <c r="O5" s="3008" t="s">
        <v>8</v>
      </c>
      <c r="P5" s="3008"/>
      <c r="Q5" s="3008"/>
      <c r="R5" s="3008"/>
      <c r="S5" s="3008"/>
      <c r="T5" s="3008"/>
      <c r="U5" s="3008"/>
      <c r="V5" s="3008"/>
      <c r="W5" s="3008"/>
      <c r="X5" s="3008"/>
      <c r="Y5" s="3008"/>
      <c r="Z5" s="3008"/>
      <c r="AA5" s="3008"/>
      <c r="AB5" s="3008"/>
      <c r="AC5" s="3008"/>
      <c r="AD5" s="3008"/>
      <c r="AE5" s="3008"/>
      <c r="AF5" s="3008"/>
      <c r="AG5" s="3008"/>
      <c r="AH5" s="3008"/>
      <c r="AI5" s="3008"/>
      <c r="AJ5" s="3008"/>
      <c r="AK5" s="3008"/>
      <c r="AL5" s="3008"/>
      <c r="AM5" s="3008"/>
      <c r="AN5" s="3008"/>
      <c r="AO5" s="3008"/>
      <c r="AP5" s="3008"/>
      <c r="AQ5" s="3008"/>
      <c r="AR5" s="3008"/>
      <c r="AS5" s="3008"/>
      <c r="AT5" s="3008"/>
      <c r="AU5" s="3008"/>
      <c r="AV5" s="3008"/>
      <c r="AW5" s="3008"/>
      <c r="AX5" s="3008"/>
      <c r="AY5" s="3008"/>
      <c r="AZ5" s="3008"/>
      <c r="BA5" s="3008"/>
      <c r="BB5" s="3008"/>
      <c r="BC5" s="3008"/>
      <c r="BD5" s="3008"/>
      <c r="BE5" s="3008"/>
      <c r="BF5" s="3008"/>
      <c r="BG5" s="3008"/>
      <c r="BH5" s="3008"/>
      <c r="BI5" s="3008"/>
      <c r="BJ5" s="3008"/>
      <c r="BK5" s="3008"/>
      <c r="BL5" s="3008"/>
      <c r="BM5" s="3008"/>
      <c r="BN5" s="3009"/>
      <c r="BO5" s="3008"/>
      <c r="BP5" s="3008"/>
    </row>
    <row r="6" spans="1:69" ht="18.75" customHeight="1" x14ac:dyDescent="0.2">
      <c r="A6" s="3314"/>
      <c r="B6" s="3312"/>
      <c r="C6" s="3312"/>
      <c r="D6" s="3312"/>
      <c r="E6" s="3312"/>
      <c r="F6" s="3312"/>
      <c r="G6" s="3312"/>
      <c r="H6" s="3312"/>
      <c r="I6" s="3312"/>
      <c r="J6" s="3312"/>
      <c r="K6" s="3312"/>
      <c r="L6" s="13"/>
      <c r="M6" s="12"/>
      <c r="N6" s="14"/>
      <c r="O6" s="3313"/>
      <c r="P6" s="4018"/>
      <c r="Q6" s="4018"/>
      <c r="R6" s="4018"/>
      <c r="S6" s="4018"/>
      <c r="T6" s="4018"/>
      <c r="U6" s="4018"/>
      <c r="V6" s="4018"/>
      <c r="W6" s="4018"/>
      <c r="X6" s="4018"/>
      <c r="Y6" s="4019"/>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3313"/>
      <c r="BM6" s="4018"/>
      <c r="BN6" s="4018"/>
      <c r="BO6" s="4018"/>
      <c r="BP6" s="4019"/>
    </row>
    <row r="7" spans="1:69" ht="21.75" customHeight="1" x14ac:dyDescent="0.2">
      <c r="A7" s="3012" t="s">
        <v>0</v>
      </c>
      <c r="B7" s="3012" t="s">
        <v>9</v>
      </c>
      <c r="C7" s="3012"/>
      <c r="D7" s="3012" t="s">
        <v>0</v>
      </c>
      <c r="E7" s="3012" t="s">
        <v>10</v>
      </c>
      <c r="F7" s="3012" t="s">
        <v>0</v>
      </c>
      <c r="G7" s="3012" t="s">
        <v>11</v>
      </c>
      <c r="H7" s="3012" t="s">
        <v>0</v>
      </c>
      <c r="I7" s="3012" t="s">
        <v>12</v>
      </c>
      <c r="J7" s="3012" t="s">
        <v>13</v>
      </c>
      <c r="K7" s="4331" t="s">
        <v>14</v>
      </c>
      <c r="L7" s="4332"/>
      <c r="M7" s="3012" t="s">
        <v>15</v>
      </c>
      <c r="N7" s="3029" t="s">
        <v>16</v>
      </c>
      <c r="O7" s="3012" t="s">
        <v>8</v>
      </c>
      <c r="P7" s="3012" t="s">
        <v>17</v>
      </c>
      <c r="Q7" s="3012" t="s">
        <v>18</v>
      </c>
      <c r="R7" s="3012" t="s">
        <v>19</v>
      </c>
      <c r="S7" s="3012" t="s">
        <v>20</v>
      </c>
      <c r="T7" s="3012" t="s">
        <v>21</v>
      </c>
      <c r="U7" s="4331" t="s">
        <v>18</v>
      </c>
      <c r="V7" s="4373"/>
      <c r="W7" s="4332"/>
      <c r="X7" s="3029" t="s">
        <v>0</v>
      </c>
      <c r="Y7" s="3012" t="s">
        <v>22</v>
      </c>
      <c r="Z7" s="4454" t="s">
        <v>23</v>
      </c>
      <c r="AA7" s="4455"/>
      <c r="AB7" s="4455"/>
      <c r="AC7" s="4456"/>
      <c r="AD7" s="3041" t="s">
        <v>24</v>
      </c>
      <c r="AE7" s="3042"/>
      <c r="AF7" s="3042"/>
      <c r="AG7" s="3042"/>
      <c r="AH7" s="3042"/>
      <c r="AI7" s="3042"/>
      <c r="AJ7" s="3042"/>
      <c r="AK7" s="3043"/>
      <c r="AL7" s="4345" t="s">
        <v>25</v>
      </c>
      <c r="AM7" s="4346"/>
      <c r="AN7" s="4346"/>
      <c r="AO7" s="4346"/>
      <c r="AP7" s="4346"/>
      <c r="AQ7" s="4346"/>
      <c r="AR7" s="4346"/>
      <c r="AS7" s="4346"/>
      <c r="AT7" s="4346"/>
      <c r="AU7" s="4346"/>
      <c r="AV7" s="4346"/>
      <c r="AW7" s="4346"/>
      <c r="AX7" s="4347"/>
      <c r="AY7" s="3041" t="s">
        <v>26</v>
      </c>
      <c r="AZ7" s="3042"/>
      <c r="BA7" s="3042"/>
      <c r="BB7" s="3042"/>
      <c r="BC7" s="3043"/>
      <c r="BD7" s="4013" t="s">
        <v>27</v>
      </c>
      <c r="BE7" s="4014"/>
      <c r="BF7" s="4345" t="s">
        <v>28</v>
      </c>
      <c r="BG7" s="4346"/>
      <c r="BH7" s="4346"/>
      <c r="BI7" s="4346"/>
      <c r="BJ7" s="4346"/>
      <c r="BK7" s="4347"/>
      <c r="BL7" s="4339" t="s">
        <v>29</v>
      </c>
      <c r="BM7" s="4340"/>
      <c r="BN7" s="4339" t="s">
        <v>30</v>
      </c>
      <c r="BO7" s="4340"/>
      <c r="BP7" s="4336" t="s">
        <v>31</v>
      </c>
    </row>
    <row r="8" spans="1:69" ht="15.75" customHeight="1" x14ac:dyDescent="0.2">
      <c r="A8" s="3012"/>
      <c r="B8" s="3012"/>
      <c r="C8" s="3012"/>
      <c r="D8" s="3012"/>
      <c r="E8" s="3012"/>
      <c r="F8" s="3012"/>
      <c r="G8" s="3012"/>
      <c r="H8" s="3012"/>
      <c r="I8" s="3012"/>
      <c r="J8" s="3012"/>
      <c r="K8" s="4333"/>
      <c r="L8" s="4334"/>
      <c r="M8" s="3012"/>
      <c r="N8" s="3030"/>
      <c r="O8" s="3012"/>
      <c r="P8" s="3012"/>
      <c r="Q8" s="3012"/>
      <c r="R8" s="3012"/>
      <c r="S8" s="3012"/>
      <c r="T8" s="3012"/>
      <c r="U8" s="4374"/>
      <c r="V8" s="4375"/>
      <c r="W8" s="4376"/>
      <c r="X8" s="3030"/>
      <c r="Y8" s="3012"/>
      <c r="Z8" s="4457"/>
      <c r="AA8" s="4458"/>
      <c r="AB8" s="4458"/>
      <c r="AC8" s="4459"/>
      <c r="AD8" s="4351"/>
      <c r="AE8" s="4352"/>
      <c r="AF8" s="4352"/>
      <c r="AG8" s="4352"/>
      <c r="AH8" s="4352"/>
      <c r="AI8" s="4352"/>
      <c r="AJ8" s="4352"/>
      <c r="AK8" s="4353"/>
      <c r="AL8" s="4348"/>
      <c r="AM8" s="4349"/>
      <c r="AN8" s="4349"/>
      <c r="AO8" s="4349"/>
      <c r="AP8" s="4349"/>
      <c r="AQ8" s="4349"/>
      <c r="AR8" s="4349"/>
      <c r="AS8" s="4349"/>
      <c r="AT8" s="4349"/>
      <c r="AU8" s="4349"/>
      <c r="AV8" s="4349"/>
      <c r="AW8" s="4349"/>
      <c r="AX8" s="4350"/>
      <c r="AY8" s="4351"/>
      <c r="AZ8" s="4352"/>
      <c r="BA8" s="4352"/>
      <c r="BB8" s="4352"/>
      <c r="BC8" s="4353"/>
      <c r="BD8" s="4337"/>
      <c r="BE8" s="4338"/>
      <c r="BF8" s="4348"/>
      <c r="BG8" s="4349"/>
      <c r="BH8" s="4349"/>
      <c r="BI8" s="4349"/>
      <c r="BJ8" s="4349"/>
      <c r="BK8" s="4350"/>
      <c r="BL8" s="4341"/>
      <c r="BM8" s="4342"/>
      <c r="BN8" s="4341"/>
      <c r="BO8" s="4342"/>
      <c r="BP8" s="4336"/>
    </row>
    <row r="9" spans="1:69" ht="186.75" customHeight="1" x14ac:dyDescent="0.2">
      <c r="A9" s="3012"/>
      <c r="B9" s="3012"/>
      <c r="C9" s="3012"/>
      <c r="D9" s="3012"/>
      <c r="E9" s="3012"/>
      <c r="F9" s="3012"/>
      <c r="G9" s="3012"/>
      <c r="H9" s="3012"/>
      <c r="I9" s="3012"/>
      <c r="J9" s="3012"/>
      <c r="K9" s="16" t="s">
        <v>32</v>
      </c>
      <c r="L9" s="16" t="s">
        <v>33</v>
      </c>
      <c r="M9" s="3012"/>
      <c r="N9" s="3030"/>
      <c r="O9" s="3012"/>
      <c r="P9" s="3012"/>
      <c r="Q9" s="3012"/>
      <c r="R9" s="3012"/>
      <c r="S9" s="3012"/>
      <c r="T9" s="3012"/>
      <c r="U9" s="17" t="s">
        <v>34</v>
      </c>
      <c r="V9" s="18" t="s">
        <v>35</v>
      </c>
      <c r="W9" s="18" t="s">
        <v>36</v>
      </c>
      <c r="X9" s="3030"/>
      <c r="Y9" s="3012"/>
      <c r="Z9" s="3022" t="s">
        <v>37</v>
      </c>
      <c r="AA9" s="3023"/>
      <c r="AB9" s="3024" t="s">
        <v>38</v>
      </c>
      <c r="AC9" s="3025"/>
      <c r="AD9" s="3022" t="s">
        <v>39</v>
      </c>
      <c r="AE9" s="3023"/>
      <c r="AF9" s="3022" t="s">
        <v>40</v>
      </c>
      <c r="AG9" s="3023"/>
      <c r="AH9" s="3022" t="s">
        <v>41</v>
      </c>
      <c r="AI9" s="3023"/>
      <c r="AJ9" s="3022" t="s">
        <v>42</v>
      </c>
      <c r="AK9" s="3023"/>
      <c r="AL9" s="3022" t="s">
        <v>43</v>
      </c>
      <c r="AM9" s="3023"/>
      <c r="AN9" s="3022" t="s">
        <v>44</v>
      </c>
      <c r="AO9" s="3023"/>
      <c r="AP9" s="3022" t="s">
        <v>45</v>
      </c>
      <c r="AQ9" s="3023"/>
      <c r="AR9" s="3022" t="s">
        <v>46</v>
      </c>
      <c r="AS9" s="3023"/>
      <c r="AT9" s="3022" t="s">
        <v>47</v>
      </c>
      <c r="AU9" s="3023"/>
      <c r="AV9" s="3022" t="s">
        <v>48</v>
      </c>
      <c r="AW9" s="3023"/>
      <c r="AX9" s="3022" t="s">
        <v>49</v>
      </c>
      <c r="AY9" s="3023"/>
      <c r="AZ9" s="3022" t="s">
        <v>50</v>
      </c>
      <c r="BA9" s="3023"/>
      <c r="BB9" s="3022" t="s">
        <v>51</v>
      </c>
      <c r="BC9" s="3023"/>
      <c r="BD9" s="4015"/>
      <c r="BE9" s="4016"/>
      <c r="BF9" s="19" t="s">
        <v>52</v>
      </c>
      <c r="BG9" s="19" t="s">
        <v>53</v>
      </c>
      <c r="BH9" s="19" t="s">
        <v>54</v>
      </c>
      <c r="BI9" s="20" t="s">
        <v>55</v>
      </c>
      <c r="BJ9" s="21" t="s">
        <v>56</v>
      </c>
      <c r="BK9" s="21" t="s">
        <v>57</v>
      </c>
      <c r="BL9" s="4343"/>
      <c r="BM9" s="4344"/>
      <c r="BN9" s="4343"/>
      <c r="BO9" s="4344"/>
      <c r="BP9" s="4336"/>
    </row>
    <row r="10" spans="1:69" ht="15.75" customHeight="1" x14ac:dyDescent="0.2">
      <c r="A10" s="22">
        <v>5</v>
      </c>
      <c r="B10" s="23" t="s">
        <v>58</v>
      </c>
      <c r="C10" s="23"/>
      <c r="D10" s="23"/>
      <c r="E10" s="23"/>
      <c r="F10" s="23"/>
      <c r="G10" s="23"/>
      <c r="H10" s="23"/>
      <c r="I10" s="24"/>
      <c r="J10" s="24"/>
      <c r="K10" s="23"/>
      <c r="L10" s="23"/>
      <c r="M10" s="25"/>
      <c r="N10" s="24"/>
      <c r="O10" s="26"/>
      <c r="P10" s="27"/>
      <c r="Q10" s="24"/>
      <c r="R10" s="24"/>
      <c r="S10" s="24"/>
      <c r="T10" s="28"/>
      <c r="U10" s="29"/>
      <c r="V10" s="29"/>
      <c r="W10" s="29"/>
      <c r="X10" s="23"/>
      <c r="Y10" s="23"/>
      <c r="Z10" s="30" t="s">
        <v>32</v>
      </c>
      <c r="AA10" s="30" t="s">
        <v>33</v>
      </c>
      <c r="AB10" s="30" t="s">
        <v>32</v>
      </c>
      <c r="AC10" s="30" t="s">
        <v>33</v>
      </c>
      <c r="AD10" s="30" t="s">
        <v>32</v>
      </c>
      <c r="AE10" s="30" t="s">
        <v>33</v>
      </c>
      <c r="AF10" s="30" t="s">
        <v>32</v>
      </c>
      <c r="AG10" s="30" t="s">
        <v>33</v>
      </c>
      <c r="AH10" s="30" t="s">
        <v>32</v>
      </c>
      <c r="AI10" s="30" t="s">
        <v>33</v>
      </c>
      <c r="AJ10" s="30" t="s">
        <v>32</v>
      </c>
      <c r="AK10" s="30" t="s">
        <v>33</v>
      </c>
      <c r="AL10" s="30" t="s">
        <v>32</v>
      </c>
      <c r="AM10" s="30" t="s">
        <v>33</v>
      </c>
      <c r="AN10" s="30" t="s">
        <v>32</v>
      </c>
      <c r="AO10" s="30" t="s">
        <v>33</v>
      </c>
      <c r="AP10" s="30" t="s">
        <v>32</v>
      </c>
      <c r="AQ10" s="30" t="s">
        <v>33</v>
      </c>
      <c r="AR10" s="30" t="s">
        <v>32</v>
      </c>
      <c r="AS10" s="30" t="s">
        <v>33</v>
      </c>
      <c r="AT10" s="30" t="s">
        <v>32</v>
      </c>
      <c r="AU10" s="30" t="s">
        <v>33</v>
      </c>
      <c r="AV10" s="30" t="s">
        <v>32</v>
      </c>
      <c r="AW10" s="30" t="s">
        <v>33</v>
      </c>
      <c r="AX10" s="30" t="s">
        <v>32</v>
      </c>
      <c r="AY10" s="30" t="s">
        <v>33</v>
      </c>
      <c r="AZ10" s="30" t="s">
        <v>32</v>
      </c>
      <c r="BA10" s="30" t="s">
        <v>33</v>
      </c>
      <c r="BB10" s="30" t="s">
        <v>32</v>
      </c>
      <c r="BC10" s="30" t="s">
        <v>33</v>
      </c>
      <c r="BD10" s="30" t="s">
        <v>32</v>
      </c>
      <c r="BE10" s="30" t="s">
        <v>33</v>
      </c>
      <c r="BF10" s="31"/>
      <c r="BG10" s="31"/>
      <c r="BH10" s="31"/>
      <c r="BI10" s="31"/>
      <c r="BJ10" s="31"/>
      <c r="BK10" s="31"/>
      <c r="BL10" s="30" t="s">
        <v>32</v>
      </c>
      <c r="BM10" s="30" t="s">
        <v>33</v>
      </c>
      <c r="BN10" s="30" t="s">
        <v>32</v>
      </c>
      <c r="BO10" s="30" t="s">
        <v>33</v>
      </c>
      <c r="BP10" s="32"/>
    </row>
    <row r="11" spans="1:69" s="48" customFormat="1" ht="15.75" customHeight="1" x14ac:dyDescent="0.2">
      <c r="A11" s="33"/>
      <c r="B11" s="4360"/>
      <c r="C11" s="4361"/>
      <c r="D11" s="34">
        <v>26</v>
      </c>
      <c r="E11" s="35" t="s">
        <v>59</v>
      </c>
      <c r="F11" s="36"/>
      <c r="G11" s="36"/>
      <c r="H11" s="36"/>
      <c r="I11" s="37"/>
      <c r="J11" s="37"/>
      <c r="K11" s="36"/>
      <c r="L11" s="36"/>
      <c r="M11" s="38"/>
      <c r="N11" s="37"/>
      <c r="O11" s="39"/>
      <c r="P11" s="40"/>
      <c r="Q11" s="37"/>
      <c r="R11" s="37"/>
      <c r="S11" s="37"/>
      <c r="T11" s="41"/>
      <c r="U11" s="42"/>
      <c r="V11" s="42"/>
      <c r="W11" s="42"/>
      <c r="X11" s="36"/>
      <c r="Y11" s="36"/>
      <c r="Z11" s="43"/>
      <c r="AA11" s="43"/>
      <c r="AB11" s="43"/>
      <c r="AC11" s="44"/>
      <c r="AD11" s="44"/>
      <c r="AE11" s="44"/>
      <c r="AF11" s="44"/>
      <c r="AG11" s="44"/>
      <c r="AH11" s="44"/>
      <c r="AI11" s="44"/>
      <c r="AJ11" s="44"/>
      <c r="AK11" s="44"/>
      <c r="AL11" s="44"/>
      <c r="AM11" s="45"/>
      <c r="AN11" s="45"/>
      <c r="AO11" s="46"/>
      <c r="AP11" s="46"/>
      <c r="AQ11" s="45"/>
      <c r="AR11" s="45"/>
      <c r="AS11" s="45"/>
      <c r="AT11" s="45"/>
      <c r="AU11" s="46"/>
      <c r="AV11" s="46"/>
      <c r="AW11" s="47"/>
      <c r="AX11" s="47"/>
      <c r="AY11" s="45"/>
      <c r="AZ11" s="45"/>
      <c r="BA11" s="45"/>
      <c r="BB11" s="45"/>
      <c r="BC11" s="46"/>
      <c r="BD11" s="45"/>
      <c r="BE11" s="45"/>
      <c r="BF11" s="45"/>
      <c r="BG11" s="45"/>
      <c r="BH11" s="45"/>
      <c r="BI11" s="45"/>
      <c r="BJ11" s="45"/>
      <c r="BK11" s="45"/>
      <c r="BL11" s="46"/>
      <c r="BM11" s="46"/>
      <c r="BN11" s="46"/>
      <c r="BO11" s="46"/>
      <c r="BP11" s="46"/>
    </row>
    <row r="12" spans="1:69" s="48" customFormat="1" ht="15.75" customHeight="1" x14ac:dyDescent="0.2">
      <c r="A12" s="49"/>
      <c r="B12" s="4360"/>
      <c r="C12" s="4361"/>
      <c r="D12" s="4366"/>
      <c r="E12" s="4363"/>
      <c r="F12" s="50">
        <v>83</v>
      </c>
      <c r="G12" s="51" t="s">
        <v>60</v>
      </c>
      <c r="H12" s="52"/>
      <c r="I12" s="53"/>
      <c r="J12" s="53"/>
      <c r="K12" s="54"/>
      <c r="L12" s="54"/>
      <c r="M12" s="55"/>
      <c r="N12" s="53"/>
      <c r="O12" s="56"/>
      <c r="P12" s="57"/>
      <c r="Q12" s="53"/>
      <c r="R12" s="53"/>
      <c r="S12" s="53"/>
      <c r="T12" s="58"/>
      <c r="U12" s="59"/>
      <c r="V12" s="59"/>
      <c r="W12" s="59"/>
      <c r="X12" s="60"/>
      <c r="Y12" s="60"/>
      <c r="Z12" s="60"/>
      <c r="AA12" s="60"/>
      <c r="AB12" s="60"/>
      <c r="AC12" s="60"/>
      <c r="AD12" s="54"/>
      <c r="AE12" s="54"/>
      <c r="AF12" s="54"/>
      <c r="AG12" s="54"/>
      <c r="AH12" s="54"/>
      <c r="AI12" s="54"/>
      <c r="AJ12" s="54"/>
      <c r="AK12" s="54"/>
      <c r="AL12" s="54"/>
      <c r="AM12" s="54"/>
      <c r="AN12" s="54"/>
      <c r="AO12" s="61"/>
      <c r="AP12" s="61"/>
      <c r="AQ12" s="54"/>
      <c r="AR12" s="54"/>
      <c r="AS12" s="61"/>
      <c r="AT12" s="61"/>
      <c r="AU12" s="53"/>
      <c r="AV12" s="53"/>
      <c r="AW12" s="54"/>
      <c r="AX12" s="54"/>
      <c r="AY12" s="61"/>
      <c r="AZ12" s="61"/>
      <c r="BA12" s="54"/>
      <c r="BB12" s="54"/>
      <c r="BC12" s="61"/>
      <c r="BD12" s="53"/>
      <c r="BE12" s="53"/>
      <c r="BF12" s="53"/>
      <c r="BG12" s="53"/>
      <c r="BH12" s="53"/>
      <c r="BI12" s="53"/>
      <c r="BJ12" s="53"/>
      <c r="BK12" s="53"/>
      <c r="BL12" s="61"/>
      <c r="BM12" s="61"/>
      <c r="BN12" s="53"/>
      <c r="BO12" s="53"/>
      <c r="BP12" s="53"/>
    </row>
    <row r="13" spans="1:69" s="48" customFormat="1" ht="55.5" customHeight="1" x14ac:dyDescent="0.2">
      <c r="A13" s="49"/>
      <c r="B13" s="4360"/>
      <c r="C13" s="4361"/>
      <c r="D13" s="4367"/>
      <c r="E13" s="4369"/>
      <c r="F13" s="4371"/>
      <c r="G13" s="4372"/>
      <c r="H13" s="4354">
        <v>244</v>
      </c>
      <c r="I13" s="4358" t="s">
        <v>61</v>
      </c>
      <c r="J13" s="4358" t="s">
        <v>62</v>
      </c>
      <c r="K13" s="4354">
        <v>12</v>
      </c>
      <c r="L13" s="4355">
        <v>8</v>
      </c>
      <c r="M13" s="4354" t="s">
        <v>63</v>
      </c>
      <c r="N13" s="4354" t="s">
        <v>64</v>
      </c>
      <c r="O13" s="4358" t="s">
        <v>65</v>
      </c>
      <c r="P13" s="4359">
        <f>SUM(U13:U16)/Q13</f>
        <v>1</v>
      </c>
      <c r="Q13" s="4381">
        <f>SUM(U13:U16)</f>
        <v>450000000</v>
      </c>
      <c r="R13" s="4358" t="s">
        <v>66</v>
      </c>
      <c r="S13" s="4382" t="s">
        <v>67</v>
      </c>
      <c r="T13" s="4383" t="s">
        <v>68</v>
      </c>
      <c r="U13" s="62">
        <v>328040000</v>
      </c>
      <c r="V13" s="63">
        <v>281467932</v>
      </c>
      <c r="W13" s="63">
        <v>200467211</v>
      </c>
      <c r="X13" s="64">
        <v>20</v>
      </c>
      <c r="Y13" s="65" t="s">
        <v>69</v>
      </c>
      <c r="Z13" s="4385">
        <v>294321</v>
      </c>
      <c r="AA13" s="4385">
        <v>294321</v>
      </c>
      <c r="AB13" s="4377">
        <v>283947</v>
      </c>
      <c r="AC13" s="4377">
        <v>283947</v>
      </c>
      <c r="AD13" s="4378">
        <v>135754</v>
      </c>
      <c r="AE13" s="4378">
        <v>135754</v>
      </c>
      <c r="AF13" s="4378">
        <v>44640</v>
      </c>
      <c r="AG13" s="4378">
        <v>44640</v>
      </c>
      <c r="AH13" s="4378">
        <v>308178</v>
      </c>
      <c r="AI13" s="4378">
        <v>308178</v>
      </c>
      <c r="AJ13" s="4378">
        <v>89696</v>
      </c>
      <c r="AK13" s="4378">
        <v>89696</v>
      </c>
      <c r="AL13" s="4378">
        <v>2145</v>
      </c>
      <c r="AM13" s="4378">
        <v>2145</v>
      </c>
      <c r="AN13" s="4378">
        <v>12718</v>
      </c>
      <c r="AO13" s="4377">
        <v>12718</v>
      </c>
      <c r="AP13" s="4378">
        <v>26</v>
      </c>
      <c r="AQ13" s="4386" t="s">
        <v>70</v>
      </c>
      <c r="AR13" s="4387" t="s">
        <v>71</v>
      </c>
      <c r="AS13" s="4386" t="s">
        <v>71</v>
      </c>
      <c r="AT13" s="4387" t="s">
        <v>72</v>
      </c>
      <c r="AU13" s="4392">
        <v>0</v>
      </c>
      <c r="AV13" s="4393">
        <v>0</v>
      </c>
      <c r="AW13" s="4392">
        <v>0</v>
      </c>
      <c r="AX13" s="4377">
        <v>52505</v>
      </c>
      <c r="AY13" s="4377">
        <v>52505</v>
      </c>
      <c r="AZ13" s="4378">
        <v>16897</v>
      </c>
      <c r="BA13" s="4378">
        <v>16897</v>
      </c>
      <c r="BB13" s="4377">
        <v>61646</v>
      </c>
      <c r="BC13" s="4377">
        <v>61646</v>
      </c>
      <c r="BD13" s="4390">
        <f>AD13+AF13+AH13+AJ13</f>
        <v>578268</v>
      </c>
      <c r="BE13" s="4390">
        <f>AE13+AG13+AI13+AK13</f>
        <v>578268</v>
      </c>
      <c r="BF13" s="4393">
        <v>30</v>
      </c>
      <c r="BG13" s="4393">
        <f>342517932+40701733</f>
        <v>383219665</v>
      </c>
      <c r="BH13" s="4393">
        <f>253682811+11766000</f>
        <v>265448811</v>
      </c>
      <c r="BI13" s="4399">
        <f>+BH13/BG13</f>
        <v>0.69268055698550857</v>
      </c>
      <c r="BJ13" s="3400" t="s">
        <v>73</v>
      </c>
      <c r="BK13" s="4402" t="s">
        <v>74</v>
      </c>
      <c r="BL13" s="4394">
        <v>43101</v>
      </c>
      <c r="BM13" s="4395">
        <v>43486</v>
      </c>
      <c r="BN13" s="4394">
        <v>43465</v>
      </c>
      <c r="BO13" s="4394">
        <v>43465</v>
      </c>
      <c r="BP13" s="4382" t="s">
        <v>75</v>
      </c>
      <c r="BQ13" s="4398"/>
    </row>
    <row r="14" spans="1:69" s="48" customFormat="1" ht="55.5" customHeight="1" x14ac:dyDescent="0.2">
      <c r="A14" s="49"/>
      <c r="B14" s="4360"/>
      <c r="C14" s="4361"/>
      <c r="D14" s="4367"/>
      <c r="E14" s="4369"/>
      <c r="F14" s="4371"/>
      <c r="G14" s="4372"/>
      <c r="H14" s="4354"/>
      <c r="I14" s="4358"/>
      <c r="J14" s="4358"/>
      <c r="K14" s="4354"/>
      <c r="L14" s="4356"/>
      <c r="M14" s="4354"/>
      <c r="N14" s="4354"/>
      <c r="O14" s="4358"/>
      <c r="P14" s="4359"/>
      <c r="Q14" s="4381"/>
      <c r="R14" s="4358"/>
      <c r="S14" s="4382"/>
      <c r="T14" s="4384"/>
      <c r="U14" s="66">
        <f>0+7645567</f>
        <v>7645567</v>
      </c>
      <c r="V14" s="67">
        <f>7645567</f>
        <v>7645567</v>
      </c>
      <c r="W14" s="67">
        <v>0</v>
      </c>
      <c r="X14" s="64">
        <v>88</v>
      </c>
      <c r="Y14" s="65" t="s">
        <v>76</v>
      </c>
      <c r="Z14" s="4385"/>
      <c r="AA14" s="4385"/>
      <c r="AB14" s="4377"/>
      <c r="AC14" s="4377"/>
      <c r="AD14" s="4379"/>
      <c r="AE14" s="4379"/>
      <c r="AF14" s="4379"/>
      <c r="AG14" s="4379"/>
      <c r="AH14" s="4379"/>
      <c r="AI14" s="4379"/>
      <c r="AJ14" s="4379"/>
      <c r="AK14" s="4379"/>
      <c r="AL14" s="4379"/>
      <c r="AM14" s="4379"/>
      <c r="AN14" s="4379"/>
      <c r="AO14" s="4377"/>
      <c r="AP14" s="4379"/>
      <c r="AQ14" s="4386"/>
      <c r="AR14" s="4388"/>
      <c r="AS14" s="4386"/>
      <c r="AT14" s="4388"/>
      <c r="AU14" s="4392"/>
      <c r="AV14" s="4390"/>
      <c r="AW14" s="4392"/>
      <c r="AX14" s="4377">
        <v>53164</v>
      </c>
      <c r="AY14" s="4377">
        <v>53164</v>
      </c>
      <c r="AZ14" s="4379">
        <v>16982</v>
      </c>
      <c r="BA14" s="4379">
        <v>16982</v>
      </c>
      <c r="BB14" s="4377">
        <v>6013</v>
      </c>
      <c r="BC14" s="4377">
        <v>6013</v>
      </c>
      <c r="BD14" s="4390"/>
      <c r="BE14" s="4390"/>
      <c r="BF14" s="4390"/>
      <c r="BG14" s="4390"/>
      <c r="BH14" s="4390"/>
      <c r="BI14" s="4400"/>
      <c r="BJ14" s="3401"/>
      <c r="BK14" s="4403"/>
      <c r="BL14" s="4394"/>
      <c r="BM14" s="4396"/>
      <c r="BN14" s="4394"/>
      <c r="BO14" s="4394"/>
      <c r="BP14" s="4382"/>
      <c r="BQ14" s="4398"/>
    </row>
    <row r="15" spans="1:69" s="48" customFormat="1" ht="59.25" customHeight="1" x14ac:dyDescent="0.2">
      <c r="A15" s="49"/>
      <c r="B15" s="4360"/>
      <c r="C15" s="4361"/>
      <c r="D15" s="4367"/>
      <c r="E15" s="4369"/>
      <c r="F15" s="4371"/>
      <c r="G15" s="4372"/>
      <c r="H15" s="4354"/>
      <c r="I15" s="4358"/>
      <c r="J15" s="4358"/>
      <c r="K15" s="4354"/>
      <c r="L15" s="4356"/>
      <c r="M15" s="4354"/>
      <c r="N15" s="4354"/>
      <c r="O15" s="4358"/>
      <c r="P15" s="4359"/>
      <c r="Q15" s="4381"/>
      <c r="R15" s="4358"/>
      <c r="S15" s="4358" t="s">
        <v>77</v>
      </c>
      <c r="T15" s="4383" t="s">
        <v>78</v>
      </c>
      <c r="U15" s="63">
        <v>71960000</v>
      </c>
      <c r="V15" s="63">
        <v>61050000</v>
      </c>
      <c r="W15" s="63">
        <v>53215600</v>
      </c>
      <c r="X15" s="64">
        <v>20</v>
      </c>
      <c r="Y15" s="65" t="s">
        <v>69</v>
      </c>
      <c r="Z15" s="4385"/>
      <c r="AA15" s="4385"/>
      <c r="AB15" s="4377"/>
      <c r="AC15" s="4377"/>
      <c r="AD15" s="4379"/>
      <c r="AE15" s="4379"/>
      <c r="AF15" s="4379"/>
      <c r="AG15" s="4379"/>
      <c r="AH15" s="4379"/>
      <c r="AI15" s="4379"/>
      <c r="AJ15" s="4379"/>
      <c r="AK15" s="4379"/>
      <c r="AL15" s="4379"/>
      <c r="AM15" s="4379"/>
      <c r="AN15" s="4379"/>
      <c r="AO15" s="4377"/>
      <c r="AP15" s="4379"/>
      <c r="AQ15" s="4386"/>
      <c r="AR15" s="4388"/>
      <c r="AS15" s="4386"/>
      <c r="AT15" s="4388"/>
      <c r="AU15" s="4392"/>
      <c r="AV15" s="4390"/>
      <c r="AW15" s="4392"/>
      <c r="AX15" s="4377">
        <v>53164</v>
      </c>
      <c r="AY15" s="4377">
        <v>53164</v>
      </c>
      <c r="AZ15" s="4379">
        <v>16982</v>
      </c>
      <c r="BA15" s="4379">
        <v>16982</v>
      </c>
      <c r="BB15" s="4377">
        <v>6013</v>
      </c>
      <c r="BC15" s="4377">
        <v>6013</v>
      </c>
      <c r="BD15" s="4390"/>
      <c r="BE15" s="4390"/>
      <c r="BF15" s="4390"/>
      <c r="BG15" s="4390"/>
      <c r="BH15" s="4390"/>
      <c r="BI15" s="4400"/>
      <c r="BJ15" s="3401"/>
      <c r="BK15" s="4403"/>
      <c r="BL15" s="4394"/>
      <c r="BM15" s="4396"/>
      <c r="BN15" s="4394"/>
      <c r="BO15" s="4394"/>
      <c r="BP15" s="4382"/>
      <c r="BQ15" s="68"/>
    </row>
    <row r="16" spans="1:69" s="48" customFormat="1" ht="59.25" customHeight="1" x14ac:dyDescent="0.2">
      <c r="A16" s="49"/>
      <c r="B16" s="4360"/>
      <c r="C16" s="4361"/>
      <c r="D16" s="4367"/>
      <c r="E16" s="4369"/>
      <c r="F16" s="4371"/>
      <c r="G16" s="4372"/>
      <c r="H16" s="4354"/>
      <c r="I16" s="4358"/>
      <c r="J16" s="4358"/>
      <c r="K16" s="4354"/>
      <c r="L16" s="4357"/>
      <c r="M16" s="4354"/>
      <c r="N16" s="4354"/>
      <c r="O16" s="4358"/>
      <c r="P16" s="4359"/>
      <c r="Q16" s="4381"/>
      <c r="R16" s="4358"/>
      <c r="S16" s="4358"/>
      <c r="T16" s="4384"/>
      <c r="U16" s="63">
        <f>0+42354433</f>
        <v>42354433</v>
      </c>
      <c r="V16" s="63">
        <v>33056166</v>
      </c>
      <c r="W16" s="63">
        <v>11766000</v>
      </c>
      <c r="X16" s="64">
        <v>88</v>
      </c>
      <c r="Y16" s="65" t="s">
        <v>76</v>
      </c>
      <c r="Z16" s="4385"/>
      <c r="AA16" s="4385"/>
      <c r="AB16" s="4377"/>
      <c r="AC16" s="4377"/>
      <c r="AD16" s="4380"/>
      <c r="AE16" s="4380"/>
      <c r="AF16" s="4380"/>
      <c r="AG16" s="4380"/>
      <c r="AH16" s="4380"/>
      <c r="AI16" s="4380"/>
      <c r="AJ16" s="4380"/>
      <c r="AK16" s="4380"/>
      <c r="AL16" s="4380"/>
      <c r="AM16" s="4380"/>
      <c r="AN16" s="4380"/>
      <c r="AO16" s="4377"/>
      <c r="AP16" s="4380"/>
      <c r="AQ16" s="4386"/>
      <c r="AR16" s="4389"/>
      <c r="AS16" s="4386"/>
      <c r="AT16" s="4389"/>
      <c r="AU16" s="4392"/>
      <c r="AV16" s="4391"/>
      <c r="AW16" s="4392"/>
      <c r="AX16" s="4377">
        <v>53164</v>
      </c>
      <c r="AY16" s="4377">
        <v>53164</v>
      </c>
      <c r="AZ16" s="4380">
        <v>16982</v>
      </c>
      <c r="BA16" s="4380">
        <v>16982</v>
      </c>
      <c r="BB16" s="4377">
        <v>6013</v>
      </c>
      <c r="BC16" s="4377">
        <v>6013</v>
      </c>
      <c r="BD16" s="4391"/>
      <c r="BE16" s="4391"/>
      <c r="BF16" s="4391"/>
      <c r="BG16" s="4391"/>
      <c r="BH16" s="4391"/>
      <c r="BI16" s="4401"/>
      <c r="BJ16" s="3402"/>
      <c r="BK16" s="4404"/>
      <c r="BL16" s="4394"/>
      <c r="BM16" s="4397"/>
      <c r="BN16" s="4394"/>
      <c r="BO16" s="4394"/>
      <c r="BP16" s="4382"/>
    </row>
    <row r="17" spans="1:76" s="48" customFormat="1" ht="239.25" customHeight="1" x14ac:dyDescent="0.2">
      <c r="A17" s="49"/>
      <c r="B17" s="4360"/>
      <c r="C17" s="4361"/>
      <c r="D17" s="4368"/>
      <c r="E17" s="4370"/>
      <c r="F17" s="4371"/>
      <c r="G17" s="4372"/>
      <c r="H17" s="69">
        <v>245</v>
      </c>
      <c r="I17" s="70" t="s">
        <v>79</v>
      </c>
      <c r="J17" s="70" t="s">
        <v>80</v>
      </c>
      <c r="K17" s="69">
        <v>1</v>
      </c>
      <c r="L17" s="69">
        <v>0.64</v>
      </c>
      <c r="M17" s="69" t="s">
        <v>81</v>
      </c>
      <c r="N17" s="69" t="s">
        <v>82</v>
      </c>
      <c r="O17" s="70" t="s">
        <v>83</v>
      </c>
      <c r="P17" s="71">
        <f>SUM(U17)/Q17</f>
        <v>1</v>
      </c>
      <c r="Q17" s="72">
        <f>U17</f>
        <v>40000000</v>
      </c>
      <c r="R17" s="70" t="s">
        <v>84</v>
      </c>
      <c r="S17" s="73" t="s">
        <v>85</v>
      </c>
      <c r="T17" s="70" t="s">
        <v>86</v>
      </c>
      <c r="U17" s="74">
        <v>40000000</v>
      </c>
      <c r="V17" s="74">
        <v>31860800</v>
      </c>
      <c r="W17" s="75">
        <v>25461800</v>
      </c>
      <c r="X17" s="64">
        <v>20</v>
      </c>
      <c r="Y17" s="65" t="s">
        <v>69</v>
      </c>
      <c r="Z17" s="76">
        <v>294321</v>
      </c>
      <c r="AA17" s="76">
        <v>294321</v>
      </c>
      <c r="AB17" s="76">
        <v>283947</v>
      </c>
      <c r="AC17" s="76">
        <v>283947</v>
      </c>
      <c r="AD17" s="76">
        <v>135754</v>
      </c>
      <c r="AE17" s="76">
        <v>135754</v>
      </c>
      <c r="AF17" s="77">
        <v>44640</v>
      </c>
      <c r="AG17" s="77">
        <v>44640</v>
      </c>
      <c r="AH17" s="77">
        <v>308178</v>
      </c>
      <c r="AI17" s="77">
        <v>308178</v>
      </c>
      <c r="AJ17" s="77">
        <v>89696</v>
      </c>
      <c r="AK17" s="77">
        <v>89696</v>
      </c>
      <c r="AL17" s="77">
        <v>2145</v>
      </c>
      <c r="AM17" s="77">
        <v>2145</v>
      </c>
      <c r="AN17" s="77">
        <v>12718</v>
      </c>
      <c r="AO17" s="77">
        <v>12718</v>
      </c>
      <c r="AP17" s="77">
        <v>26</v>
      </c>
      <c r="AQ17" s="77">
        <v>26</v>
      </c>
      <c r="AR17" s="77">
        <v>37</v>
      </c>
      <c r="AS17" s="77">
        <v>37</v>
      </c>
      <c r="AT17" s="77">
        <v>0</v>
      </c>
      <c r="AU17" s="77">
        <v>0</v>
      </c>
      <c r="AV17" s="77">
        <v>0</v>
      </c>
      <c r="AW17" s="77">
        <v>0</v>
      </c>
      <c r="AX17" s="77">
        <v>52505</v>
      </c>
      <c r="AY17" s="77">
        <v>52505</v>
      </c>
      <c r="AZ17" s="77">
        <v>16897</v>
      </c>
      <c r="BA17" s="77">
        <v>16897</v>
      </c>
      <c r="BB17" s="77">
        <v>61646</v>
      </c>
      <c r="BC17" s="77">
        <v>61646</v>
      </c>
      <c r="BD17" s="77">
        <f>AD17+AF17+AH17+AJ17</f>
        <v>578268</v>
      </c>
      <c r="BE17" s="77">
        <f>AE17+AG17+AI17+AK17</f>
        <v>578268</v>
      </c>
      <c r="BF17" s="77">
        <v>4</v>
      </c>
      <c r="BG17" s="77">
        <f>31860800</f>
        <v>31860800</v>
      </c>
      <c r="BH17" s="77">
        <v>25461800</v>
      </c>
      <c r="BI17" s="78">
        <f>+BH17/BG17</f>
        <v>0.79915758549691152</v>
      </c>
      <c r="BJ17" s="79" t="s">
        <v>87</v>
      </c>
      <c r="BK17" s="80" t="s">
        <v>88</v>
      </c>
      <c r="BL17" s="81">
        <v>43101</v>
      </c>
      <c r="BM17" s="82">
        <v>43488</v>
      </c>
      <c r="BN17" s="81">
        <v>43465</v>
      </c>
      <c r="BO17" s="81">
        <v>43465</v>
      </c>
      <c r="BP17" s="70" t="s">
        <v>75</v>
      </c>
      <c r="BQ17" s="83"/>
    </row>
    <row r="18" spans="1:76" ht="15.75" x14ac:dyDescent="0.2">
      <c r="A18" s="49"/>
      <c r="B18" s="4360"/>
      <c r="C18" s="4361"/>
      <c r="D18" s="84">
        <v>28</v>
      </c>
      <c r="E18" s="35" t="s">
        <v>89</v>
      </c>
      <c r="F18" s="85"/>
      <c r="G18" s="85"/>
      <c r="H18" s="86"/>
      <c r="I18" s="47"/>
      <c r="J18" s="47"/>
      <c r="K18" s="45"/>
      <c r="L18" s="45"/>
      <c r="M18" s="87"/>
      <c r="N18" s="47"/>
      <c r="O18" s="88"/>
      <c r="P18" s="89"/>
      <c r="Q18" s="47"/>
      <c r="R18" s="47"/>
      <c r="S18" s="47"/>
      <c r="T18" s="90"/>
      <c r="U18" s="91"/>
      <c r="V18" s="91"/>
      <c r="W18" s="92"/>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47"/>
    </row>
    <row r="19" spans="1:76" ht="15.75" x14ac:dyDescent="0.2">
      <c r="A19" s="49"/>
      <c r="B19" s="4360"/>
      <c r="C19" s="4361"/>
      <c r="D19" s="4405"/>
      <c r="E19" s="4408"/>
      <c r="F19" s="93">
        <v>89</v>
      </c>
      <c r="G19" s="4411" t="s">
        <v>90</v>
      </c>
      <c r="H19" s="4411"/>
      <c r="I19" s="4411"/>
      <c r="J19" s="4411"/>
      <c r="K19" s="4411"/>
      <c r="L19" s="94"/>
      <c r="M19" s="127"/>
      <c r="N19" s="4412"/>
      <c r="O19" s="4412"/>
      <c r="P19" s="4412"/>
      <c r="Q19" s="4412"/>
      <c r="R19" s="4412"/>
      <c r="S19" s="4412"/>
      <c r="T19" s="4412"/>
      <c r="U19" s="95"/>
      <c r="V19" s="95"/>
      <c r="W19" s="96"/>
      <c r="X19" s="4412"/>
      <c r="Y19" s="4412"/>
      <c r="Z19" s="4412"/>
      <c r="AA19" s="4412"/>
      <c r="AB19" s="4412"/>
      <c r="AC19" s="4412"/>
      <c r="AD19" s="97"/>
      <c r="AE19" s="97"/>
      <c r="AF19" s="4412"/>
      <c r="AG19" s="4412"/>
      <c r="AH19" s="4412"/>
      <c r="AI19" s="4412"/>
      <c r="AJ19" s="4412"/>
      <c r="AK19" s="4412"/>
      <c r="AL19" s="97"/>
      <c r="AM19" s="4412"/>
      <c r="AN19" s="4412"/>
      <c r="AO19" s="4412"/>
      <c r="AP19" s="4412"/>
      <c r="AQ19" s="4412"/>
      <c r="AR19" s="4412"/>
      <c r="AS19" s="4412"/>
      <c r="AT19" s="97"/>
      <c r="AU19" s="4412"/>
      <c r="AV19" s="4412"/>
      <c r="AW19" s="4412"/>
      <c r="AX19" s="4412"/>
      <c r="AY19" s="4412"/>
      <c r="AZ19" s="4412"/>
      <c r="BA19" s="4412"/>
      <c r="BB19" s="97"/>
      <c r="BC19" s="4412"/>
      <c r="BD19" s="4412"/>
      <c r="BE19" s="97"/>
      <c r="BF19" s="97"/>
      <c r="BG19" s="97"/>
      <c r="BH19" s="97"/>
      <c r="BI19" s="97"/>
      <c r="BJ19" s="97"/>
      <c r="BK19" s="97"/>
      <c r="BL19" s="4412"/>
      <c r="BM19" s="4412"/>
      <c r="BN19" s="4412"/>
      <c r="BO19" s="4412"/>
      <c r="BP19" s="4412"/>
    </row>
    <row r="20" spans="1:76" ht="56.25" customHeight="1" x14ac:dyDescent="0.2">
      <c r="A20" s="49"/>
      <c r="B20" s="4360"/>
      <c r="C20" s="4361"/>
      <c r="D20" s="4406"/>
      <c r="E20" s="4409"/>
      <c r="F20" s="4416"/>
      <c r="G20" s="4416"/>
      <c r="H20" s="4354">
        <v>288</v>
      </c>
      <c r="I20" s="4358" t="s">
        <v>91</v>
      </c>
      <c r="J20" s="4358" t="s">
        <v>92</v>
      </c>
      <c r="K20" s="4354">
        <v>1</v>
      </c>
      <c r="L20" s="4355">
        <v>0.6</v>
      </c>
      <c r="M20" s="4354" t="s">
        <v>93</v>
      </c>
      <c r="N20" s="4354" t="s">
        <v>94</v>
      </c>
      <c r="O20" s="4358" t="s">
        <v>95</v>
      </c>
      <c r="P20" s="4414">
        <f>SUM(U20:U25)/Q20</f>
        <v>1</v>
      </c>
      <c r="Q20" s="4422">
        <f>SUM(U20:U25)</f>
        <v>1463092662</v>
      </c>
      <c r="R20" s="4424" t="s">
        <v>96</v>
      </c>
      <c r="S20" s="4425" t="s">
        <v>97</v>
      </c>
      <c r="T20" s="4426" t="s">
        <v>98</v>
      </c>
      <c r="U20" s="98">
        <v>262242662</v>
      </c>
      <c r="V20" s="98">
        <v>262242662</v>
      </c>
      <c r="W20" s="99">
        <v>262242662</v>
      </c>
      <c r="X20" s="100">
        <v>20</v>
      </c>
      <c r="Y20" s="65" t="s">
        <v>69</v>
      </c>
      <c r="Z20" s="4428">
        <v>294321</v>
      </c>
      <c r="AA20" s="4419">
        <v>294321</v>
      </c>
      <c r="AB20" s="4419">
        <v>283947</v>
      </c>
      <c r="AC20" s="4419">
        <v>283947</v>
      </c>
      <c r="AD20" s="4419">
        <v>135754</v>
      </c>
      <c r="AE20" s="4419">
        <v>135754</v>
      </c>
      <c r="AF20" s="4419">
        <v>44640</v>
      </c>
      <c r="AG20" s="4419">
        <v>44640</v>
      </c>
      <c r="AH20" s="4419">
        <v>308178</v>
      </c>
      <c r="AI20" s="4419">
        <v>308178</v>
      </c>
      <c r="AJ20" s="4419">
        <v>89696</v>
      </c>
      <c r="AK20" s="4419">
        <v>89696</v>
      </c>
      <c r="AL20" s="4419">
        <v>2145</v>
      </c>
      <c r="AM20" s="4419">
        <v>2145</v>
      </c>
      <c r="AN20" s="4419">
        <v>12718</v>
      </c>
      <c r="AO20" s="4453">
        <v>12718</v>
      </c>
      <c r="AP20" s="4419">
        <v>26</v>
      </c>
      <c r="AQ20" s="4466" t="s">
        <v>70</v>
      </c>
      <c r="AR20" s="4467" t="s">
        <v>71</v>
      </c>
      <c r="AS20" s="4466" t="s">
        <v>71</v>
      </c>
      <c r="AT20" s="4467" t="s">
        <v>72</v>
      </c>
      <c r="AU20" s="4470" t="s">
        <v>72</v>
      </c>
      <c r="AV20" s="4470" t="s">
        <v>72</v>
      </c>
      <c r="AW20" s="4470" t="s">
        <v>72</v>
      </c>
      <c r="AX20" s="4470" t="s">
        <v>99</v>
      </c>
      <c r="AY20" s="4453">
        <v>52505</v>
      </c>
      <c r="AZ20" s="4419">
        <v>16897</v>
      </c>
      <c r="BA20" s="4453">
        <v>16897</v>
      </c>
      <c r="BB20" s="4419">
        <v>61646</v>
      </c>
      <c r="BC20" s="4453">
        <v>61646</v>
      </c>
      <c r="BD20" s="4453">
        <f>AD20+AF20+AH20+AJ20</f>
        <v>578268</v>
      </c>
      <c r="BE20" s="4453">
        <f>AE20+AG20+AI20+AK20</f>
        <v>578268</v>
      </c>
      <c r="BF20" s="4393">
        <v>43</v>
      </c>
      <c r="BG20" s="4419">
        <f>608895662+809821004</f>
        <v>1418716666</v>
      </c>
      <c r="BH20" s="4419">
        <f>562790029+313107589</f>
        <v>875897618</v>
      </c>
      <c r="BI20" s="4444">
        <f>+BH20/BG20</f>
        <v>0.61738727611451061</v>
      </c>
      <c r="BJ20" s="4447" t="s">
        <v>73</v>
      </c>
      <c r="BK20" s="4450" t="s">
        <v>100</v>
      </c>
      <c r="BL20" s="4460">
        <v>43101</v>
      </c>
      <c r="BM20" s="4463">
        <v>43475</v>
      </c>
      <c r="BN20" s="4434">
        <v>43465</v>
      </c>
      <c r="BO20" s="4434">
        <v>43465</v>
      </c>
      <c r="BP20" s="4436" t="s">
        <v>75</v>
      </c>
      <c r="BQ20" s="48"/>
      <c r="BR20" s="48"/>
      <c r="BS20" s="48"/>
      <c r="BT20" s="48"/>
      <c r="BU20" s="48"/>
      <c r="BV20" s="48"/>
      <c r="BW20" s="48"/>
      <c r="BX20" s="48"/>
    </row>
    <row r="21" spans="1:76" ht="56.25" customHeight="1" x14ac:dyDescent="0.2">
      <c r="A21" s="49"/>
      <c r="B21" s="4360"/>
      <c r="C21" s="4361"/>
      <c r="D21" s="4406"/>
      <c r="E21" s="4409"/>
      <c r="F21" s="4416"/>
      <c r="G21" s="4416"/>
      <c r="H21" s="4354"/>
      <c r="I21" s="4358"/>
      <c r="J21" s="4358"/>
      <c r="K21" s="4354"/>
      <c r="L21" s="4356"/>
      <c r="M21" s="4354"/>
      <c r="N21" s="4354"/>
      <c r="O21" s="4358"/>
      <c r="P21" s="4415"/>
      <c r="Q21" s="4422"/>
      <c r="R21" s="4424"/>
      <c r="S21" s="4425"/>
      <c r="T21" s="4427"/>
      <c r="U21" s="98">
        <f>0+694757338</f>
        <v>694757338</v>
      </c>
      <c r="V21" s="98">
        <f>0+694757338</f>
        <v>694757338</v>
      </c>
      <c r="W21" s="99">
        <v>250639875</v>
      </c>
      <c r="X21" s="101">
        <v>88</v>
      </c>
      <c r="Y21" s="65" t="s">
        <v>76</v>
      </c>
      <c r="Z21" s="4429"/>
      <c r="AA21" s="4420"/>
      <c r="AB21" s="4420"/>
      <c r="AC21" s="4420"/>
      <c r="AD21" s="4420"/>
      <c r="AE21" s="4420"/>
      <c r="AF21" s="4420"/>
      <c r="AG21" s="4420"/>
      <c r="AH21" s="4420"/>
      <c r="AI21" s="4420"/>
      <c r="AJ21" s="4420"/>
      <c r="AK21" s="4420"/>
      <c r="AL21" s="4420"/>
      <c r="AM21" s="4420"/>
      <c r="AN21" s="4420"/>
      <c r="AO21" s="4453"/>
      <c r="AP21" s="4420"/>
      <c r="AQ21" s="4466"/>
      <c r="AR21" s="4468"/>
      <c r="AS21" s="4466"/>
      <c r="AT21" s="4468"/>
      <c r="AU21" s="4471"/>
      <c r="AV21" s="4471"/>
      <c r="AW21" s="4471"/>
      <c r="AX21" s="4471"/>
      <c r="AY21" s="4453"/>
      <c r="AZ21" s="4420"/>
      <c r="BA21" s="4453"/>
      <c r="BB21" s="4420"/>
      <c r="BC21" s="4453"/>
      <c r="BD21" s="4453"/>
      <c r="BE21" s="4453"/>
      <c r="BF21" s="4390"/>
      <c r="BG21" s="4420"/>
      <c r="BH21" s="4420"/>
      <c r="BI21" s="4445"/>
      <c r="BJ21" s="4448"/>
      <c r="BK21" s="4450"/>
      <c r="BL21" s="4460"/>
      <c r="BM21" s="4464"/>
      <c r="BN21" s="4435"/>
      <c r="BO21" s="4435"/>
      <c r="BP21" s="4436"/>
      <c r="BQ21" s="48"/>
      <c r="BR21" s="48"/>
      <c r="BS21" s="48"/>
      <c r="BT21" s="48"/>
      <c r="BU21" s="48"/>
      <c r="BV21" s="48"/>
      <c r="BW21" s="48"/>
      <c r="BX21" s="48"/>
    </row>
    <row r="22" spans="1:76" ht="56.25" customHeight="1" x14ac:dyDescent="0.2">
      <c r="A22" s="49"/>
      <c r="B22" s="4360"/>
      <c r="C22" s="4361"/>
      <c r="D22" s="4406"/>
      <c r="E22" s="4409"/>
      <c r="F22" s="4416"/>
      <c r="G22" s="4416"/>
      <c r="H22" s="4354"/>
      <c r="I22" s="4358"/>
      <c r="J22" s="4358"/>
      <c r="K22" s="4354"/>
      <c r="L22" s="4356"/>
      <c r="M22" s="4354"/>
      <c r="N22" s="4354"/>
      <c r="O22" s="4358"/>
      <c r="P22" s="4415"/>
      <c r="Q22" s="4422"/>
      <c r="R22" s="4424"/>
      <c r="S22" s="4425"/>
      <c r="T22" s="4426" t="s">
        <v>101</v>
      </c>
      <c r="U22" s="98">
        <v>30000000</v>
      </c>
      <c r="V22" s="98">
        <v>28765900</v>
      </c>
      <c r="W22" s="99">
        <v>14744000</v>
      </c>
      <c r="X22" s="100">
        <v>20</v>
      </c>
      <c r="Y22" s="65" t="s">
        <v>69</v>
      </c>
      <c r="Z22" s="4429"/>
      <c r="AA22" s="4420"/>
      <c r="AB22" s="4420"/>
      <c r="AC22" s="4420"/>
      <c r="AD22" s="4420"/>
      <c r="AE22" s="4420"/>
      <c r="AF22" s="4420"/>
      <c r="AG22" s="4420"/>
      <c r="AH22" s="4420"/>
      <c r="AI22" s="4420"/>
      <c r="AJ22" s="4420"/>
      <c r="AK22" s="4420"/>
      <c r="AL22" s="4420"/>
      <c r="AM22" s="4420"/>
      <c r="AN22" s="4420"/>
      <c r="AO22" s="4453"/>
      <c r="AP22" s="4420"/>
      <c r="AQ22" s="4466"/>
      <c r="AR22" s="4468"/>
      <c r="AS22" s="4466"/>
      <c r="AT22" s="4468"/>
      <c r="AU22" s="4471"/>
      <c r="AV22" s="4471"/>
      <c r="AW22" s="4471"/>
      <c r="AX22" s="4471"/>
      <c r="AY22" s="4453"/>
      <c r="AZ22" s="4420"/>
      <c r="BA22" s="4453"/>
      <c r="BB22" s="4420"/>
      <c r="BC22" s="4453"/>
      <c r="BD22" s="4453"/>
      <c r="BE22" s="4453"/>
      <c r="BF22" s="4390"/>
      <c r="BG22" s="4420"/>
      <c r="BH22" s="4420"/>
      <c r="BI22" s="4445"/>
      <c r="BJ22" s="4448"/>
      <c r="BK22" s="4450"/>
      <c r="BL22" s="4460"/>
      <c r="BM22" s="4464"/>
      <c r="BN22" s="4435"/>
      <c r="BO22" s="4435"/>
      <c r="BP22" s="4436"/>
      <c r="BQ22" s="48"/>
      <c r="BR22" s="48"/>
      <c r="BS22" s="48"/>
      <c r="BT22" s="48"/>
      <c r="BU22" s="48"/>
      <c r="BV22" s="48"/>
      <c r="BW22" s="48"/>
      <c r="BX22" s="48"/>
    </row>
    <row r="23" spans="1:76" ht="56.25" customHeight="1" x14ac:dyDescent="0.2">
      <c r="A23" s="49"/>
      <c r="B23" s="4360"/>
      <c r="C23" s="4361"/>
      <c r="D23" s="4406"/>
      <c r="E23" s="4409"/>
      <c r="F23" s="4416"/>
      <c r="G23" s="4416"/>
      <c r="H23" s="4354"/>
      <c r="I23" s="4358"/>
      <c r="J23" s="4358"/>
      <c r="K23" s="4354"/>
      <c r="L23" s="4356"/>
      <c r="M23" s="4354"/>
      <c r="N23" s="4354"/>
      <c r="O23" s="4358"/>
      <c r="P23" s="4415"/>
      <c r="Q23" s="4381"/>
      <c r="R23" s="4358"/>
      <c r="S23" s="4425"/>
      <c r="T23" s="4427"/>
      <c r="U23" s="102">
        <f>0+8565900</f>
        <v>8565900</v>
      </c>
      <c r="V23" s="103"/>
      <c r="W23" s="104"/>
      <c r="X23" s="101">
        <v>88</v>
      </c>
      <c r="Y23" s="65" t="s">
        <v>76</v>
      </c>
      <c r="Z23" s="4429"/>
      <c r="AA23" s="4420"/>
      <c r="AB23" s="4420"/>
      <c r="AC23" s="4420"/>
      <c r="AD23" s="4420"/>
      <c r="AE23" s="4420"/>
      <c r="AF23" s="4420"/>
      <c r="AG23" s="4420"/>
      <c r="AH23" s="4420"/>
      <c r="AI23" s="4420"/>
      <c r="AJ23" s="4420"/>
      <c r="AK23" s="4420"/>
      <c r="AL23" s="4420"/>
      <c r="AM23" s="4420"/>
      <c r="AN23" s="4420"/>
      <c r="AO23" s="4453"/>
      <c r="AP23" s="4420"/>
      <c r="AQ23" s="4466"/>
      <c r="AR23" s="4468"/>
      <c r="AS23" s="4466"/>
      <c r="AT23" s="4468"/>
      <c r="AU23" s="4471"/>
      <c r="AV23" s="4471"/>
      <c r="AW23" s="4471"/>
      <c r="AX23" s="4471"/>
      <c r="AY23" s="4453"/>
      <c r="AZ23" s="4420"/>
      <c r="BA23" s="4453"/>
      <c r="BB23" s="4420"/>
      <c r="BC23" s="4453"/>
      <c r="BD23" s="4453"/>
      <c r="BE23" s="4453"/>
      <c r="BF23" s="4390"/>
      <c r="BG23" s="4420"/>
      <c r="BH23" s="4420"/>
      <c r="BI23" s="4445"/>
      <c r="BJ23" s="4448"/>
      <c r="BK23" s="4451"/>
      <c r="BL23" s="4461"/>
      <c r="BM23" s="4464"/>
      <c r="BN23" s="4435"/>
      <c r="BO23" s="4435"/>
      <c r="BP23" s="4382"/>
      <c r="BQ23" s="48"/>
      <c r="BR23" s="48"/>
      <c r="BS23" s="48"/>
      <c r="BT23" s="48"/>
      <c r="BU23" s="48"/>
      <c r="BV23" s="48"/>
      <c r="BW23" s="48"/>
      <c r="BX23" s="48"/>
    </row>
    <row r="24" spans="1:76" ht="56.25" customHeight="1" x14ac:dyDescent="0.2">
      <c r="A24" s="49"/>
      <c r="B24" s="4362"/>
      <c r="C24" s="4363"/>
      <c r="D24" s="4406"/>
      <c r="E24" s="4409"/>
      <c r="F24" s="4417"/>
      <c r="G24" s="4417"/>
      <c r="H24" s="4355"/>
      <c r="I24" s="4413"/>
      <c r="J24" s="4413"/>
      <c r="K24" s="4355"/>
      <c r="L24" s="4356"/>
      <c r="M24" s="4355"/>
      <c r="N24" s="4355"/>
      <c r="O24" s="4413"/>
      <c r="P24" s="4415"/>
      <c r="Q24" s="4423"/>
      <c r="R24" s="4413"/>
      <c r="S24" s="4432" t="s">
        <v>102</v>
      </c>
      <c r="T24" s="4438" t="s">
        <v>103</v>
      </c>
      <c r="U24" s="98">
        <v>320850000</v>
      </c>
      <c r="V24" s="98">
        <v>317887100</v>
      </c>
      <c r="W24" s="99">
        <v>285803367</v>
      </c>
      <c r="X24" s="100">
        <v>20</v>
      </c>
      <c r="Y24" s="65" t="s">
        <v>69</v>
      </c>
      <c r="Z24" s="4429"/>
      <c r="AA24" s="4420"/>
      <c r="AB24" s="4420"/>
      <c r="AC24" s="4420"/>
      <c r="AD24" s="4420"/>
      <c r="AE24" s="4420"/>
      <c r="AF24" s="4420"/>
      <c r="AG24" s="4420"/>
      <c r="AH24" s="4420"/>
      <c r="AI24" s="4420"/>
      <c r="AJ24" s="4420"/>
      <c r="AK24" s="4420"/>
      <c r="AL24" s="4420"/>
      <c r="AM24" s="4420"/>
      <c r="AN24" s="4420"/>
      <c r="AO24" s="4419"/>
      <c r="AP24" s="4420"/>
      <c r="AQ24" s="4467"/>
      <c r="AR24" s="4468"/>
      <c r="AS24" s="4467"/>
      <c r="AT24" s="4468"/>
      <c r="AU24" s="4471"/>
      <c r="AV24" s="4471"/>
      <c r="AW24" s="4471"/>
      <c r="AX24" s="4471"/>
      <c r="AY24" s="4419"/>
      <c r="AZ24" s="4420"/>
      <c r="BA24" s="4419"/>
      <c r="BB24" s="4420"/>
      <c r="BC24" s="4419"/>
      <c r="BD24" s="4419"/>
      <c r="BE24" s="4419"/>
      <c r="BF24" s="4390"/>
      <c r="BG24" s="4420"/>
      <c r="BH24" s="4420"/>
      <c r="BI24" s="4445"/>
      <c r="BJ24" s="4448"/>
      <c r="BK24" s="4452"/>
      <c r="BL24" s="4462"/>
      <c r="BM24" s="4464"/>
      <c r="BN24" s="4435"/>
      <c r="BO24" s="4435"/>
      <c r="BP24" s="4437"/>
      <c r="BQ24" s="48"/>
      <c r="BR24" s="48"/>
      <c r="BS24" s="48"/>
      <c r="BT24" s="48"/>
      <c r="BU24" s="48"/>
      <c r="BV24" s="48"/>
      <c r="BW24" s="48"/>
      <c r="BX24" s="48"/>
    </row>
    <row r="25" spans="1:76" ht="56.25" customHeight="1" thickBot="1" x14ac:dyDescent="0.25">
      <c r="A25" s="105"/>
      <c r="B25" s="4364"/>
      <c r="C25" s="4365"/>
      <c r="D25" s="4407"/>
      <c r="E25" s="4410"/>
      <c r="F25" s="4417"/>
      <c r="G25" s="4417"/>
      <c r="H25" s="4355"/>
      <c r="I25" s="4413"/>
      <c r="J25" s="4413"/>
      <c r="K25" s="4355"/>
      <c r="L25" s="4418"/>
      <c r="M25" s="4355"/>
      <c r="N25" s="4355"/>
      <c r="O25" s="4413"/>
      <c r="P25" s="4415"/>
      <c r="Q25" s="4423"/>
      <c r="R25" s="4413"/>
      <c r="S25" s="4433"/>
      <c r="T25" s="4439"/>
      <c r="U25" s="106">
        <f>0+155242662-8565900</f>
        <v>146676762</v>
      </c>
      <c r="V25" s="106">
        <v>115063666</v>
      </c>
      <c r="W25" s="107">
        <v>62467714</v>
      </c>
      <c r="X25" s="101">
        <v>88</v>
      </c>
      <c r="Y25" s="65" t="s">
        <v>76</v>
      </c>
      <c r="Z25" s="4430"/>
      <c r="AA25" s="4431"/>
      <c r="AB25" s="4431"/>
      <c r="AC25" s="4431"/>
      <c r="AD25" s="4421"/>
      <c r="AE25" s="4421"/>
      <c r="AF25" s="4421"/>
      <c r="AG25" s="4421"/>
      <c r="AH25" s="4421"/>
      <c r="AI25" s="4421"/>
      <c r="AJ25" s="4421"/>
      <c r="AK25" s="4421"/>
      <c r="AL25" s="4421"/>
      <c r="AM25" s="4421"/>
      <c r="AN25" s="4421"/>
      <c r="AO25" s="4419"/>
      <c r="AP25" s="4421"/>
      <c r="AQ25" s="4467"/>
      <c r="AR25" s="4469"/>
      <c r="AS25" s="4467"/>
      <c r="AT25" s="4469"/>
      <c r="AU25" s="4471"/>
      <c r="AV25" s="4472"/>
      <c r="AW25" s="4471"/>
      <c r="AX25" s="4472"/>
      <c r="AY25" s="4419"/>
      <c r="AZ25" s="4421"/>
      <c r="BA25" s="4419"/>
      <c r="BB25" s="4421"/>
      <c r="BC25" s="4419"/>
      <c r="BD25" s="4419"/>
      <c r="BE25" s="4419"/>
      <c r="BF25" s="4443"/>
      <c r="BG25" s="4421"/>
      <c r="BH25" s="4421"/>
      <c r="BI25" s="4446"/>
      <c r="BJ25" s="4449"/>
      <c r="BK25" s="4452"/>
      <c r="BL25" s="4462"/>
      <c r="BM25" s="4465"/>
      <c r="BN25" s="4435"/>
      <c r="BO25" s="4435"/>
      <c r="BP25" s="4437"/>
      <c r="BQ25" s="48"/>
      <c r="BR25" s="48"/>
      <c r="BS25" s="48"/>
      <c r="BT25" s="48"/>
      <c r="BU25" s="48"/>
      <c r="BV25" s="48"/>
      <c r="BW25" s="48"/>
      <c r="BX25" s="48"/>
    </row>
    <row r="26" spans="1:76" s="120" customFormat="1" ht="16.5" thickBot="1" x14ac:dyDescent="0.3">
      <c r="A26" s="108"/>
      <c r="B26" s="109"/>
      <c r="C26" s="109"/>
      <c r="D26" s="109"/>
      <c r="E26" s="110"/>
      <c r="F26" s="4440" t="s">
        <v>104</v>
      </c>
      <c r="G26" s="4441"/>
      <c r="H26" s="4441"/>
      <c r="I26" s="4441"/>
      <c r="J26" s="4441"/>
      <c r="K26" s="4441"/>
      <c r="L26" s="4441"/>
      <c r="M26" s="4441"/>
      <c r="N26" s="4441"/>
      <c r="O26" s="4441"/>
      <c r="P26" s="4442"/>
      <c r="Q26" s="111">
        <f>+Q13+Q17+Q20</f>
        <v>1953092662</v>
      </c>
      <c r="R26" s="108"/>
      <c r="S26" s="109"/>
      <c r="T26" s="112"/>
      <c r="U26" s="113">
        <f>SUM(U13:U25)</f>
        <v>1953092662</v>
      </c>
      <c r="V26" s="113">
        <f t="shared" ref="V26:W26" si="0">SUM(V13:V25)</f>
        <v>1833797131</v>
      </c>
      <c r="W26" s="113">
        <f t="shared" si="0"/>
        <v>1166808229</v>
      </c>
      <c r="X26" s="114"/>
      <c r="Y26" s="115"/>
      <c r="Z26" s="115"/>
      <c r="AA26" s="115"/>
      <c r="AB26" s="115"/>
      <c r="AC26" s="115"/>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7"/>
      <c r="BM26" s="117"/>
      <c r="BN26" s="118"/>
      <c r="BO26" s="118"/>
      <c r="BP26" s="119"/>
    </row>
    <row r="27" spans="1:76" x14ac:dyDescent="0.2">
      <c r="Q27" s="121"/>
    </row>
    <row r="28" spans="1:76" x14ac:dyDescent="0.2">
      <c r="Q28" s="123"/>
    </row>
    <row r="32" spans="1:76" ht="15.75" x14ac:dyDescent="0.25">
      <c r="K32" s="124" t="s">
        <v>105</v>
      </c>
      <c r="L32" s="124"/>
      <c r="M32" s="129"/>
      <c r="N32" s="125"/>
    </row>
    <row r="33" spans="8:15" ht="15.75" x14ac:dyDescent="0.25">
      <c r="K33" s="126" t="s">
        <v>106</v>
      </c>
      <c r="L33" s="126"/>
      <c r="M33" s="130"/>
    </row>
    <row r="36" spans="8:15" ht="15.75" x14ac:dyDescent="0.2">
      <c r="H36" s="2871"/>
      <c r="I36" s="2871"/>
      <c r="J36" s="2871"/>
      <c r="K36" s="2871"/>
      <c r="L36" s="2871"/>
      <c r="M36" s="2871"/>
      <c r="N36" s="2871"/>
      <c r="O36" s="2871"/>
    </row>
  </sheetData>
  <sheetProtection password="A60F" sheet="1" objects="1" scenarios="1"/>
  <mergeCells count="186">
    <mergeCell ref="Z7:AC8"/>
    <mergeCell ref="BL20:BL25"/>
    <mergeCell ref="BM20:BM25"/>
    <mergeCell ref="AO20:AO25"/>
    <mergeCell ref="AP20:AP25"/>
    <mergeCell ref="AQ20:AQ25"/>
    <mergeCell ref="AR20:AR25"/>
    <mergeCell ref="AS20:AS25"/>
    <mergeCell ref="AH20:AH25"/>
    <mergeCell ref="AI20:AI25"/>
    <mergeCell ref="AJ20:AJ25"/>
    <mergeCell ref="AK20:AK25"/>
    <mergeCell ref="AL20:AL25"/>
    <mergeCell ref="AM20:AM25"/>
    <mergeCell ref="AB20:AB25"/>
    <mergeCell ref="AC20:AC25"/>
    <mergeCell ref="AD20:AD25"/>
    <mergeCell ref="AE20:AE25"/>
    <mergeCell ref="AT20:AT25"/>
    <mergeCell ref="AU20:AU25"/>
    <mergeCell ref="AV20:AV25"/>
    <mergeCell ref="AW20:AW25"/>
    <mergeCell ref="AX20:AX25"/>
    <mergeCell ref="AY20:AY25"/>
    <mergeCell ref="AN20:AN25"/>
    <mergeCell ref="F26:P26"/>
    <mergeCell ref="H36:O36"/>
    <mergeCell ref="BF20:BF25"/>
    <mergeCell ref="BG20:BG25"/>
    <mergeCell ref="BH20:BH25"/>
    <mergeCell ref="BI20:BI25"/>
    <mergeCell ref="BJ20:BJ25"/>
    <mergeCell ref="BK20:BK25"/>
    <mergeCell ref="AZ20:AZ25"/>
    <mergeCell ref="BA20:BA25"/>
    <mergeCell ref="BB20:BB25"/>
    <mergeCell ref="BC20:BC25"/>
    <mergeCell ref="BD20:BD25"/>
    <mergeCell ref="BE20:BE25"/>
    <mergeCell ref="AM19:AS19"/>
    <mergeCell ref="AU19:BA19"/>
    <mergeCell ref="BC19:BD19"/>
    <mergeCell ref="BL19:BP19"/>
    <mergeCell ref="F20:G25"/>
    <mergeCell ref="H20:H25"/>
    <mergeCell ref="I20:I25"/>
    <mergeCell ref="J20:J25"/>
    <mergeCell ref="K20:K25"/>
    <mergeCell ref="L20:L25"/>
    <mergeCell ref="AF20:AF25"/>
    <mergeCell ref="AG20:AG25"/>
    <mergeCell ref="Q20:Q25"/>
    <mergeCell ref="R20:R25"/>
    <mergeCell ref="S20:S23"/>
    <mergeCell ref="T20:T21"/>
    <mergeCell ref="Z20:Z25"/>
    <mergeCell ref="AA20:AA25"/>
    <mergeCell ref="S24:S25"/>
    <mergeCell ref="BN20:BN25"/>
    <mergeCell ref="BO20:BO25"/>
    <mergeCell ref="BP20:BP25"/>
    <mergeCell ref="T22:T23"/>
    <mergeCell ref="T24:T25"/>
    <mergeCell ref="D19:D25"/>
    <mergeCell ref="E19:E25"/>
    <mergeCell ref="G19:K19"/>
    <mergeCell ref="N19:T19"/>
    <mergeCell ref="X19:AC19"/>
    <mergeCell ref="AF19:AK19"/>
    <mergeCell ref="M20:M25"/>
    <mergeCell ref="N20:N25"/>
    <mergeCell ref="O20:O25"/>
    <mergeCell ref="P20:P25"/>
    <mergeCell ref="BL13:BL16"/>
    <mergeCell ref="BM13:BM16"/>
    <mergeCell ref="BN13:BN16"/>
    <mergeCell ref="BO13:BO16"/>
    <mergeCell ref="BP13:BP16"/>
    <mergeCell ref="BQ13:BQ14"/>
    <mergeCell ref="BF13:BF16"/>
    <mergeCell ref="BG13:BG16"/>
    <mergeCell ref="BH13:BH16"/>
    <mergeCell ref="BI13:BI16"/>
    <mergeCell ref="BJ13:BJ16"/>
    <mergeCell ref="BK13:BK16"/>
    <mergeCell ref="AZ13:AZ16"/>
    <mergeCell ref="BA13:BA16"/>
    <mergeCell ref="BB13:BB16"/>
    <mergeCell ref="BC13:BC16"/>
    <mergeCell ref="BD13:BD16"/>
    <mergeCell ref="BE13:BE16"/>
    <mergeCell ref="AT13:AT16"/>
    <mergeCell ref="AU13:AU16"/>
    <mergeCell ref="AV13:AV16"/>
    <mergeCell ref="AW13:AW16"/>
    <mergeCell ref="AX13:AX16"/>
    <mergeCell ref="AY13:AY16"/>
    <mergeCell ref="AN13:AN16"/>
    <mergeCell ref="AO13:AO16"/>
    <mergeCell ref="AP13:AP16"/>
    <mergeCell ref="AQ13:AQ16"/>
    <mergeCell ref="AR13:AR16"/>
    <mergeCell ref="AS13:AS16"/>
    <mergeCell ref="AH13:AH16"/>
    <mergeCell ref="AI13:AI16"/>
    <mergeCell ref="AJ13:AJ16"/>
    <mergeCell ref="AK13:AK16"/>
    <mergeCell ref="AL13:AL16"/>
    <mergeCell ref="AM13:AM16"/>
    <mergeCell ref="AB13:AB16"/>
    <mergeCell ref="AC13:AC16"/>
    <mergeCell ref="AD13:AD16"/>
    <mergeCell ref="AE13:AE16"/>
    <mergeCell ref="AF13:AF16"/>
    <mergeCell ref="AG13:AG16"/>
    <mergeCell ref="Q13:Q16"/>
    <mergeCell ref="R13:R16"/>
    <mergeCell ref="S13:S14"/>
    <mergeCell ref="T13:T14"/>
    <mergeCell ref="Z13:Z16"/>
    <mergeCell ref="AA13:AA16"/>
    <mergeCell ref="S15:S16"/>
    <mergeCell ref="T15:T16"/>
    <mergeCell ref="K13:K16"/>
    <mergeCell ref="L13:L16"/>
    <mergeCell ref="M13:M16"/>
    <mergeCell ref="N13:N16"/>
    <mergeCell ref="O13:O16"/>
    <mergeCell ref="P13:P16"/>
    <mergeCell ref="AZ9:BA9"/>
    <mergeCell ref="BB9:BC9"/>
    <mergeCell ref="B11:C25"/>
    <mergeCell ref="D12:D17"/>
    <mergeCell ref="E12:E17"/>
    <mergeCell ref="F13:F17"/>
    <mergeCell ref="G13:G17"/>
    <mergeCell ref="H13:H16"/>
    <mergeCell ref="I13:I16"/>
    <mergeCell ref="J13:J16"/>
    <mergeCell ref="T7:T9"/>
    <mergeCell ref="U7:W8"/>
    <mergeCell ref="X7:X9"/>
    <mergeCell ref="Y7:Y9"/>
    <mergeCell ref="N7:N9"/>
    <mergeCell ref="O7:O9"/>
    <mergeCell ref="P7:P9"/>
    <mergeCell ref="Q7:Q9"/>
    <mergeCell ref="AJ9:AK9"/>
    <mergeCell ref="AL9:AM9"/>
    <mergeCell ref="AN9:AO9"/>
    <mergeCell ref="AP9:AQ9"/>
    <mergeCell ref="BD7:BE9"/>
    <mergeCell ref="BL7:BM9"/>
    <mergeCell ref="BN7:BO9"/>
    <mergeCell ref="AR9:AS9"/>
    <mergeCell ref="AT9:AU9"/>
    <mergeCell ref="AV9:AW9"/>
    <mergeCell ref="AX9:AY9"/>
    <mergeCell ref="BF7:BK8"/>
    <mergeCell ref="AY7:BC8"/>
    <mergeCell ref="AL7:AX8"/>
    <mergeCell ref="AD7:AK8"/>
    <mergeCell ref="R7:R9"/>
    <mergeCell ref="S7:S9"/>
    <mergeCell ref="G7:G9"/>
    <mergeCell ref="H7:H9"/>
    <mergeCell ref="I7:I9"/>
    <mergeCell ref="J7:J9"/>
    <mergeCell ref="K7:L8"/>
    <mergeCell ref="M7:M9"/>
    <mergeCell ref="A1:BL4"/>
    <mergeCell ref="A5:K6"/>
    <mergeCell ref="O5:BP5"/>
    <mergeCell ref="O6:Y6"/>
    <mergeCell ref="BL6:BP6"/>
    <mergeCell ref="A7:A9"/>
    <mergeCell ref="B7:C9"/>
    <mergeCell ref="D7:D9"/>
    <mergeCell ref="E7:E9"/>
    <mergeCell ref="F7:F9"/>
    <mergeCell ref="BP7:BP9"/>
    <mergeCell ref="Z9:AA9"/>
    <mergeCell ref="AB9:AC9"/>
    <mergeCell ref="AD9:AE9"/>
    <mergeCell ref="AF9:AG9"/>
    <mergeCell ref="AH9:A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SGTO PA ADMINIST</vt:lpstr>
      <vt:lpstr>SGTO PA PLANEA</vt:lpstr>
      <vt:lpstr>SGTO PA HACIENDA</vt:lpstr>
      <vt:lpstr>SGTO PA INFRAESTRUCTURA</vt:lpstr>
      <vt:lpstr>SGTO PA INTERIOR</vt:lpstr>
      <vt:lpstr>SGTO PA CULTURA</vt:lpstr>
      <vt:lpstr>SGTO PA TURISMO IC</vt:lpstr>
      <vt:lpstr>SGTO PA AGRICULTURA</vt:lpstr>
      <vt:lpstr>SGTO PA PRIVADA</vt:lpstr>
      <vt:lpstr>SGTO PA EDUCACION</vt:lpstr>
      <vt:lpstr>SGTO PA FAMILIA</vt:lpstr>
      <vt:lpstr>SGTO PA REP JUDICIAL</vt:lpstr>
      <vt:lpstr>SGTO PA SALUD</vt:lpstr>
      <vt:lpstr>SGTO PA TIC</vt:lpstr>
      <vt:lpstr>SGTO PA INDEPORTES</vt:lpstr>
      <vt:lpstr>SGTO PA PROMOTORA</vt:lpstr>
      <vt:lpstr>SGTO PA IDTQ</vt:lpstr>
      <vt:lpstr>'SGTO PA PLANEA'!Área_de_impresión</vt:lpstr>
      <vt:lpstr>'SGTO PA PROMOTORA'!Área_de_impresión</vt:lpstr>
      <vt:lpstr>'SGTO PA PLANEA'!Títulos_a_imprimir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2019-10-09T19:24:07Z</dcterms:created>
  <dcterms:modified xsi:type="dcterms:W3CDTF">2019-11-15T16:06:55Z</dcterms:modified>
</cp:coreProperties>
</file>